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535" yWindow="30" windowWidth="22050" windowHeight="14655"/>
  </bookViews>
  <sheets>
    <sheet name="1 квартал" sheetId="14" r:id="rId1"/>
  </sheets>
  <definedNames>
    <definedName name="_xlnm.Print_Area" localSheetId="0">'1 квартал'!$A$1:$AS$340</definedName>
  </definedNames>
  <calcPr calcId="144525"/>
</workbook>
</file>

<file path=xl/calcChain.xml><?xml version="1.0" encoding="utf-8"?>
<calcChain xmlns="http://schemas.openxmlformats.org/spreadsheetml/2006/main">
  <c r="F330" i="14" l="1"/>
  <c r="E330" i="14"/>
  <c r="P329" i="14"/>
  <c r="M329" i="14"/>
  <c r="F329" i="14"/>
  <c r="E329" i="14"/>
  <c r="AN328" i="14"/>
  <c r="AK328" i="14"/>
  <c r="AH328" i="14"/>
  <c r="AE328" i="14"/>
  <c r="AB328" i="14"/>
  <c r="Y328" i="14"/>
  <c r="V328" i="14"/>
  <c r="S328" i="14"/>
  <c r="F328" i="14"/>
  <c r="E328" i="14"/>
  <c r="F327" i="14"/>
  <c r="E327" i="14"/>
  <c r="AO326" i="14"/>
  <c r="AM326" i="14"/>
  <c r="AN326" i="14" s="1"/>
  <c r="AL326" i="14"/>
  <c r="AJ326" i="14"/>
  <c r="AK326" i="14" s="1"/>
  <c r="AI326" i="14"/>
  <c r="AG326" i="14"/>
  <c r="AH326" i="14" s="1"/>
  <c r="AF326" i="14"/>
  <c r="AD326" i="14"/>
  <c r="AE326" i="14" s="1"/>
  <c r="AC326" i="14"/>
  <c r="AA326" i="14"/>
  <c r="AB326" i="14" s="1"/>
  <c r="Z326" i="14"/>
  <c r="X326" i="14"/>
  <c r="Y326" i="14" s="1"/>
  <c r="W326" i="14"/>
  <c r="U326" i="14"/>
  <c r="V326" i="14" s="1"/>
  <c r="T326" i="14"/>
  <c r="R326" i="14"/>
  <c r="S326" i="14" s="1"/>
  <c r="Q326" i="14"/>
  <c r="O326" i="14"/>
  <c r="P326" i="14" s="1"/>
  <c r="N326" i="14"/>
  <c r="L326" i="14"/>
  <c r="M326" i="14" s="1"/>
  <c r="K326" i="14"/>
  <c r="I326" i="14"/>
  <c r="H326" i="14"/>
  <c r="F326" i="14"/>
  <c r="G326" i="14" s="1"/>
  <c r="E326" i="14"/>
  <c r="F325" i="14"/>
  <c r="E325" i="14"/>
  <c r="F323" i="14"/>
  <c r="F322" i="14"/>
  <c r="E322" i="14"/>
  <c r="AM321" i="14"/>
  <c r="AJ321" i="14"/>
  <c r="AD321" i="14"/>
  <c r="AA321" i="14"/>
  <c r="X321" i="14"/>
  <c r="U321" i="14"/>
  <c r="R321" i="14"/>
  <c r="O321" i="14"/>
  <c r="AM320" i="14"/>
  <c r="AJ320" i="14"/>
  <c r="AG320" i="14"/>
  <c r="AD320" i="14"/>
  <c r="AA320" i="14"/>
  <c r="X320" i="14"/>
  <c r="U320" i="14"/>
  <c r="R320" i="14"/>
  <c r="O320" i="14"/>
  <c r="F320" i="14"/>
  <c r="AD319" i="14"/>
  <c r="AP318" i="14"/>
  <c r="AM318" i="14"/>
  <c r="AJ318" i="14"/>
  <c r="AG318" i="14"/>
  <c r="J318" i="14"/>
  <c r="AM317" i="14"/>
  <c r="AJ317" i="14"/>
  <c r="AG317" i="14"/>
  <c r="J317" i="14"/>
  <c r="AM314" i="14"/>
  <c r="AG314" i="14"/>
  <c r="AD314" i="14"/>
  <c r="AA314" i="14"/>
  <c r="X314" i="14"/>
  <c r="U314" i="14"/>
  <c r="R314" i="14"/>
  <c r="O314" i="14"/>
  <c r="AK313" i="14"/>
  <c r="AH313" i="14"/>
  <c r="AE313" i="14"/>
  <c r="AB313" i="14"/>
  <c r="Y313" i="14"/>
  <c r="V313" i="14"/>
  <c r="S313" i="14"/>
  <c r="P313" i="14"/>
  <c r="M313" i="14"/>
  <c r="J313" i="14"/>
  <c r="AG307" i="14"/>
  <c r="AD307" i="14"/>
  <c r="AA307" i="14"/>
  <c r="X307" i="14"/>
  <c r="U307" i="14"/>
  <c r="R307" i="14"/>
  <c r="O307" i="14"/>
  <c r="AM301" i="14"/>
  <c r="AJ301" i="14"/>
  <c r="AG301" i="14"/>
  <c r="X301" i="14"/>
  <c r="U301" i="14"/>
  <c r="R301" i="14"/>
  <c r="O301" i="14"/>
  <c r="F301" i="14" s="1"/>
  <c r="AD300" i="14"/>
  <c r="AM295" i="14"/>
  <c r="AJ295" i="14"/>
  <c r="AG295" i="14"/>
  <c r="AD295" i="14"/>
  <c r="AA295" i="14"/>
  <c r="X295" i="14"/>
  <c r="U295" i="14"/>
  <c r="R295" i="14"/>
  <c r="O295" i="14"/>
  <c r="F295" i="14"/>
  <c r="AO289" i="14"/>
  <c r="AM289" i="14"/>
  <c r="AM285" i="14" s="1"/>
  <c r="AL289" i="14"/>
  <c r="AJ289" i="14"/>
  <c r="AI289" i="14"/>
  <c r="AG289" i="14"/>
  <c r="AF289" i="14"/>
  <c r="AD289" i="14"/>
  <c r="AC289" i="14"/>
  <c r="AA289" i="14"/>
  <c r="Z289" i="14"/>
  <c r="X289" i="14"/>
  <c r="W289" i="14"/>
  <c r="U289" i="14"/>
  <c r="T289" i="14"/>
  <c r="R289" i="14"/>
  <c r="Q289" i="14"/>
  <c r="O289" i="14"/>
  <c r="N289" i="14"/>
  <c r="L289" i="14"/>
  <c r="K289" i="14"/>
  <c r="I289" i="14"/>
  <c r="H289" i="14"/>
  <c r="F289" i="14"/>
  <c r="E289" i="14"/>
  <c r="AO288" i="14"/>
  <c r="AM288" i="14"/>
  <c r="AJ288" i="14"/>
  <c r="AI288" i="14"/>
  <c r="AG288" i="14"/>
  <c r="AH288" i="14" s="1"/>
  <c r="AF288" i="14"/>
  <c r="AD288" i="14"/>
  <c r="AC288" i="14"/>
  <c r="AA288" i="14"/>
  <c r="X288" i="14"/>
  <c r="U288" i="14"/>
  <c r="T288" i="14"/>
  <c r="R288" i="14"/>
  <c r="O288" i="14"/>
  <c r="L288" i="14"/>
  <c r="L285" i="14" s="1"/>
  <c r="K288" i="14"/>
  <c r="I288" i="14"/>
  <c r="I285" i="14" s="1"/>
  <c r="H288" i="14"/>
  <c r="F288" i="14"/>
  <c r="AO287" i="14"/>
  <c r="AQ287" i="14" s="1"/>
  <c r="AM287" i="14"/>
  <c r="AL287" i="14"/>
  <c r="AN287" i="14" s="1"/>
  <c r="AJ287" i="14"/>
  <c r="AI287" i="14"/>
  <c r="AG287" i="14"/>
  <c r="AF287" i="14"/>
  <c r="AD287" i="14"/>
  <c r="AA287" i="14"/>
  <c r="AA285" i="14" s="1"/>
  <c r="X287" i="14"/>
  <c r="U287" i="14"/>
  <c r="T287" i="14"/>
  <c r="R287" i="14"/>
  <c r="O287" i="14"/>
  <c r="N287" i="14"/>
  <c r="L287" i="14"/>
  <c r="K287" i="14"/>
  <c r="K285" i="14" s="1"/>
  <c r="I287" i="14"/>
  <c r="H287" i="14"/>
  <c r="H285" i="14" s="1"/>
  <c r="AO286" i="14"/>
  <c r="AM286" i="14"/>
  <c r="AL286" i="14"/>
  <c r="AJ286" i="14"/>
  <c r="AI286" i="14"/>
  <c r="AG286" i="14"/>
  <c r="AF286" i="14"/>
  <c r="AD286" i="14"/>
  <c r="AC286" i="14"/>
  <c r="AA286" i="14"/>
  <c r="Z286" i="14"/>
  <c r="X286" i="14"/>
  <c r="W286" i="14"/>
  <c r="U286" i="14"/>
  <c r="T286" i="14"/>
  <c r="R286" i="14"/>
  <c r="Q286" i="14"/>
  <c r="O286" i="14"/>
  <c r="N286" i="14"/>
  <c r="L286" i="14"/>
  <c r="K286" i="14"/>
  <c r="I286" i="14"/>
  <c r="H286" i="14"/>
  <c r="F286" i="14"/>
  <c r="E286" i="14"/>
  <c r="AO285" i="14"/>
  <c r="AQ285" i="14" s="1"/>
  <c r="AJ285" i="14"/>
  <c r="AG285" i="14"/>
  <c r="AD285" i="14"/>
  <c r="X285" i="14"/>
  <c r="T285" i="14"/>
  <c r="O285" i="14"/>
  <c r="F284" i="14"/>
  <c r="E284" i="14"/>
  <c r="F283" i="14"/>
  <c r="E283" i="14"/>
  <c r="F282" i="14"/>
  <c r="E282" i="14"/>
  <c r="F281" i="14"/>
  <c r="E281" i="14"/>
  <c r="AO280" i="14"/>
  <c r="AL280" i="14"/>
  <c r="AI280" i="14"/>
  <c r="AF280" i="14"/>
  <c r="AC280" i="14"/>
  <c r="Z280" i="14"/>
  <c r="W280" i="14"/>
  <c r="T280" i="14"/>
  <c r="Q280" i="14"/>
  <c r="N280" i="14"/>
  <c r="K280" i="14"/>
  <c r="E280" i="14" s="1"/>
  <c r="H280" i="14"/>
  <c r="F280" i="14"/>
  <c r="F279" i="14"/>
  <c r="E279" i="14"/>
  <c r="AB278" i="14"/>
  <c r="Y278" i="14"/>
  <c r="F278" i="14"/>
  <c r="E278" i="14"/>
  <c r="G278" i="14" s="1"/>
  <c r="AE277" i="14"/>
  <c r="AB277" i="14"/>
  <c r="Z277" i="14"/>
  <c r="Z287" i="14" s="1"/>
  <c r="Y277" i="14"/>
  <c r="W277" i="14"/>
  <c r="V277" i="14"/>
  <c r="F277" i="14"/>
  <c r="E277" i="14"/>
  <c r="F276" i="14"/>
  <c r="E276" i="14"/>
  <c r="AO275" i="14"/>
  <c r="AM275" i="14"/>
  <c r="AL275" i="14"/>
  <c r="AJ275" i="14"/>
  <c r="AI275" i="14"/>
  <c r="AG275" i="14"/>
  <c r="AF275" i="14"/>
  <c r="AD275" i="14"/>
  <c r="AE275" i="14" s="1"/>
  <c r="AC275" i="14"/>
  <c r="AA275" i="14"/>
  <c r="Z275" i="14"/>
  <c r="X275" i="14"/>
  <c r="Y275" i="14" s="1"/>
  <c r="W275" i="14"/>
  <c r="U275" i="14"/>
  <c r="T275" i="14"/>
  <c r="R275" i="14"/>
  <c r="Q275" i="14"/>
  <c r="N275" i="14"/>
  <c r="K275" i="14"/>
  <c r="H275" i="14"/>
  <c r="E275" i="14" s="1"/>
  <c r="F274" i="14"/>
  <c r="E274" i="14"/>
  <c r="AN273" i="14"/>
  <c r="AL273" i="14"/>
  <c r="AL288" i="14" s="1"/>
  <c r="AK273" i="14"/>
  <c r="AH273" i="14"/>
  <c r="AE273" i="14"/>
  <c r="Z273" i="14"/>
  <c r="Z288" i="14" s="1"/>
  <c r="W273" i="14"/>
  <c r="Y273" i="14" s="1"/>
  <c r="Q273" i="14"/>
  <c r="Q288" i="14" s="1"/>
  <c r="N273" i="14"/>
  <c r="F273" i="14"/>
  <c r="AQ272" i="14"/>
  <c r="AN272" i="14"/>
  <c r="AK272" i="14"/>
  <c r="AC272" i="14"/>
  <c r="AB272" i="14"/>
  <c r="Y272" i="14"/>
  <c r="Q272" i="14"/>
  <c r="S272" i="14" s="1"/>
  <c r="F272" i="14"/>
  <c r="F271" i="14"/>
  <c r="E271" i="14"/>
  <c r="AO270" i="14"/>
  <c r="AQ270" i="14" s="1"/>
  <c r="AM270" i="14"/>
  <c r="AL270" i="14"/>
  <c r="AJ270" i="14"/>
  <c r="AI270" i="14"/>
  <c r="AG270" i="14"/>
  <c r="AF270" i="14"/>
  <c r="AD270" i="14"/>
  <c r="AC270" i="14"/>
  <c r="AE270" i="14" s="1"/>
  <c r="AA270" i="14"/>
  <c r="Z270" i="14"/>
  <c r="X270" i="14"/>
  <c r="W270" i="14"/>
  <c r="Y270" i="14" s="1"/>
  <c r="U270" i="14"/>
  <c r="T270" i="14"/>
  <c r="R270" i="14"/>
  <c r="Q270" i="14"/>
  <c r="O270" i="14"/>
  <c r="N270" i="14"/>
  <c r="P270" i="14" s="1"/>
  <c r="L270" i="14"/>
  <c r="K270" i="14"/>
  <c r="H270" i="14"/>
  <c r="E270" i="14"/>
  <c r="AO267" i="14"/>
  <c r="AM267" i="14"/>
  <c r="AL267" i="14"/>
  <c r="AJ267" i="14"/>
  <c r="AI267" i="14"/>
  <c r="AG267" i="14"/>
  <c r="AF267" i="14"/>
  <c r="AD267" i="14"/>
  <c r="AC267" i="14"/>
  <c r="AA267" i="14"/>
  <c r="Z267" i="14"/>
  <c r="X267" i="14"/>
  <c r="W267" i="14"/>
  <c r="U267" i="14"/>
  <c r="T267" i="14"/>
  <c r="R267" i="14"/>
  <c r="Q267" i="14"/>
  <c r="O267" i="14"/>
  <c r="N267" i="14"/>
  <c r="L267" i="14"/>
  <c r="K267" i="14"/>
  <c r="I267" i="14"/>
  <c r="H267" i="14"/>
  <c r="F267" i="14"/>
  <c r="E267" i="14"/>
  <c r="AM266" i="14"/>
  <c r="AN266" i="14" s="1"/>
  <c r="AL266" i="14"/>
  <c r="AL324" i="14" s="1"/>
  <c r="AN324" i="14" s="1"/>
  <c r="AJ266" i="14"/>
  <c r="AJ263" i="14" s="1"/>
  <c r="AI266" i="14"/>
  <c r="AI324" i="14" s="1"/>
  <c r="AG266" i="14"/>
  <c r="AG324" i="14" s="1"/>
  <c r="AD266" i="14"/>
  <c r="AC266" i="14"/>
  <c r="AC324" i="14" s="1"/>
  <c r="AA266" i="14"/>
  <c r="Z266" i="14"/>
  <c r="Z324" i="14" s="1"/>
  <c r="X266" i="14"/>
  <c r="U266" i="14"/>
  <c r="V266" i="14" s="1"/>
  <c r="T266" i="14"/>
  <c r="T324" i="14" s="1"/>
  <c r="V324" i="14" s="1"/>
  <c r="R266" i="14"/>
  <c r="O266" i="14"/>
  <c r="L266" i="14"/>
  <c r="L324" i="14" s="1"/>
  <c r="K266" i="14"/>
  <c r="K324" i="14" s="1"/>
  <c r="K321" i="14" s="1"/>
  <c r="I266" i="14"/>
  <c r="I324" i="14" s="1"/>
  <c r="H266" i="14"/>
  <c r="H324" i="14" s="1"/>
  <c r="AO265" i="14"/>
  <c r="AM265" i="14"/>
  <c r="AL265" i="14"/>
  <c r="AJ265" i="14"/>
  <c r="AI265" i="14"/>
  <c r="AG265" i="14"/>
  <c r="AF265" i="14"/>
  <c r="AD265" i="14"/>
  <c r="AC265" i="14"/>
  <c r="AA265" i="14"/>
  <c r="Z265" i="14"/>
  <c r="Z323" i="14" s="1"/>
  <c r="X265" i="14"/>
  <c r="U265" i="14"/>
  <c r="T265" i="14"/>
  <c r="T323" i="14" s="1"/>
  <c r="T321" i="14" s="1"/>
  <c r="R265" i="14"/>
  <c r="Q265" i="14"/>
  <c r="Q323" i="14" s="1"/>
  <c r="O265" i="14"/>
  <c r="O263" i="14" s="1"/>
  <c r="N265" i="14"/>
  <c r="L265" i="14"/>
  <c r="L263" i="14" s="1"/>
  <c r="M263" i="14" s="1"/>
  <c r="K265" i="14"/>
  <c r="I265" i="14"/>
  <c r="H265" i="14"/>
  <c r="F265" i="14"/>
  <c r="AO264" i="14"/>
  <c r="AM264" i="14"/>
  <c r="AL264" i="14"/>
  <c r="AJ264" i="14"/>
  <c r="AI264" i="14"/>
  <c r="AG264" i="14"/>
  <c r="AF264" i="14"/>
  <c r="AD264" i="14"/>
  <c r="AC264" i="14"/>
  <c r="AA264" i="14"/>
  <c r="Z264" i="14"/>
  <c r="X264" i="14"/>
  <c r="W264" i="14"/>
  <c r="U264" i="14"/>
  <c r="T264" i="14"/>
  <c r="R264" i="14"/>
  <c r="Q264" i="14"/>
  <c r="O264" i="14"/>
  <c r="N264" i="14"/>
  <c r="L264" i="14"/>
  <c r="K264" i="14"/>
  <c r="I264" i="14"/>
  <c r="I263" i="14" s="1"/>
  <c r="H264" i="14"/>
  <c r="F264" i="14"/>
  <c r="E264" i="14"/>
  <c r="AM263" i="14"/>
  <c r="AG263" i="14"/>
  <c r="AD263" i="14"/>
  <c r="AC263" i="14"/>
  <c r="AA263" i="14"/>
  <c r="Z263" i="14"/>
  <c r="X263" i="14"/>
  <c r="U263" i="14"/>
  <c r="T263" i="14"/>
  <c r="R263" i="14"/>
  <c r="K263" i="14"/>
  <c r="H263" i="14"/>
  <c r="F262" i="14"/>
  <c r="E262" i="14"/>
  <c r="AN261" i="14"/>
  <c r="AK261" i="14"/>
  <c r="AE261" i="14"/>
  <c r="AB261" i="14"/>
  <c r="Y261" i="14"/>
  <c r="V261" i="14"/>
  <c r="Q261" i="14"/>
  <c r="S261" i="14" s="1"/>
  <c r="N261" i="14"/>
  <c r="M261" i="14"/>
  <c r="J261" i="14"/>
  <c r="F261" i="14"/>
  <c r="F260" i="14"/>
  <c r="E260" i="14"/>
  <c r="F259" i="14"/>
  <c r="E259" i="14"/>
  <c r="AO258" i="14"/>
  <c r="AM258" i="14"/>
  <c r="AL258" i="14"/>
  <c r="AJ258" i="14"/>
  <c r="AI258" i="14"/>
  <c r="AG258" i="14"/>
  <c r="AF258" i="14"/>
  <c r="AD258" i="14"/>
  <c r="AC258" i="14"/>
  <c r="AE258" i="14" s="1"/>
  <c r="AA258" i="14"/>
  <c r="Z258" i="14"/>
  <c r="X258" i="14"/>
  <c r="W258" i="14"/>
  <c r="Y258" i="14" s="1"/>
  <c r="U258" i="14"/>
  <c r="T258" i="14"/>
  <c r="R258" i="14"/>
  <c r="Q258" i="14"/>
  <c r="O258" i="14"/>
  <c r="N258" i="14"/>
  <c r="L258" i="14"/>
  <c r="K258" i="14"/>
  <c r="M258" i="14" s="1"/>
  <c r="I258" i="14"/>
  <c r="H258" i="14"/>
  <c r="E258" i="14" s="1"/>
  <c r="F257" i="14"/>
  <c r="E257" i="14"/>
  <c r="AH256" i="14"/>
  <c r="N256" i="14"/>
  <c r="E256" i="14" s="1"/>
  <c r="F256" i="14"/>
  <c r="F255" i="14"/>
  <c r="E255" i="14"/>
  <c r="F254" i="14"/>
  <c r="E254" i="14"/>
  <c r="AO253" i="14"/>
  <c r="AM253" i="14"/>
  <c r="AL253" i="14"/>
  <c r="AJ253" i="14"/>
  <c r="AI253" i="14"/>
  <c r="AG253" i="14"/>
  <c r="AH253" i="14" s="1"/>
  <c r="AF253" i="14"/>
  <c r="AD253" i="14"/>
  <c r="F253" i="14" s="1"/>
  <c r="AC253" i="14"/>
  <c r="Z253" i="14"/>
  <c r="W253" i="14"/>
  <c r="T253" i="14"/>
  <c r="R253" i="14"/>
  <c r="Q253" i="14"/>
  <c r="O253" i="14"/>
  <c r="N253" i="14"/>
  <c r="K253" i="14"/>
  <c r="H253" i="14"/>
  <c r="F252" i="14"/>
  <c r="F251" i="14"/>
  <c r="E251" i="14"/>
  <c r="AK250" i="14"/>
  <c r="AH250" i="14"/>
  <c r="W250" i="14"/>
  <c r="Y250" i="14" s="1"/>
  <c r="V250" i="14"/>
  <c r="S250" i="14"/>
  <c r="P250" i="14"/>
  <c r="M250" i="14"/>
  <c r="F250" i="14"/>
  <c r="E250" i="14"/>
  <c r="G250" i="14" s="1"/>
  <c r="F249" i="14"/>
  <c r="E249" i="14"/>
  <c r="F248" i="14"/>
  <c r="E248" i="14"/>
  <c r="AO247" i="14"/>
  <c r="AM247" i="14"/>
  <c r="AL247" i="14"/>
  <c r="AJ247" i="14"/>
  <c r="AK247" i="14" s="1"/>
  <c r="AI247" i="14"/>
  <c r="AG247" i="14"/>
  <c r="AF247" i="14"/>
  <c r="AD247" i="14"/>
  <c r="F247" i="14" s="1"/>
  <c r="AC247" i="14"/>
  <c r="Z247" i="14"/>
  <c r="X247" i="14"/>
  <c r="W247" i="14"/>
  <c r="Y247" i="14" s="1"/>
  <c r="U247" i="14"/>
  <c r="T247" i="14"/>
  <c r="R247" i="14"/>
  <c r="Q247" i="14"/>
  <c r="O247" i="14"/>
  <c r="N247" i="14"/>
  <c r="L247" i="14"/>
  <c r="K247" i="14"/>
  <c r="M247" i="14" s="1"/>
  <c r="I247" i="14"/>
  <c r="H247" i="14"/>
  <c r="E247" i="14" s="1"/>
  <c r="F246" i="14"/>
  <c r="E246" i="14"/>
  <c r="AO245" i="14"/>
  <c r="AF245" i="14"/>
  <c r="AF266" i="14" s="1"/>
  <c r="W245" i="14"/>
  <c r="N245" i="14"/>
  <c r="F245" i="14"/>
  <c r="F244" i="14"/>
  <c r="E244" i="14"/>
  <c r="F243" i="14"/>
  <c r="E243" i="14"/>
  <c r="AM242" i="14"/>
  <c r="AL242" i="14"/>
  <c r="AJ242" i="14"/>
  <c r="AI242" i="14"/>
  <c r="AG242" i="14"/>
  <c r="AF242" i="14"/>
  <c r="AD242" i="14"/>
  <c r="AC242" i="14"/>
  <c r="Z242" i="14"/>
  <c r="T242" i="14"/>
  <c r="R242" i="14"/>
  <c r="Q242" i="14"/>
  <c r="O242" i="14"/>
  <c r="N242" i="14"/>
  <c r="K242" i="14"/>
  <c r="I242" i="14"/>
  <c r="H242" i="14"/>
  <c r="F241" i="14"/>
  <c r="E241" i="14"/>
  <c r="F240" i="14"/>
  <c r="E240" i="14"/>
  <c r="W239" i="14"/>
  <c r="F239" i="14"/>
  <c r="E239" i="14"/>
  <c r="F238" i="14"/>
  <c r="E238" i="14"/>
  <c r="AO237" i="14"/>
  <c r="AM237" i="14"/>
  <c r="AL237" i="14"/>
  <c r="AJ237" i="14"/>
  <c r="AI237" i="14"/>
  <c r="AG237" i="14"/>
  <c r="AF237" i="14"/>
  <c r="AD237" i="14"/>
  <c r="AC237" i="14"/>
  <c r="AA237" i="14"/>
  <c r="Z237" i="14"/>
  <c r="X237" i="14"/>
  <c r="W237" i="14"/>
  <c r="U237" i="14"/>
  <c r="T237" i="14"/>
  <c r="R237" i="14"/>
  <c r="Q237" i="14"/>
  <c r="N237" i="14"/>
  <c r="L237" i="14"/>
  <c r="F237" i="14" s="1"/>
  <c r="K237" i="14"/>
  <c r="H237" i="14"/>
  <c r="E237" i="14" s="1"/>
  <c r="F236" i="14"/>
  <c r="E236" i="14"/>
  <c r="AQ235" i="14"/>
  <c r="AN235" i="14"/>
  <c r="AK235" i="14"/>
  <c r="Y235" i="14"/>
  <c r="S235" i="14"/>
  <c r="M235" i="14"/>
  <c r="F235" i="14"/>
  <c r="E235" i="14"/>
  <c r="W234" i="14"/>
  <c r="F234" i="14"/>
  <c r="E234" i="14"/>
  <c r="F233" i="14"/>
  <c r="E233" i="14"/>
  <c r="AO232" i="14"/>
  <c r="AQ232" i="14" s="1"/>
  <c r="AM232" i="14"/>
  <c r="AN232" i="14" s="1"/>
  <c r="AL232" i="14"/>
  <c r="AJ232" i="14"/>
  <c r="AI232" i="14"/>
  <c r="AG232" i="14"/>
  <c r="AF232" i="14"/>
  <c r="AD232" i="14"/>
  <c r="AC232" i="14"/>
  <c r="AA232" i="14"/>
  <c r="Z232" i="14"/>
  <c r="X232" i="14"/>
  <c r="U232" i="14"/>
  <c r="T232" i="14"/>
  <c r="R232" i="14"/>
  <c r="Q232" i="14"/>
  <c r="N232" i="14"/>
  <c r="L232" i="14"/>
  <c r="K232" i="14"/>
  <c r="M232" i="14" s="1"/>
  <c r="I232" i="14"/>
  <c r="H232" i="14"/>
  <c r="AO230" i="14"/>
  <c r="AL230" i="14"/>
  <c r="AI230" i="14"/>
  <c r="E230" i="14" s="1"/>
  <c r="AF230" i="14"/>
  <c r="AD230" i="14"/>
  <c r="AD226" i="14" s="1"/>
  <c r="AC230" i="14"/>
  <c r="AA230" i="14"/>
  <c r="Z230" i="14"/>
  <c r="X230" i="14"/>
  <c r="X226" i="14" s="1"/>
  <c r="W230" i="14"/>
  <c r="U230" i="14"/>
  <c r="T230" i="14"/>
  <c r="R230" i="14"/>
  <c r="R226" i="14" s="1"/>
  <c r="Q230" i="14"/>
  <c r="O230" i="14"/>
  <c r="N230" i="14"/>
  <c r="L230" i="14"/>
  <c r="L226" i="14" s="1"/>
  <c r="K230" i="14"/>
  <c r="I230" i="14"/>
  <c r="H230" i="14"/>
  <c r="F230" i="14"/>
  <c r="AM229" i="14"/>
  <c r="AJ229" i="14"/>
  <c r="AJ226" i="14" s="1"/>
  <c r="AG229" i="14"/>
  <c r="AF229" i="14"/>
  <c r="AD229" i="14"/>
  <c r="AC229" i="14"/>
  <c r="AA229" i="14"/>
  <c r="Z229" i="14"/>
  <c r="X229" i="14"/>
  <c r="U229" i="14"/>
  <c r="R229" i="14"/>
  <c r="O229" i="14"/>
  <c r="L229" i="14"/>
  <c r="I229" i="14"/>
  <c r="F229" i="14" s="1"/>
  <c r="H229" i="14"/>
  <c r="AM228" i="14"/>
  <c r="AJ228" i="14"/>
  <c r="AG228" i="14"/>
  <c r="AD228" i="14"/>
  <c r="AA228" i="14"/>
  <c r="X228" i="14"/>
  <c r="U228" i="14"/>
  <c r="R228" i="14"/>
  <c r="O228" i="14"/>
  <c r="L228" i="14"/>
  <c r="I228" i="14"/>
  <c r="H228" i="14"/>
  <c r="AM227" i="14"/>
  <c r="AM226" i="14" s="1"/>
  <c r="AJ227" i="14"/>
  <c r="AG227" i="14"/>
  <c r="AG226" i="14" s="1"/>
  <c r="AD227" i="14"/>
  <c r="AA227" i="14"/>
  <c r="AA226" i="14" s="1"/>
  <c r="X227" i="14"/>
  <c r="U227" i="14"/>
  <c r="R227" i="14"/>
  <c r="O227" i="14"/>
  <c r="O226" i="14" s="1"/>
  <c r="L227" i="14"/>
  <c r="I227" i="14"/>
  <c r="F227" i="14" s="1"/>
  <c r="U226" i="14"/>
  <c r="F225" i="14"/>
  <c r="E225" i="14"/>
  <c r="AO224" i="14"/>
  <c r="AN224" i="14"/>
  <c r="AK224" i="14"/>
  <c r="Y224" i="14"/>
  <c r="V224" i="14"/>
  <c r="S224" i="14"/>
  <c r="P224" i="14"/>
  <c r="M224" i="14"/>
  <c r="F224" i="14"/>
  <c r="AQ223" i="14"/>
  <c r="AO223" i="14"/>
  <c r="AN223" i="14"/>
  <c r="AK223" i="14"/>
  <c r="Y223" i="14"/>
  <c r="V223" i="14"/>
  <c r="S223" i="14"/>
  <c r="P223" i="14"/>
  <c r="M223" i="14"/>
  <c r="F223" i="14"/>
  <c r="E223" i="14"/>
  <c r="AO222" i="14"/>
  <c r="AQ222" i="14" s="1"/>
  <c r="AN222" i="14"/>
  <c r="AK222" i="14"/>
  <c r="Y222" i="14"/>
  <c r="V222" i="14"/>
  <c r="S222" i="14"/>
  <c r="P222" i="14"/>
  <c r="M222" i="14"/>
  <c r="F222" i="14"/>
  <c r="E222" i="14"/>
  <c r="G222" i="14" s="1"/>
  <c r="AO221" i="14"/>
  <c r="AQ221" i="14" s="1"/>
  <c r="AM221" i="14"/>
  <c r="AL221" i="14"/>
  <c r="AN221" i="14" s="1"/>
  <c r="AJ221" i="14"/>
  <c r="AI221" i="14"/>
  <c r="AG221" i="14"/>
  <c r="AF221" i="14"/>
  <c r="AD221" i="14"/>
  <c r="AC221" i="14"/>
  <c r="AA221" i="14"/>
  <c r="Z221" i="14"/>
  <c r="X221" i="14"/>
  <c r="W221" i="14"/>
  <c r="Y221" i="14" s="1"/>
  <c r="U221" i="14"/>
  <c r="T221" i="14"/>
  <c r="R221" i="14"/>
  <c r="Q221" i="14"/>
  <c r="O221" i="14"/>
  <c r="N221" i="14"/>
  <c r="L221" i="14"/>
  <c r="K221" i="14"/>
  <c r="M221" i="14" s="1"/>
  <c r="H221" i="14"/>
  <c r="E221" i="14"/>
  <c r="F220" i="14"/>
  <c r="E220" i="14"/>
  <c r="AO219" i="14"/>
  <c r="AQ219" i="14" s="1"/>
  <c r="AL219" i="14"/>
  <c r="AN219" i="14" s="1"/>
  <c r="AI219" i="14"/>
  <c r="AK219" i="14" s="1"/>
  <c r="W219" i="14"/>
  <c r="T219" i="14"/>
  <c r="V219" i="14" s="1"/>
  <c r="Q219" i="14"/>
  <c r="N219" i="14"/>
  <c r="K219" i="14"/>
  <c r="M219" i="14" s="1"/>
  <c r="F219" i="14"/>
  <c r="AO218" i="14"/>
  <c r="AL218" i="14"/>
  <c r="AI218" i="14"/>
  <c r="AF218" i="14"/>
  <c r="AF228" i="14" s="1"/>
  <c r="AC218" i="14"/>
  <c r="AC228" i="14" s="1"/>
  <c r="Z218" i="14"/>
  <c r="W218" i="14"/>
  <c r="T218" i="14"/>
  <c r="Q218" i="14"/>
  <c r="N218" i="14"/>
  <c r="K218" i="14"/>
  <c r="F218" i="14"/>
  <c r="AO217" i="14"/>
  <c r="AL217" i="14"/>
  <c r="AI217" i="14"/>
  <c r="AF217" i="14"/>
  <c r="AF227" i="14" s="1"/>
  <c r="AC217" i="14"/>
  <c r="AC227" i="14" s="1"/>
  <c r="Z217" i="14"/>
  <c r="Z227" i="14" s="1"/>
  <c r="W217" i="14"/>
  <c r="Y217" i="14" s="1"/>
  <c r="T217" i="14"/>
  <c r="T227" i="14" s="1"/>
  <c r="Q217" i="14"/>
  <c r="N217" i="14"/>
  <c r="N227" i="14" s="1"/>
  <c r="K217" i="14"/>
  <c r="M217" i="14" s="1"/>
  <c r="H217" i="14"/>
  <c r="H216" i="14" s="1"/>
  <c r="F217" i="14"/>
  <c r="E217" i="14"/>
  <c r="G217" i="14" s="1"/>
  <c r="AM216" i="14"/>
  <c r="AJ216" i="14"/>
  <c r="AG216" i="14"/>
  <c r="AF216" i="14"/>
  <c r="AD216" i="14"/>
  <c r="AA216" i="14"/>
  <c r="X216" i="14"/>
  <c r="U216" i="14"/>
  <c r="R216" i="14"/>
  <c r="O216" i="14"/>
  <c r="L216" i="14"/>
  <c r="I216" i="14"/>
  <c r="F215" i="14"/>
  <c r="E215" i="14"/>
  <c r="AO214" i="14"/>
  <c r="AO229" i="14" s="1"/>
  <c r="AQ229" i="14" s="1"/>
  <c r="AL214" i="14"/>
  <c r="AL229" i="14" s="1"/>
  <c r="N214" i="14"/>
  <c r="K214" i="14"/>
  <c r="K229" i="14" s="1"/>
  <c r="F214" i="14"/>
  <c r="F213" i="14"/>
  <c r="E213" i="14"/>
  <c r="F212" i="14"/>
  <c r="E212" i="14"/>
  <c r="AL211" i="14"/>
  <c r="AI211" i="14"/>
  <c r="AF211" i="14"/>
  <c r="AD211" i="14"/>
  <c r="AC211" i="14"/>
  <c r="Z211" i="14"/>
  <c r="X211" i="14"/>
  <c r="W211" i="14"/>
  <c r="T211" i="14"/>
  <c r="Q211" i="14"/>
  <c r="O211" i="14"/>
  <c r="L211" i="14"/>
  <c r="K211" i="14"/>
  <c r="H211" i="14"/>
  <c r="F210" i="14"/>
  <c r="E210" i="14"/>
  <c r="F209" i="14"/>
  <c r="E209" i="14"/>
  <c r="F208" i="14"/>
  <c r="E208" i="14"/>
  <c r="F207" i="14"/>
  <c r="E207" i="14"/>
  <c r="AO206" i="14"/>
  <c r="AL206" i="14"/>
  <c r="AI206" i="14"/>
  <c r="AG206" i="14"/>
  <c r="AF206" i="14"/>
  <c r="AD206" i="14"/>
  <c r="AC206" i="14"/>
  <c r="AA206" i="14"/>
  <c r="Z206" i="14"/>
  <c r="W206" i="14"/>
  <c r="U206" i="14"/>
  <c r="T206" i="14"/>
  <c r="R206" i="14"/>
  <c r="Q206" i="14"/>
  <c r="N206" i="14"/>
  <c r="K206" i="14"/>
  <c r="E206" i="14" s="1"/>
  <c r="H206" i="14"/>
  <c r="F206" i="14"/>
  <c r="F205" i="14"/>
  <c r="E205" i="14"/>
  <c r="F204" i="14"/>
  <c r="E204" i="14"/>
  <c r="F203" i="14"/>
  <c r="E203" i="14"/>
  <c r="F202" i="14"/>
  <c r="E202" i="14"/>
  <c r="AO201" i="14"/>
  <c r="AL201" i="14"/>
  <c r="AI201" i="14"/>
  <c r="AF201" i="14"/>
  <c r="AC201" i="14"/>
  <c r="Z201" i="14"/>
  <c r="W201" i="14"/>
  <c r="T201" i="14"/>
  <c r="Q201" i="14"/>
  <c r="N201" i="14"/>
  <c r="K201" i="14"/>
  <c r="H201" i="14"/>
  <c r="F201" i="14"/>
  <c r="F200" i="14"/>
  <c r="E200" i="14"/>
  <c r="T199" i="14"/>
  <c r="P199" i="14"/>
  <c r="F199" i="14"/>
  <c r="F198" i="14"/>
  <c r="E198" i="14"/>
  <c r="F197" i="14"/>
  <c r="E197" i="14"/>
  <c r="AO196" i="14"/>
  <c r="AM196" i="14"/>
  <c r="AL196" i="14"/>
  <c r="AJ196" i="14"/>
  <c r="AI196" i="14"/>
  <c r="AG196" i="14"/>
  <c r="AF196" i="14"/>
  <c r="AC196" i="14"/>
  <c r="Z196" i="14"/>
  <c r="X196" i="14"/>
  <c r="W196" i="14"/>
  <c r="U196" i="14"/>
  <c r="T196" i="14"/>
  <c r="Q196" i="14"/>
  <c r="O196" i="14"/>
  <c r="P196" i="14" s="1"/>
  <c r="N196" i="14"/>
  <c r="K196" i="14"/>
  <c r="H196" i="14"/>
  <c r="E196" i="14"/>
  <c r="AO194" i="14"/>
  <c r="AM194" i="14"/>
  <c r="AM190" i="14" s="1"/>
  <c r="AL194" i="14"/>
  <c r="AI194" i="14"/>
  <c r="AF194" i="14"/>
  <c r="AD194" i="14"/>
  <c r="F194" i="14" s="1"/>
  <c r="AC194" i="14"/>
  <c r="Z194" i="14"/>
  <c r="X194" i="14"/>
  <c r="W194" i="14"/>
  <c r="U194" i="14"/>
  <c r="T194" i="14"/>
  <c r="R194" i="14"/>
  <c r="Q194" i="14"/>
  <c r="O194" i="14"/>
  <c r="N194" i="14"/>
  <c r="L194" i="14"/>
  <c r="K194" i="14"/>
  <c r="I194" i="14"/>
  <c r="H194" i="14"/>
  <c r="E194" i="14" s="1"/>
  <c r="AO193" i="14"/>
  <c r="AQ193" i="14" s="1"/>
  <c r="AM193" i="14"/>
  <c r="AL193" i="14"/>
  <c r="AN193" i="14" s="1"/>
  <c r="AJ193" i="14"/>
  <c r="AG193" i="14"/>
  <c r="AG190" i="14" s="1"/>
  <c r="AF193" i="14"/>
  <c r="AD193" i="14"/>
  <c r="AE193" i="14" s="1"/>
  <c r="AC193" i="14"/>
  <c r="AA193" i="14"/>
  <c r="Z193" i="14"/>
  <c r="X193" i="14"/>
  <c r="Y193" i="14" s="1"/>
  <c r="W193" i="14"/>
  <c r="U193" i="14"/>
  <c r="T193" i="14"/>
  <c r="R193" i="14"/>
  <c r="S193" i="14" s="1"/>
  <c r="Q193" i="14"/>
  <c r="O193" i="14"/>
  <c r="N193" i="14"/>
  <c r="L193" i="14"/>
  <c r="M193" i="14" s="1"/>
  <c r="K193" i="14"/>
  <c r="I193" i="14"/>
  <c r="H193" i="14"/>
  <c r="F193" i="14"/>
  <c r="AM192" i="14"/>
  <c r="AL192" i="14"/>
  <c r="AJ192" i="14"/>
  <c r="AI192" i="14"/>
  <c r="AG192" i="14"/>
  <c r="AD192" i="14"/>
  <c r="AD190" i="14" s="1"/>
  <c r="AC192" i="14"/>
  <c r="AA192" i="14"/>
  <c r="Z192" i="14"/>
  <c r="X192" i="14"/>
  <c r="X190" i="14" s="1"/>
  <c r="U192" i="14"/>
  <c r="T192" i="14"/>
  <c r="R192" i="14"/>
  <c r="Q192" i="14"/>
  <c r="O192" i="14"/>
  <c r="L192" i="14"/>
  <c r="K192" i="14"/>
  <c r="I192" i="14"/>
  <c r="H192" i="14"/>
  <c r="AO191" i="14"/>
  <c r="AM191" i="14"/>
  <c r="AL191" i="14"/>
  <c r="AL190" i="14" s="1"/>
  <c r="AJ191" i="14"/>
  <c r="AI191" i="14"/>
  <c r="AG191" i="14"/>
  <c r="AF191" i="14"/>
  <c r="AD191" i="14"/>
  <c r="AC191" i="14"/>
  <c r="AA191" i="14"/>
  <c r="Z191" i="14"/>
  <c r="Z190" i="14" s="1"/>
  <c r="X191" i="14"/>
  <c r="W191" i="14"/>
  <c r="U191" i="14"/>
  <c r="T191" i="14"/>
  <c r="T190" i="14" s="1"/>
  <c r="R191" i="14"/>
  <c r="Q191" i="14"/>
  <c r="Q190" i="14" s="1"/>
  <c r="O191" i="14"/>
  <c r="N191" i="14"/>
  <c r="L191" i="14"/>
  <c r="K191" i="14"/>
  <c r="K190" i="14" s="1"/>
  <c r="I191" i="14"/>
  <c r="H191" i="14"/>
  <c r="E191" i="14" s="1"/>
  <c r="F191" i="14"/>
  <c r="AJ190" i="14"/>
  <c r="AC190" i="14"/>
  <c r="U190" i="14"/>
  <c r="V190" i="14" s="1"/>
  <c r="O190" i="14"/>
  <c r="H190" i="14"/>
  <c r="F189" i="14"/>
  <c r="E189" i="14"/>
  <c r="F188" i="14"/>
  <c r="E188" i="14"/>
  <c r="F187" i="14"/>
  <c r="E187" i="14"/>
  <c r="F186" i="14"/>
  <c r="E186" i="14"/>
  <c r="AO185" i="14"/>
  <c r="AL185" i="14"/>
  <c r="AI185" i="14"/>
  <c r="AF185" i="14"/>
  <c r="AC185" i="14"/>
  <c r="Z185" i="14"/>
  <c r="W185" i="14"/>
  <c r="T185" i="14"/>
  <c r="Q185" i="14"/>
  <c r="N185" i="14"/>
  <c r="K185" i="14"/>
  <c r="H185" i="14"/>
  <c r="E185" i="14" s="1"/>
  <c r="F185" i="14"/>
  <c r="F184" i="14"/>
  <c r="E184" i="14"/>
  <c r="AQ183" i="14"/>
  <c r="AN183" i="14"/>
  <c r="AK183" i="14"/>
  <c r="AH183" i="14"/>
  <c r="AE183" i="14"/>
  <c r="AB183" i="14"/>
  <c r="Y183" i="14"/>
  <c r="V183" i="14"/>
  <c r="S183" i="14"/>
  <c r="P183" i="14"/>
  <c r="M183" i="14"/>
  <c r="J183" i="14"/>
  <c r="F183" i="14"/>
  <c r="E183" i="14"/>
  <c r="AO182" i="14"/>
  <c r="AN182" i="14"/>
  <c r="AK182" i="14"/>
  <c r="AF182" i="14"/>
  <c r="AE182" i="14"/>
  <c r="AB182" i="14"/>
  <c r="W182" i="14"/>
  <c r="V182" i="14"/>
  <c r="S182" i="14"/>
  <c r="N182" i="14"/>
  <c r="M182" i="14"/>
  <c r="J182" i="14"/>
  <c r="F182" i="14"/>
  <c r="E182" i="14"/>
  <c r="F181" i="14"/>
  <c r="E181" i="14"/>
  <c r="AO180" i="14"/>
  <c r="AQ180" i="14" s="1"/>
  <c r="AM180" i="14"/>
  <c r="AN180" i="14" s="1"/>
  <c r="AL180" i="14"/>
  <c r="AJ180" i="14"/>
  <c r="AI180" i="14"/>
  <c r="AG180" i="14"/>
  <c r="AD180" i="14"/>
  <c r="AC180" i="14"/>
  <c r="AA180" i="14"/>
  <c r="AB180" i="14" s="1"/>
  <c r="Z180" i="14"/>
  <c r="X180" i="14"/>
  <c r="W180" i="14"/>
  <c r="U180" i="14"/>
  <c r="V180" i="14" s="1"/>
  <c r="T180" i="14"/>
  <c r="R180" i="14"/>
  <c r="Q180" i="14"/>
  <c r="O180" i="14"/>
  <c r="L180" i="14"/>
  <c r="K180" i="14"/>
  <c r="I180" i="14"/>
  <c r="H180" i="14"/>
  <c r="F179" i="14"/>
  <c r="E179" i="14"/>
  <c r="AQ178" i="14"/>
  <c r="F178" i="14"/>
  <c r="E178" i="14"/>
  <c r="F177" i="14"/>
  <c r="E177" i="14"/>
  <c r="F176" i="14"/>
  <c r="E176" i="14"/>
  <c r="AQ175" i="14"/>
  <c r="AO175" i="14"/>
  <c r="AM175" i="14"/>
  <c r="AL175" i="14"/>
  <c r="AJ175" i="14"/>
  <c r="AI175" i="14"/>
  <c r="AG175" i="14"/>
  <c r="AF175" i="14"/>
  <c r="AD175" i="14"/>
  <c r="AC175" i="14"/>
  <c r="AA175" i="14"/>
  <c r="Z175" i="14"/>
  <c r="X175" i="14"/>
  <c r="W175" i="14"/>
  <c r="U175" i="14"/>
  <c r="T175" i="14"/>
  <c r="R175" i="14"/>
  <c r="Q175" i="14"/>
  <c r="O175" i="14"/>
  <c r="N175" i="14"/>
  <c r="L175" i="14"/>
  <c r="K175" i="14"/>
  <c r="I175" i="14"/>
  <c r="H175" i="14"/>
  <c r="F175" i="14"/>
  <c r="E175" i="14"/>
  <c r="F174" i="14"/>
  <c r="E174" i="14"/>
  <c r="AQ173" i="14"/>
  <c r="AK173" i="14"/>
  <c r="S173" i="14"/>
  <c r="P173" i="14"/>
  <c r="F173" i="14"/>
  <c r="G173" i="14" s="1"/>
  <c r="E173" i="14"/>
  <c r="F172" i="14"/>
  <c r="E172" i="14"/>
  <c r="F171" i="14"/>
  <c r="E171" i="14"/>
  <c r="AO170" i="14"/>
  <c r="AQ170" i="14" s="1"/>
  <c r="AM170" i="14"/>
  <c r="AL170" i="14"/>
  <c r="AJ170" i="14"/>
  <c r="AI170" i="14"/>
  <c r="AG170" i="14"/>
  <c r="AF170" i="14"/>
  <c r="AC170" i="14"/>
  <c r="Z170" i="14"/>
  <c r="X170" i="14"/>
  <c r="W170" i="14"/>
  <c r="U170" i="14"/>
  <c r="T170" i="14"/>
  <c r="R170" i="14"/>
  <c r="Q170" i="14"/>
  <c r="O170" i="14"/>
  <c r="N170" i="14"/>
  <c r="L170" i="14"/>
  <c r="K170" i="14"/>
  <c r="H170" i="14"/>
  <c r="F170" i="14"/>
  <c r="F169" i="14"/>
  <c r="E169" i="14"/>
  <c r="AK168" i="14"/>
  <c r="AE168" i="14"/>
  <c r="F168" i="14"/>
  <c r="E168" i="14"/>
  <c r="G168" i="14" s="1"/>
  <c r="F167" i="14"/>
  <c r="E167" i="14"/>
  <c r="F166" i="14"/>
  <c r="E166" i="14"/>
  <c r="AO165" i="14"/>
  <c r="AM165" i="14"/>
  <c r="AL165" i="14"/>
  <c r="AJ165" i="14"/>
  <c r="AI165" i="14"/>
  <c r="AG165" i="14"/>
  <c r="AF165" i="14"/>
  <c r="AD165" i="14"/>
  <c r="AC165" i="14"/>
  <c r="Z165" i="14"/>
  <c r="W165" i="14"/>
  <c r="T165" i="14"/>
  <c r="Q165" i="14"/>
  <c r="N165" i="14"/>
  <c r="K165" i="14"/>
  <c r="H165" i="14"/>
  <c r="F164" i="14"/>
  <c r="E164" i="14"/>
  <c r="AI163" i="14"/>
  <c r="F163" i="14"/>
  <c r="E163" i="14"/>
  <c r="F162" i="14"/>
  <c r="E162" i="14"/>
  <c r="F161" i="14"/>
  <c r="E161" i="14"/>
  <c r="AO160" i="14"/>
  <c r="AM160" i="14"/>
  <c r="AL160" i="14"/>
  <c r="AJ160" i="14"/>
  <c r="AG160" i="14"/>
  <c r="AF160" i="14"/>
  <c r="AC160" i="14"/>
  <c r="Z160" i="14"/>
  <c r="W160" i="14"/>
  <c r="T160" i="14"/>
  <c r="Q160" i="14"/>
  <c r="N160" i="14"/>
  <c r="L160" i="14"/>
  <c r="K160" i="14"/>
  <c r="I160" i="14"/>
  <c r="H160" i="14"/>
  <c r="F160" i="14"/>
  <c r="AO158" i="14"/>
  <c r="AM158" i="14"/>
  <c r="AL158" i="14"/>
  <c r="AJ158" i="14"/>
  <c r="AI158" i="14"/>
  <c r="AG158" i="14"/>
  <c r="AF158" i="14"/>
  <c r="AD158" i="14"/>
  <c r="AC158" i="14"/>
  <c r="AA158" i="14"/>
  <c r="Z158" i="14"/>
  <c r="X158" i="14"/>
  <c r="W158" i="14"/>
  <c r="U158" i="14"/>
  <c r="T158" i="14"/>
  <c r="R158" i="14"/>
  <c r="F158" i="14" s="1"/>
  <c r="Q158" i="14"/>
  <c r="O158" i="14"/>
  <c r="N158" i="14"/>
  <c r="L158" i="14"/>
  <c r="K158" i="14"/>
  <c r="I158" i="14"/>
  <c r="H158" i="14"/>
  <c r="E158" i="14"/>
  <c r="AM157" i="14"/>
  <c r="AJ157" i="14"/>
  <c r="AG157" i="14"/>
  <c r="AD157" i="14"/>
  <c r="AC157" i="14"/>
  <c r="AA157" i="14"/>
  <c r="Z157" i="14"/>
  <c r="X157" i="14"/>
  <c r="U157" i="14"/>
  <c r="R157" i="14"/>
  <c r="O157" i="14"/>
  <c r="L157" i="14"/>
  <c r="I157" i="14"/>
  <c r="AM156" i="14"/>
  <c r="AL156" i="14"/>
  <c r="AJ156" i="14"/>
  <c r="AG156" i="14"/>
  <c r="AH156" i="14" s="1"/>
  <c r="AF156" i="14"/>
  <c r="AD156" i="14"/>
  <c r="AC156" i="14"/>
  <c r="AA156" i="14"/>
  <c r="X156" i="14"/>
  <c r="U156" i="14"/>
  <c r="V156" i="14" s="1"/>
  <c r="T156" i="14"/>
  <c r="R156" i="14"/>
  <c r="Q156" i="14"/>
  <c r="O156" i="14"/>
  <c r="L156" i="14"/>
  <c r="I156" i="14"/>
  <c r="J156" i="14" s="1"/>
  <c r="H156" i="14"/>
  <c r="F156" i="14"/>
  <c r="AM155" i="14"/>
  <c r="AJ155" i="14"/>
  <c r="AJ154" i="14" s="1"/>
  <c r="AG155" i="14"/>
  <c r="AD155" i="14"/>
  <c r="AA155" i="14"/>
  <c r="X155" i="14"/>
  <c r="X154" i="14" s="1"/>
  <c r="U155" i="14"/>
  <c r="R155" i="14"/>
  <c r="O155" i="14"/>
  <c r="L155" i="14"/>
  <c r="L154" i="14" s="1"/>
  <c r="I155" i="14"/>
  <c r="AM154" i="14"/>
  <c r="AA154" i="14"/>
  <c r="O154" i="14"/>
  <c r="F153" i="14"/>
  <c r="E153" i="14"/>
  <c r="AN152" i="14"/>
  <c r="AK152" i="14"/>
  <c r="AH152" i="14"/>
  <c r="AB152" i="14"/>
  <c r="Y152" i="14"/>
  <c r="V152" i="14"/>
  <c r="S152" i="14"/>
  <c r="P152" i="14"/>
  <c r="M152" i="14"/>
  <c r="F152" i="14"/>
  <c r="E152" i="14"/>
  <c r="G152" i="14" s="1"/>
  <c r="AN151" i="14"/>
  <c r="AK151" i="14"/>
  <c r="AH151" i="14"/>
  <c r="AB151" i="14"/>
  <c r="Y151" i="14"/>
  <c r="V151" i="14"/>
  <c r="S151" i="14"/>
  <c r="P151" i="14"/>
  <c r="M151" i="14"/>
  <c r="F151" i="14"/>
  <c r="G151" i="14" s="1"/>
  <c r="E151" i="14"/>
  <c r="AN150" i="14"/>
  <c r="AK150" i="14"/>
  <c r="AH150" i="14"/>
  <c r="AB150" i="14"/>
  <c r="Y150" i="14"/>
  <c r="V150" i="14"/>
  <c r="S150" i="14"/>
  <c r="P150" i="14"/>
  <c r="M150" i="14"/>
  <c r="F150" i="14"/>
  <c r="E150" i="14"/>
  <c r="G150" i="14" s="1"/>
  <c r="AO149" i="14"/>
  <c r="AM149" i="14"/>
  <c r="AN149" i="14" s="1"/>
  <c r="AL149" i="14"/>
  <c r="AJ149" i="14"/>
  <c r="AI149" i="14"/>
  <c r="AG149" i="14"/>
  <c r="AH149" i="14" s="1"/>
  <c r="AF149" i="14"/>
  <c r="AD149" i="14"/>
  <c r="AC149" i="14"/>
  <c r="AA149" i="14"/>
  <c r="Z149" i="14"/>
  <c r="X149" i="14"/>
  <c r="Y149" i="14" s="1"/>
  <c r="W149" i="14"/>
  <c r="U149" i="14"/>
  <c r="T149" i="14"/>
  <c r="R149" i="14"/>
  <c r="S149" i="14" s="1"/>
  <c r="Q149" i="14"/>
  <c r="O149" i="14"/>
  <c r="N149" i="14"/>
  <c r="L149" i="14"/>
  <c r="M149" i="14" s="1"/>
  <c r="K149" i="14"/>
  <c r="I149" i="14"/>
  <c r="H149" i="14"/>
  <c r="E149" i="14"/>
  <c r="F148" i="14"/>
  <c r="E148" i="14"/>
  <c r="T147" i="14"/>
  <c r="F147" i="14"/>
  <c r="E147" i="14"/>
  <c r="F146" i="14"/>
  <c r="E146" i="14"/>
  <c r="F145" i="14"/>
  <c r="E145" i="14"/>
  <c r="AO144" i="14"/>
  <c r="AM144" i="14"/>
  <c r="AL144" i="14"/>
  <c r="AJ144" i="14"/>
  <c r="AI144" i="14"/>
  <c r="AG144" i="14"/>
  <c r="AF144" i="14"/>
  <c r="AD144" i="14"/>
  <c r="AC144" i="14"/>
  <c r="AA144" i="14"/>
  <c r="Z144" i="14"/>
  <c r="X144" i="14"/>
  <c r="W144" i="14"/>
  <c r="U144" i="14"/>
  <c r="T144" i="14"/>
  <c r="R144" i="14"/>
  <c r="Q144" i="14"/>
  <c r="O144" i="14"/>
  <c r="N144" i="14"/>
  <c r="L144" i="14"/>
  <c r="K144" i="14"/>
  <c r="E144" i="14" s="1"/>
  <c r="H144" i="14"/>
  <c r="F144" i="14"/>
  <c r="F143" i="14"/>
  <c r="E143" i="14"/>
  <c r="F142" i="14"/>
  <c r="E142" i="14"/>
  <c r="F141" i="14"/>
  <c r="E141" i="14"/>
  <c r="F140" i="14"/>
  <c r="E140" i="14"/>
  <c r="AO139" i="14"/>
  <c r="AM139" i="14"/>
  <c r="AL139" i="14"/>
  <c r="AJ139" i="14"/>
  <c r="AI139" i="14"/>
  <c r="AF139" i="14"/>
  <c r="AD139" i="14"/>
  <c r="AC139" i="14"/>
  <c r="AA139" i="14"/>
  <c r="Z139" i="14"/>
  <c r="X139" i="14"/>
  <c r="W139" i="14"/>
  <c r="U139" i="14"/>
  <c r="T139" i="14"/>
  <c r="R139" i="14"/>
  <c r="Q139" i="14"/>
  <c r="O139" i="14"/>
  <c r="N139" i="14"/>
  <c r="L139" i="14"/>
  <c r="F139" i="14" s="1"/>
  <c r="K139" i="14"/>
  <c r="H139" i="14"/>
  <c r="E139" i="14" s="1"/>
  <c r="F138" i="14"/>
  <c r="E138" i="14"/>
  <c r="F137" i="14"/>
  <c r="E137" i="14"/>
  <c r="AQ136" i="14"/>
  <c r="Z136" i="14"/>
  <c r="Z156" i="14" s="1"/>
  <c r="W136" i="14"/>
  <c r="V136" i="14"/>
  <c r="S136" i="14"/>
  <c r="P136" i="14"/>
  <c r="K136" i="14"/>
  <c r="F136" i="14"/>
  <c r="F135" i="14"/>
  <c r="E135" i="14"/>
  <c r="AO134" i="14"/>
  <c r="AQ134" i="14" s="1"/>
  <c r="AM134" i="14"/>
  <c r="AL134" i="14"/>
  <c r="AJ134" i="14"/>
  <c r="AI134" i="14"/>
  <c r="AG134" i="14"/>
  <c r="AF134" i="14"/>
  <c r="AD134" i="14"/>
  <c r="AC134" i="14"/>
  <c r="AA134" i="14"/>
  <c r="Z134" i="14"/>
  <c r="X134" i="14"/>
  <c r="W134" i="14"/>
  <c r="Y134" i="14" s="1"/>
  <c r="U134" i="14"/>
  <c r="T134" i="14"/>
  <c r="R134" i="14"/>
  <c r="Q134" i="14"/>
  <c r="O134" i="14"/>
  <c r="N134" i="14"/>
  <c r="L134" i="14"/>
  <c r="K134" i="14"/>
  <c r="H134" i="14"/>
  <c r="F134" i="14"/>
  <c r="F133" i="14"/>
  <c r="E133" i="14"/>
  <c r="AQ132" i="14"/>
  <c r="AN132" i="14"/>
  <c r="AL132" i="14"/>
  <c r="AK132" i="14"/>
  <c r="AI132" i="14"/>
  <c r="AF132" i="14"/>
  <c r="AF129" i="14" s="1"/>
  <c r="AB132" i="14"/>
  <c r="Y132" i="14"/>
  <c r="T132" i="14"/>
  <c r="V132" i="14" s="1"/>
  <c r="Q132" i="14"/>
  <c r="Q129" i="14" s="1"/>
  <c r="N132" i="14"/>
  <c r="P132" i="14" s="1"/>
  <c r="K132" i="14"/>
  <c r="J132" i="14"/>
  <c r="F132" i="14"/>
  <c r="F131" i="14"/>
  <c r="E131" i="14"/>
  <c r="F130" i="14"/>
  <c r="E130" i="14"/>
  <c r="AQ129" i="14"/>
  <c r="AO129" i="14"/>
  <c r="AM129" i="14"/>
  <c r="AL129" i="14"/>
  <c r="AJ129" i="14"/>
  <c r="AK129" i="14" s="1"/>
  <c r="AI129" i="14"/>
  <c r="AG129" i="14"/>
  <c r="AD129" i="14"/>
  <c r="AC129" i="14"/>
  <c r="AA129" i="14"/>
  <c r="Z129" i="14"/>
  <c r="X129" i="14"/>
  <c r="Y129" i="14" s="1"/>
  <c r="W129" i="14"/>
  <c r="U129" i="14"/>
  <c r="T129" i="14"/>
  <c r="R129" i="14"/>
  <c r="S129" i="14" s="1"/>
  <c r="O129" i="14"/>
  <c r="N129" i="14"/>
  <c r="L129" i="14"/>
  <c r="I129" i="14"/>
  <c r="F129" i="14" s="1"/>
  <c r="H129" i="14"/>
  <c r="F128" i="14"/>
  <c r="E128" i="14"/>
  <c r="AO127" i="14"/>
  <c r="AO157" i="14" s="1"/>
  <c r="AQ157" i="14" s="1"/>
  <c r="AN127" i="14"/>
  <c r="AK127" i="14"/>
  <c r="AH127" i="14"/>
  <c r="AE127" i="14"/>
  <c r="AB127" i="14"/>
  <c r="Y127" i="14"/>
  <c r="V127" i="14"/>
  <c r="Q127" i="14"/>
  <c r="N127" i="14"/>
  <c r="P127" i="14" s="1"/>
  <c r="M127" i="14"/>
  <c r="J127" i="14"/>
  <c r="F127" i="14"/>
  <c r="E127" i="14"/>
  <c r="G127" i="14" s="1"/>
  <c r="F126" i="14"/>
  <c r="E126" i="14"/>
  <c r="F125" i="14"/>
  <c r="E125" i="14"/>
  <c r="AO124" i="14"/>
  <c r="AQ124" i="14" s="1"/>
  <c r="AM124" i="14"/>
  <c r="AL124" i="14"/>
  <c r="AN124" i="14" s="1"/>
  <c r="AJ124" i="14"/>
  <c r="AI124" i="14"/>
  <c r="AG124" i="14"/>
  <c r="AF124" i="14"/>
  <c r="AH124" i="14" s="1"/>
  <c r="AD124" i="14"/>
  <c r="AC124" i="14"/>
  <c r="AA124" i="14"/>
  <c r="Z124" i="14"/>
  <c r="X124" i="14"/>
  <c r="W124" i="14"/>
  <c r="U124" i="14"/>
  <c r="T124" i="14"/>
  <c r="V124" i="14" s="1"/>
  <c r="R124" i="14"/>
  <c r="Q124" i="14"/>
  <c r="O124" i="14"/>
  <c r="L124" i="14"/>
  <c r="K124" i="14"/>
  <c r="I124" i="14"/>
  <c r="H124" i="14"/>
  <c r="F124" i="14"/>
  <c r="F123" i="14"/>
  <c r="E123" i="14"/>
  <c r="F122" i="14"/>
  <c r="E122" i="14"/>
  <c r="F121" i="14"/>
  <c r="E121" i="14"/>
  <c r="AO120" i="14"/>
  <c r="AN120" i="14"/>
  <c r="AK120" i="14"/>
  <c r="AH120" i="14"/>
  <c r="AE120" i="14"/>
  <c r="Y120" i="14"/>
  <c r="V120" i="14"/>
  <c r="S120" i="14"/>
  <c r="P120" i="14"/>
  <c r="M120" i="14"/>
  <c r="J120" i="14"/>
  <c r="F120" i="14"/>
  <c r="AO119" i="14"/>
  <c r="AQ119" i="14" s="1"/>
  <c r="AM119" i="14"/>
  <c r="AL119" i="14"/>
  <c r="AJ119" i="14"/>
  <c r="AI119" i="14"/>
  <c r="AG119" i="14"/>
  <c r="AF119" i="14"/>
  <c r="AD119" i="14"/>
  <c r="AC119" i="14"/>
  <c r="AE119" i="14" s="1"/>
  <c r="AA119" i="14"/>
  <c r="Z119" i="14"/>
  <c r="X119" i="14"/>
  <c r="W119" i="14"/>
  <c r="U119" i="14"/>
  <c r="T119" i="14"/>
  <c r="V119" i="14" s="1"/>
  <c r="R119" i="14"/>
  <c r="Q119" i="14"/>
  <c r="O119" i="14"/>
  <c r="N119" i="14"/>
  <c r="P119" i="14" s="1"/>
  <c r="L119" i="14"/>
  <c r="K119" i="14"/>
  <c r="I119" i="14"/>
  <c r="H119" i="14"/>
  <c r="J119" i="14" s="1"/>
  <c r="F119" i="14"/>
  <c r="F118" i="14"/>
  <c r="E118" i="14"/>
  <c r="AQ117" i="14"/>
  <c r="AN117" i="14"/>
  <c r="AK117" i="14"/>
  <c r="AH117" i="14"/>
  <c r="AE117" i="14"/>
  <c r="AB117" i="14"/>
  <c r="Y117" i="14"/>
  <c r="V117" i="14"/>
  <c r="S117" i="14"/>
  <c r="P117" i="14"/>
  <c r="M117" i="14"/>
  <c r="J117" i="14"/>
  <c r="F117" i="14"/>
  <c r="G117" i="14" s="1"/>
  <c r="E117" i="14"/>
  <c r="AO116" i="14"/>
  <c r="AN116" i="14"/>
  <c r="AK116" i="14"/>
  <c r="AI116" i="14"/>
  <c r="AI156" i="14" s="1"/>
  <c r="AH116" i="14"/>
  <c r="AE116" i="14"/>
  <c r="AB116" i="14"/>
  <c r="W116" i="14"/>
  <c r="V116" i="14"/>
  <c r="S116" i="14"/>
  <c r="N116" i="14"/>
  <c r="M116" i="14"/>
  <c r="J116" i="14"/>
  <c r="F116" i="14"/>
  <c r="AO115" i="14"/>
  <c r="AO155" i="14" s="1"/>
  <c r="AQ155" i="14" s="1"/>
  <c r="AL115" i="14"/>
  <c r="AL155" i="14" s="1"/>
  <c r="AI115" i="14"/>
  <c r="AF115" i="14"/>
  <c r="AF155" i="14" s="1"/>
  <c r="AC115" i="14"/>
  <c r="Z115" i="14"/>
  <c r="Z155" i="14" s="1"/>
  <c r="Y115" i="14"/>
  <c r="W115" i="14"/>
  <c r="W155" i="14" s="1"/>
  <c r="V115" i="14"/>
  <c r="T115" i="14"/>
  <c r="T155" i="14" s="1"/>
  <c r="S115" i="14"/>
  <c r="Q115" i="14"/>
  <c r="Q155" i="14" s="1"/>
  <c r="P115" i="14"/>
  <c r="N115" i="14"/>
  <c r="N155" i="14" s="1"/>
  <c r="M115" i="14"/>
  <c r="K115" i="14"/>
  <c r="K155" i="14" s="1"/>
  <c r="J115" i="14"/>
  <c r="H115" i="14"/>
  <c r="H155" i="14" s="1"/>
  <c r="F115" i="14"/>
  <c r="AM114" i="14"/>
  <c r="AL114" i="14"/>
  <c r="AJ114" i="14"/>
  <c r="AG114" i="14"/>
  <c r="AF114" i="14"/>
  <c r="AD114" i="14"/>
  <c r="AA114" i="14"/>
  <c r="Z114" i="14"/>
  <c r="X114" i="14"/>
  <c r="Y114" i="14" s="1"/>
  <c r="W114" i="14"/>
  <c r="U114" i="14"/>
  <c r="T114" i="14"/>
  <c r="R114" i="14"/>
  <c r="S114" i="14" s="1"/>
  <c r="Q114" i="14"/>
  <c r="O114" i="14"/>
  <c r="F114" i="14" s="1"/>
  <c r="L114" i="14"/>
  <c r="M114" i="14" s="1"/>
  <c r="K114" i="14"/>
  <c r="I114" i="14"/>
  <c r="H114" i="14"/>
  <c r="F113" i="14"/>
  <c r="E113" i="14"/>
  <c r="AI112" i="14"/>
  <c r="AI157" i="14" s="1"/>
  <c r="T112" i="14"/>
  <c r="T109" i="14" s="1"/>
  <c r="F112" i="14"/>
  <c r="F111" i="14"/>
  <c r="E111" i="14"/>
  <c r="F110" i="14"/>
  <c r="E110" i="14"/>
  <c r="AO109" i="14"/>
  <c r="AL109" i="14"/>
  <c r="AJ109" i="14"/>
  <c r="AI109" i="14"/>
  <c r="AG109" i="14"/>
  <c r="AF109" i="14"/>
  <c r="AD109" i="14"/>
  <c r="AC109" i="14"/>
  <c r="AA109" i="14"/>
  <c r="Z109" i="14"/>
  <c r="X109" i="14"/>
  <c r="W109" i="14"/>
  <c r="U109" i="14"/>
  <c r="R109" i="14"/>
  <c r="Q109" i="14"/>
  <c r="O109" i="14"/>
  <c r="N109" i="14"/>
  <c r="K109" i="14"/>
  <c r="H109" i="14"/>
  <c r="F109" i="14"/>
  <c r="F108" i="14"/>
  <c r="E108" i="14"/>
  <c r="V107" i="14"/>
  <c r="F107" i="14"/>
  <c r="G107" i="14" s="1"/>
  <c r="E107" i="14"/>
  <c r="F106" i="14"/>
  <c r="E106" i="14"/>
  <c r="F105" i="14"/>
  <c r="E105" i="14"/>
  <c r="AO104" i="14"/>
  <c r="AM104" i="14"/>
  <c r="AL104" i="14"/>
  <c r="AI104" i="14"/>
  <c r="AG104" i="14"/>
  <c r="AF104" i="14"/>
  <c r="AC104" i="14"/>
  <c r="AA104" i="14"/>
  <c r="Z104" i="14"/>
  <c r="X104" i="14"/>
  <c r="W104" i="14"/>
  <c r="U104" i="14"/>
  <c r="T104" i="14"/>
  <c r="R104" i="14"/>
  <c r="Q104" i="14"/>
  <c r="N104" i="14"/>
  <c r="K104" i="14"/>
  <c r="H104" i="14"/>
  <c r="F104" i="14"/>
  <c r="F103" i="14"/>
  <c r="E103" i="14"/>
  <c r="AB102" i="14"/>
  <c r="V102" i="14"/>
  <c r="S102" i="14"/>
  <c r="P102" i="14"/>
  <c r="F102" i="14"/>
  <c r="E102" i="14"/>
  <c r="F101" i="14"/>
  <c r="E101" i="14"/>
  <c r="F100" i="14"/>
  <c r="E100" i="14"/>
  <c r="AO99" i="14"/>
  <c r="AM99" i="14"/>
  <c r="AL99" i="14"/>
  <c r="AJ99" i="14"/>
  <c r="AI99" i="14"/>
  <c r="AG99" i="14"/>
  <c r="AF99" i="14"/>
  <c r="AD99" i="14"/>
  <c r="AC99" i="14"/>
  <c r="AA99" i="14"/>
  <c r="Z99" i="14"/>
  <c r="X99" i="14"/>
  <c r="W99" i="14"/>
  <c r="U99" i="14"/>
  <c r="V99" i="14" s="1"/>
  <c r="T99" i="14"/>
  <c r="R99" i="14"/>
  <c r="Q99" i="14"/>
  <c r="O99" i="14"/>
  <c r="P99" i="14" s="1"/>
  <c r="N99" i="14"/>
  <c r="L99" i="14"/>
  <c r="F99" i="14" s="1"/>
  <c r="K99" i="14"/>
  <c r="H99" i="14"/>
  <c r="F98" i="14"/>
  <c r="E98" i="14"/>
  <c r="AB97" i="14"/>
  <c r="W97" i="14"/>
  <c r="W157" i="14" s="1"/>
  <c r="F97" i="14"/>
  <c r="F96" i="14"/>
  <c r="E96" i="14"/>
  <c r="F95" i="14"/>
  <c r="E95" i="14"/>
  <c r="AO94" i="14"/>
  <c r="AL94" i="14"/>
  <c r="AI94" i="14"/>
  <c r="AF94" i="14"/>
  <c r="AC94" i="14"/>
  <c r="AA94" i="14"/>
  <c r="AB94" i="14" s="1"/>
  <c r="Z94" i="14"/>
  <c r="X94" i="14"/>
  <c r="T94" i="14"/>
  <c r="Q94" i="14"/>
  <c r="N94" i="14"/>
  <c r="K94" i="14"/>
  <c r="H94" i="14"/>
  <c r="F94" i="14"/>
  <c r="F93" i="14"/>
  <c r="E93" i="14"/>
  <c r="AQ92" i="14"/>
  <c r="AN92" i="14"/>
  <c r="AK92" i="14"/>
  <c r="AH92" i="14"/>
  <c r="AE92" i="14"/>
  <c r="Y92" i="14"/>
  <c r="S92" i="14"/>
  <c r="P92" i="14"/>
  <c r="N92" i="14"/>
  <c r="M92" i="14"/>
  <c r="H92" i="14"/>
  <c r="F92" i="14"/>
  <c r="F91" i="14"/>
  <c r="E91" i="14"/>
  <c r="F90" i="14"/>
  <c r="E90" i="14"/>
  <c r="AO89" i="14"/>
  <c r="AQ89" i="14" s="1"/>
  <c r="AM89" i="14"/>
  <c r="AN89" i="14" s="1"/>
  <c r="AL89" i="14"/>
  <c r="AJ89" i="14"/>
  <c r="AI89" i="14"/>
  <c r="AG89" i="14"/>
  <c r="AH89" i="14" s="1"/>
  <c r="AF89" i="14"/>
  <c r="AD89" i="14"/>
  <c r="AC89" i="14"/>
  <c r="AA89" i="14"/>
  <c r="Z89" i="14"/>
  <c r="X89" i="14"/>
  <c r="Y89" i="14" s="1"/>
  <c r="W89" i="14"/>
  <c r="U89" i="14"/>
  <c r="T89" i="14"/>
  <c r="R89" i="14"/>
  <c r="Q89" i="14"/>
  <c r="O89" i="14"/>
  <c r="P89" i="14" s="1"/>
  <c r="N89" i="14"/>
  <c r="L89" i="14"/>
  <c r="K89" i="14"/>
  <c r="I89" i="14"/>
  <c r="F88" i="14"/>
  <c r="E88" i="14"/>
  <c r="AL87" i="14"/>
  <c r="AL157" i="14" s="1"/>
  <c r="AK87" i="14"/>
  <c r="AF87" i="14"/>
  <c r="S87" i="14"/>
  <c r="K87" i="14"/>
  <c r="F87" i="14"/>
  <c r="E87" i="14"/>
  <c r="F86" i="14"/>
  <c r="E86" i="14"/>
  <c r="F85" i="14"/>
  <c r="E85" i="14"/>
  <c r="AO84" i="14"/>
  <c r="AM84" i="14"/>
  <c r="AL84" i="14"/>
  <c r="AJ84" i="14"/>
  <c r="AI84" i="14"/>
  <c r="AG84" i="14"/>
  <c r="AF84" i="14"/>
  <c r="AD84" i="14"/>
  <c r="AC84" i="14"/>
  <c r="AA84" i="14"/>
  <c r="Z84" i="14"/>
  <c r="X84" i="14"/>
  <c r="W84" i="14"/>
  <c r="U84" i="14"/>
  <c r="T84" i="14"/>
  <c r="R84" i="14"/>
  <c r="Q84" i="14"/>
  <c r="O84" i="14"/>
  <c r="N84" i="14"/>
  <c r="L84" i="14"/>
  <c r="K84" i="14"/>
  <c r="I84" i="14"/>
  <c r="F84" i="14" s="1"/>
  <c r="H84" i="14"/>
  <c r="E84" i="14" s="1"/>
  <c r="AM82" i="14"/>
  <c r="AM307" i="14" s="1"/>
  <c r="AJ82" i="14"/>
  <c r="AG82" i="14"/>
  <c r="AD82" i="14"/>
  <c r="AA82" i="14"/>
  <c r="X82" i="14"/>
  <c r="U82" i="14"/>
  <c r="R82" i="14"/>
  <c r="O82" i="14"/>
  <c r="F82" i="14" s="1"/>
  <c r="E82" i="14"/>
  <c r="AD81" i="14"/>
  <c r="AO80" i="14"/>
  <c r="X79" i="14"/>
  <c r="Z78" i="14"/>
  <c r="F76" i="14"/>
  <c r="E76" i="14"/>
  <c r="F75" i="14"/>
  <c r="E75" i="14"/>
  <c r="F74" i="14"/>
  <c r="E74" i="14"/>
  <c r="F73" i="14"/>
  <c r="E73" i="14"/>
  <c r="AO72" i="14"/>
  <c r="AL72" i="14"/>
  <c r="AJ72" i="14"/>
  <c r="AI72" i="14"/>
  <c r="AG72" i="14"/>
  <c r="AF72" i="14"/>
  <c r="AD72" i="14"/>
  <c r="AC72" i="14"/>
  <c r="AA72" i="14"/>
  <c r="F72" i="14" s="1"/>
  <c r="Z72" i="14"/>
  <c r="W72" i="14"/>
  <c r="U72" i="14"/>
  <c r="T72" i="14"/>
  <c r="R72" i="14"/>
  <c r="Q72" i="14"/>
  <c r="O72" i="14"/>
  <c r="N72" i="14"/>
  <c r="L72" i="14"/>
  <c r="K72" i="14"/>
  <c r="I72" i="14"/>
  <c r="H72" i="14"/>
  <c r="F71" i="14"/>
  <c r="E71" i="14"/>
  <c r="F70" i="14"/>
  <c r="E70" i="14"/>
  <c r="AK69" i="14"/>
  <c r="AH69" i="14"/>
  <c r="AC69" i="14"/>
  <c r="AB69" i="14"/>
  <c r="Y69" i="14"/>
  <c r="W69" i="14"/>
  <c r="T69" i="14"/>
  <c r="Q69" i="14"/>
  <c r="S69" i="14" s="1"/>
  <c r="N69" i="14"/>
  <c r="F69" i="14"/>
  <c r="F68" i="14"/>
  <c r="E68" i="14"/>
  <c r="F67" i="14"/>
  <c r="E67" i="14"/>
  <c r="AO66" i="14"/>
  <c r="AM66" i="14"/>
  <c r="AL66" i="14"/>
  <c r="AJ66" i="14"/>
  <c r="AI66" i="14"/>
  <c r="AG66" i="14"/>
  <c r="AF66" i="14"/>
  <c r="AD66" i="14"/>
  <c r="AC66" i="14"/>
  <c r="AE66" i="14" s="1"/>
  <c r="AA66" i="14"/>
  <c r="Z66" i="14"/>
  <c r="X66" i="14"/>
  <c r="W66" i="14"/>
  <c r="Y66" i="14" s="1"/>
  <c r="U66" i="14"/>
  <c r="T66" i="14"/>
  <c r="R66" i="14"/>
  <c r="O66" i="14"/>
  <c r="L66" i="14"/>
  <c r="K66" i="14"/>
  <c r="H66" i="14"/>
  <c r="F65" i="14"/>
  <c r="E65" i="14"/>
  <c r="F64" i="14"/>
  <c r="E64" i="14"/>
  <c r="F63" i="14"/>
  <c r="E63" i="14"/>
  <c r="F62" i="14"/>
  <c r="E62" i="14"/>
  <c r="AO61" i="14"/>
  <c r="AL61" i="14"/>
  <c r="AJ61" i="14"/>
  <c r="AI61" i="14"/>
  <c r="AF61" i="14"/>
  <c r="AC61" i="14"/>
  <c r="Z61" i="14"/>
  <c r="W61" i="14"/>
  <c r="T61" i="14"/>
  <c r="Q61" i="14"/>
  <c r="N61" i="14"/>
  <c r="K61" i="14"/>
  <c r="E61" i="14" s="1"/>
  <c r="H61" i="14"/>
  <c r="F61" i="14"/>
  <c r="F60" i="14"/>
  <c r="E60" i="14"/>
  <c r="AN59" i="14"/>
  <c r="AK59" i="14"/>
  <c r="AF59" i="14"/>
  <c r="Z59" i="14"/>
  <c r="Q59" i="14"/>
  <c r="Q56" i="14" s="1"/>
  <c r="F59" i="14"/>
  <c r="E59" i="14"/>
  <c r="G59" i="14" s="1"/>
  <c r="AN58" i="14"/>
  <c r="AK58" i="14"/>
  <c r="AH58" i="14"/>
  <c r="W58" i="14"/>
  <c r="F58" i="14"/>
  <c r="W57" i="14"/>
  <c r="E57" i="14" s="1"/>
  <c r="F57" i="14"/>
  <c r="AO56" i="14"/>
  <c r="AM56" i="14"/>
  <c r="AL56" i="14"/>
  <c r="AJ56" i="14"/>
  <c r="AI56" i="14"/>
  <c r="AD56" i="14"/>
  <c r="AD51" i="14" s="1"/>
  <c r="AC56" i="14"/>
  <c r="AA56" i="14"/>
  <c r="Z56" i="14"/>
  <c r="T56" i="14"/>
  <c r="N56" i="14"/>
  <c r="L56" i="14"/>
  <c r="K56" i="14"/>
  <c r="H56" i="14"/>
  <c r="AP55" i="14"/>
  <c r="AO55" i="14"/>
  <c r="AM55" i="14"/>
  <c r="AM300" i="14" s="1"/>
  <c r="AL55" i="14"/>
  <c r="AJ55" i="14"/>
  <c r="AI55" i="14"/>
  <c r="AG55" i="14"/>
  <c r="AF55" i="14"/>
  <c r="AC55" i="14"/>
  <c r="AA55" i="14"/>
  <c r="Z55" i="14"/>
  <c r="X55" i="14"/>
  <c r="W55" i="14"/>
  <c r="U55" i="14"/>
  <c r="T55" i="14"/>
  <c r="R55" i="14"/>
  <c r="Q55" i="14"/>
  <c r="O55" i="14"/>
  <c r="N55" i="14"/>
  <c r="L55" i="14"/>
  <c r="K55" i="14"/>
  <c r="I55" i="14"/>
  <c r="H55" i="14"/>
  <c r="AP54" i="14"/>
  <c r="AP299" i="14" s="1"/>
  <c r="AP305" i="14" s="1"/>
  <c r="AO54" i="14"/>
  <c r="AM54" i="14"/>
  <c r="AL54" i="14"/>
  <c r="AJ54" i="14"/>
  <c r="AJ299" i="14" s="1"/>
  <c r="AI54" i="14"/>
  <c r="AG54" i="14"/>
  <c r="AG299" i="14" s="1"/>
  <c r="AD54" i="14"/>
  <c r="AC54" i="14"/>
  <c r="AA54" i="14"/>
  <c r="X54" i="14"/>
  <c r="W54" i="14"/>
  <c r="W80" i="14" s="1"/>
  <c r="U54" i="14"/>
  <c r="T54" i="14"/>
  <c r="R54" i="14"/>
  <c r="Q54" i="14"/>
  <c r="O54" i="14"/>
  <c r="N54" i="14"/>
  <c r="L54" i="14"/>
  <c r="K54" i="14"/>
  <c r="I54" i="14"/>
  <c r="H54" i="14"/>
  <c r="AP53" i="14"/>
  <c r="AP298" i="14" s="1"/>
  <c r="AP304" i="14" s="1"/>
  <c r="AO53" i="14"/>
  <c r="AO51" i="14" s="1"/>
  <c r="AM53" i="14"/>
  <c r="AM298" i="14" s="1"/>
  <c r="AL53" i="14"/>
  <c r="AJ53" i="14"/>
  <c r="AJ298" i="14" s="1"/>
  <c r="AI53" i="14"/>
  <c r="AG53" i="14"/>
  <c r="AG298" i="14" s="1"/>
  <c r="AF53" i="14"/>
  <c r="AD53" i="14"/>
  <c r="AC53" i="14"/>
  <c r="AA53" i="14"/>
  <c r="AA79" i="14" s="1"/>
  <c r="Z53" i="14"/>
  <c r="X53" i="14"/>
  <c r="W53" i="14"/>
  <c r="U53" i="14"/>
  <c r="U79" i="14" s="1"/>
  <c r="T53" i="14"/>
  <c r="R53" i="14"/>
  <c r="Q53" i="14"/>
  <c r="O53" i="14"/>
  <c r="N53" i="14"/>
  <c r="L53" i="14"/>
  <c r="K53" i="14"/>
  <c r="I53" i="14"/>
  <c r="H53" i="14"/>
  <c r="F53" i="14"/>
  <c r="AP52" i="14"/>
  <c r="AP297" i="14" s="1"/>
  <c r="AO52" i="14"/>
  <c r="AM52" i="14"/>
  <c r="AM51" i="14" s="1"/>
  <c r="AL52" i="14"/>
  <c r="AJ52" i="14"/>
  <c r="AJ51" i="14" s="1"/>
  <c r="AI52" i="14"/>
  <c r="AG52" i="14"/>
  <c r="AF52" i="14"/>
  <c r="AD52" i="14"/>
  <c r="AC52" i="14"/>
  <c r="AA52" i="14"/>
  <c r="Z52" i="14"/>
  <c r="X52" i="14"/>
  <c r="U52" i="14"/>
  <c r="T52" i="14"/>
  <c r="R52" i="14"/>
  <c r="Q52" i="14"/>
  <c r="Q78" i="14" s="1"/>
  <c r="O52" i="14"/>
  <c r="N52" i="14"/>
  <c r="L52" i="14"/>
  <c r="K52" i="14"/>
  <c r="K51" i="14" s="1"/>
  <c r="I52" i="14"/>
  <c r="H52" i="14"/>
  <c r="AC51" i="14"/>
  <c r="Q51" i="14"/>
  <c r="F50" i="14"/>
  <c r="F49" i="14"/>
  <c r="E49" i="14"/>
  <c r="Y48" i="14"/>
  <c r="V48" i="14"/>
  <c r="F48" i="14"/>
  <c r="E48" i="14"/>
  <c r="F47" i="14"/>
  <c r="E47" i="14"/>
  <c r="F46" i="14"/>
  <c r="E46" i="14"/>
  <c r="AO45" i="14"/>
  <c r="AM45" i="14"/>
  <c r="AL45" i="14"/>
  <c r="AJ45" i="14"/>
  <c r="AI45" i="14"/>
  <c r="AG45" i="14"/>
  <c r="AF45" i="14"/>
  <c r="AD45" i="14"/>
  <c r="AC45" i="14"/>
  <c r="AA45" i="14"/>
  <c r="Z45" i="14"/>
  <c r="X45" i="14"/>
  <c r="Y45" i="14" s="1"/>
  <c r="W45" i="14"/>
  <c r="U45" i="14"/>
  <c r="T45" i="14"/>
  <c r="R45" i="14"/>
  <c r="Q45" i="14"/>
  <c r="O45" i="14"/>
  <c r="N45" i="14"/>
  <c r="K45" i="14"/>
  <c r="H45" i="14"/>
  <c r="E45" i="14"/>
  <c r="F44" i="14"/>
  <c r="E44" i="14"/>
  <c r="F43" i="14"/>
  <c r="E43" i="14"/>
  <c r="F42" i="14"/>
  <c r="E42" i="14"/>
  <c r="F41" i="14"/>
  <c r="E41" i="14"/>
  <c r="AO40" i="14"/>
  <c r="AL40" i="14"/>
  <c r="AI40" i="14"/>
  <c r="AF40" i="14"/>
  <c r="AD40" i="14"/>
  <c r="AC40" i="14"/>
  <c r="Z40" i="14"/>
  <c r="W40" i="14"/>
  <c r="T40" i="14"/>
  <c r="Q40" i="14"/>
  <c r="N40" i="14"/>
  <c r="K40" i="14"/>
  <c r="E40" i="14" s="1"/>
  <c r="H40" i="14"/>
  <c r="F40" i="14"/>
  <c r="AO38" i="14"/>
  <c r="AL38" i="14"/>
  <c r="AI38" i="14"/>
  <c r="AF38" i="14"/>
  <c r="AD38" i="14"/>
  <c r="AC38" i="14"/>
  <c r="AA38" i="14"/>
  <c r="Z38" i="14"/>
  <c r="X38" i="14"/>
  <c r="W38" i="14"/>
  <c r="U38" i="14"/>
  <c r="T38" i="14"/>
  <c r="R38" i="14"/>
  <c r="Q38" i="14"/>
  <c r="O38" i="14"/>
  <c r="N38" i="14"/>
  <c r="L38" i="14"/>
  <c r="K38" i="14"/>
  <c r="K34" i="14" s="1"/>
  <c r="I38" i="14"/>
  <c r="H38" i="14"/>
  <c r="F38" i="14"/>
  <c r="E38" i="14"/>
  <c r="AO37" i="14"/>
  <c r="AQ37" i="14" s="1"/>
  <c r="AM37" i="14"/>
  <c r="AL37" i="14"/>
  <c r="AJ37" i="14"/>
  <c r="AI37" i="14"/>
  <c r="AG37" i="14"/>
  <c r="AF37" i="14"/>
  <c r="AD37" i="14"/>
  <c r="AC37" i="14"/>
  <c r="AA37" i="14"/>
  <c r="Z37" i="14"/>
  <c r="X37" i="14"/>
  <c r="U37" i="14"/>
  <c r="T37" i="14"/>
  <c r="R37" i="14"/>
  <c r="Q37" i="14"/>
  <c r="O37" i="14"/>
  <c r="L37" i="14"/>
  <c r="K37" i="14"/>
  <c r="I37" i="14"/>
  <c r="H37" i="14"/>
  <c r="F37" i="14"/>
  <c r="AM36" i="14"/>
  <c r="AL36" i="14"/>
  <c r="AJ36" i="14"/>
  <c r="AI36" i="14"/>
  <c r="AG36" i="14"/>
  <c r="AD36" i="14"/>
  <c r="AC36" i="14"/>
  <c r="AA36" i="14"/>
  <c r="Z36" i="14"/>
  <c r="X36" i="14"/>
  <c r="W36" i="14"/>
  <c r="U36" i="14"/>
  <c r="T36" i="14"/>
  <c r="R36" i="14"/>
  <c r="Q36" i="14"/>
  <c r="O36" i="14"/>
  <c r="L36" i="14"/>
  <c r="K36" i="14"/>
  <c r="I36" i="14"/>
  <c r="H36" i="14"/>
  <c r="AO35" i="14"/>
  <c r="AM35" i="14"/>
  <c r="AL35" i="14"/>
  <c r="AJ35" i="14"/>
  <c r="AI35" i="14"/>
  <c r="AI34" i="14" s="1"/>
  <c r="AG35" i="14"/>
  <c r="AF35" i="14"/>
  <c r="AD35" i="14"/>
  <c r="AC35" i="14"/>
  <c r="AA35" i="14"/>
  <c r="Z35" i="14"/>
  <c r="X35" i="14"/>
  <c r="W35" i="14"/>
  <c r="U35" i="14"/>
  <c r="T35" i="14"/>
  <c r="R35" i="14"/>
  <c r="Q35" i="14"/>
  <c r="O35" i="14"/>
  <c r="N35" i="14"/>
  <c r="L35" i="14"/>
  <c r="K35" i="14"/>
  <c r="I35" i="14"/>
  <c r="H35" i="14"/>
  <c r="F35" i="14"/>
  <c r="E35" i="14"/>
  <c r="AM34" i="14"/>
  <c r="AG34" i="14"/>
  <c r="U34" i="14"/>
  <c r="F33" i="14"/>
  <c r="E33" i="14"/>
  <c r="F32" i="14"/>
  <c r="E32" i="14"/>
  <c r="AQ31" i="14"/>
  <c r="AN31" i="14"/>
  <c r="AK31" i="14"/>
  <c r="AH31" i="14"/>
  <c r="AE31" i="14"/>
  <c r="AB31" i="14"/>
  <c r="Y31" i="14"/>
  <c r="V31" i="14"/>
  <c r="S31" i="14"/>
  <c r="P31" i="14"/>
  <c r="M31" i="14"/>
  <c r="F31" i="14"/>
  <c r="E31" i="14"/>
  <c r="F30" i="14"/>
  <c r="E30" i="14"/>
  <c r="AO29" i="14"/>
  <c r="AQ29" i="14" s="1"/>
  <c r="AM29" i="14"/>
  <c r="AN29" i="14" s="1"/>
  <c r="AL29" i="14"/>
  <c r="AJ29" i="14"/>
  <c r="AI29" i="14"/>
  <c r="AG29" i="14"/>
  <c r="AH29" i="14" s="1"/>
  <c r="AF29" i="14"/>
  <c r="AD29" i="14"/>
  <c r="AC29" i="14"/>
  <c r="AA29" i="14"/>
  <c r="AB29" i="14" s="1"/>
  <c r="Z29" i="14"/>
  <c r="X29" i="14"/>
  <c r="W29" i="14"/>
  <c r="U29" i="14"/>
  <c r="V29" i="14" s="1"/>
  <c r="T29" i="14"/>
  <c r="R29" i="14"/>
  <c r="Q29" i="14"/>
  <c r="O29" i="14"/>
  <c r="N29" i="14"/>
  <c r="L29" i="14"/>
  <c r="K29" i="14"/>
  <c r="H29" i="14"/>
  <c r="E29" i="14" s="1"/>
  <c r="F28" i="14"/>
  <c r="E28" i="14"/>
  <c r="AQ27" i="14"/>
  <c r="AN27" i="14"/>
  <c r="AK27" i="14"/>
  <c r="AH27" i="14"/>
  <c r="AE27" i="14"/>
  <c r="AB27" i="14"/>
  <c r="Y27" i="14"/>
  <c r="W27" i="14"/>
  <c r="W37" i="14" s="1"/>
  <c r="V27" i="14"/>
  <c r="S27" i="14"/>
  <c r="P27" i="14"/>
  <c r="N27" i="14"/>
  <c r="N37" i="14" s="1"/>
  <c r="M27" i="14"/>
  <c r="J27" i="14"/>
  <c r="F27" i="14"/>
  <c r="E27" i="14"/>
  <c r="AQ26" i="14"/>
  <c r="AO26" i="14"/>
  <c r="AO36" i="14" s="1"/>
  <c r="AO34" i="14" s="1"/>
  <c r="AQ34" i="14" s="1"/>
  <c r="AN26" i="14"/>
  <c r="AK26" i="14"/>
  <c r="AH26" i="14"/>
  <c r="AF26" i="14"/>
  <c r="AF36" i="14" s="1"/>
  <c r="AE26" i="14"/>
  <c r="AB26" i="14"/>
  <c r="Y26" i="14"/>
  <c r="W26" i="14"/>
  <c r="V26" i="14"/>
  <c r="S26" i="14"/>
  <c r="P26" i="14"/>
  <c r="N26" i="14"/>
  <c r="N36" i="14" s="1"/>
  <c r="M26" i="14"/>
  <c r="J26" i="14"/>
  <c r="F26" i="14"/>
  <c r="E26" i="14"/>
  <c r="F25" i="14"/>
  <c r="E25" i="14"/>
  <c r="AQ24" i="14"/>
  <c r="AO24" i="14"/>
  <c r="AM24" i="14"/>
  <c r="AL24" i="14"/>
  <c r="AJ24" i="14"/>
  <c r="AK24" i="14" s="1"/>
  <c r="AI24" i="14"/>
  <c r="AG24" i="14"/>
  <c r="AF24" i="14"/>
  <c r="AD24" i="14"/>
  <c r="AE24" i="14" s="1"/>
  <c r="AC24" i="14"/>
  <c r="AA24" i="14"/>
  <c r="Z24" i="14"/>
  <c r="X24" i="14"/>
  <c r="Y24" i="14" s="1"/>
  <c r="W24" i="14"/>
  <c r="U24" i="14"/>
  <c r="T24" i="14"/>
  <c r="R24" i="14"/>
  <c r="S24" i="14" s="1"/>
  <c r="Q24" i="14"/>
  <c r="O24" i="14"/>
  <c r="N24" i="14"/>
  <c r="L24" i="14"/>
  <c r="M24" i="14" s="1"/>
  <c r="K24" i="14"/>
  <c r="I24" i="14"/>
  <c r="H24" i="14"/>
  <c r="F24" i="14"/>
  <c r="F23" i="14"/>
  <c r="E23" i="14"/>
  <c r="F22" i="14"/>
  <c r="E22" i="14"/>
  <c r="F21" i="14"/>
  <c r="E21" i="14"/>
  <c r="F20" i="14"/>
  <c r="E20" i="14"/>
  <c r="AO19" i="14"/>
  <c r="AL19" i="14"/>
  <c r="AI19" i="14"/>
  <c r="AG19" i="14"/>
  <c r="AF19" i="14"/>
  <c r="AD19" i="14"/>
  <c r="AC19" i="14"/>
  <c r="Z19" i="14"/>
  <c r="W19" i="14"/>
  <c r="U19" i="14"/>
  <c r="T19" i="14"/>
  <c r="Q19" i="14"/>
  <c r="N19" i="14"/>
  <c r="K19" i="14"/>
  <c r="E19" i="14" s="1"/>
  <c r="H19" i="14"/>
  <c r="F19" i="14"/>
  <c r="F18" i="14"/>
  <c r="E18" i="14"/>
  <c r="F17" i="14"/>
  <c r="E17" i="14"/>
  <c r="F16" i="14"/>
  <c r="E16" i="14"/>
  <c r="F15" i="14"/>
  <c r="E15" i="14"/>
  <c r="AO14" i="14"/>
  <c r="AM14" i="14"/>
  <c r="AL14" i="14"/>
  <c r="AI14" i="14"/>
  <c r="AG14" i="14"/>
  <c r="AF14" i="14"/>
  <c r="AD14" i="14"/>
  <c r="AC14" i="14"/>
  <c r="AA14" i="14"/>
  <c r="Z14" i="14"/>
  <c r="X14" i="14"/>
  <c r="W14" i="14"/>
  <c r="U14" i="14"/>
  <c r="T14" i="14"/>
  <c r="R14" i="14"/>
  <c r="F14" i="14" s="1"/>
  <c r="Q14" i="14"/>
  <c r="N14" i="14"/>
  <c r="K14" i="14"/>
  <c r="H14" i="14"/>
  <c r="F13" i="14"/>
  <c r="E13" i="14"/>
  <c r="F12" i="14"/>
  <c r="E12" i="14"/>
  <c r="F11" i="14"/>
  <c r="E11" i="14"/>
  <c r="F10" i="14"/>
  <c r="E10" i="14"/>
  <c r="AO9" i="14"/>
  <c r="AM9" i="14"/>
  <c r="AL9" i="14"/>
  <c r="AI9" i="14"/>
  <c r="AG9" i="14"/>
  <c r="AF9" i="14"/>
  <c r="AD9" i="14"/>
  <c r="AC9" i="14"/>
  <c r="AA9" i="14"/>
  <c r="Z9" i="14"/>
  <c r="X9" i="14"/>
  <c r="W9" i="14"/>
  <c r="U9" i="14"/>
  <c r="T9" i="14"/>
  <c r="R9" i="14"/>
  <c r="Q9" i="14"/>
  <c r="N9" i="14"/>
  <c r="K9" i="14"/>
  <c r="H9" i="14"/>
  <c r="T78" i="14" l="1"/>
  <c r="T51" i="14"/>
  <c r="N80" i="14"/>
  <c r="N66" i="14"/>
  <c r="P66" i="14" s="1"/>
  <c r="AM81" i="14"/>
  <c r="AM294" i="14" s="1"/>
  <c r="E132" i="14"/>
  <c r="G132" i="14" s="1"/>
  <c r="K129" i="14"/>
  <c r="S156" i="14"/>
  <c r="R154" i="14"/>
  <c r="J192" i="14"/>
  <c r="I190" i="14"/>
  <c r="J190" i="14" s="1"/>
  <c r="AE190" i="14"/>
  <c r="AL227" i="14"/>
  <c r="AN217" i="14"/>
  <c r="K228" i="14"/>
  <c r="M218" i="14"/>
  <c r="AO228" i="14"/>
  <c r="AQ228" i="14" s="1"/>
  <c r="AQ218" i="14"/>
  <c r="W265" i="14"/>
  <c r="W232" i="14"/>
  <c r="Y232" i="14" s="1"/>
  <c r="F287" i="14"/>
  <c r="R285" i="14"/>
  <c r="V287" i="14"/>
  <c r="U285" i="14"/>
  <c r="H78" i="14"/>
  <c r="H51" i="14"/>
  <c r="N78" i="14"/>
  <c r="N51" i="14"/>
  <c r="AG300" i="14"/>
  <c r="F55" i="14"/>
  <c r="AJ300" i="14"/>
  <c r="AJ81" i="14"/>
  <c r="AJ294" i="14" s="1"/>
  <c r="AP300" i="14"/>
  <c r="AP306" i="14" s="1"/>
  <c r="AP81" i="14"/>
  <c r="AH59" i="14"/>
  <c r="AF56" i="14"/>
  <c r="AH56" i="14" s="1"/>
  <c r="AF54" i="14"/>
  <c r="AF51" i="14" s="1"/>
  <c r="T80" i="14"/>
  <c r="K78" i="14"/>
  <c r="AE156" i="14"/>
  <c r="AD154" i="14"/>
  <c r="AE165" i="14"/>
  <c r="F165" i="14"/>
  <c r="N192" i="14"/>
  <c r="N180" i="14"/>
  <c r="AF192" i="14"/>
  <c r="AF190" i="14" s="1"/>
  <c r="AF180" i="14"/>
  <c r="AH180" i="14" s="1"/>
  <c r="M192" i="14"/>
  <c r="L190" i="14"/>
  <c r="M190" i="14" s="1"/>
  <c r="AB192" i="14"/>
  <c r="AA190" i="14"/>
  <c r="AB190" i="14" s="1"/>
  <c r="AN190" i="14"/>
  <c r="N229" i="14"/>
  <c r="P229" i="14" s="1"/>
  <c r="E214" i="14"/>
  <c r="E218" i="14"/>
  <c r="G218" i="14" s="1"/>
  <c r="Q228" i="14"/>
  <c r="S218" i="14"/>
  <c r="W228" i="14"/>
  <c r="Y218" i="14"/>
  <c r="AI228" i="14"/>
  <c r="AK218" i="14"/>
  <c r="F9" i="14"/>
  <c r="I34" i="14"/>
  <c r="Q34" i="14"/>
  <c r="AC34" i="14"/>
  <c r="AM299" i="14"/>
  <c r="AM80" i="14"/>
  <c r="AG81" i="14"/>
  <c r="AG294" i="14" s="1"/>
  <c r="AC155" i="14"/>
  <c r="E115" i="14"/>
  <c r="G115" i="14" s="1"/>
  <c r="AC114" i="14"/>
  <c r="AE114" i="14" s="1"/>
  <c r="AI155" i="14"/>
  <c r="AI114" i="14"/>
  <c r="AK114" i="14" s="1"/>
  <c r="N156" i="14"/>
  <c r="P156" i="14" s="1"/>
  <c r="N114" i="14"/>
  <c r="P114" i="14" s="1"/>
  <c r="N124" i="14"/>
  <c r="P124" i="14" s="1"/>
  <c r="Q157" i="14"/>
  <c r="S127" i="14"/>
  <c r="M129" i="14"/>
  <c r="I154" i="14"/>
  <c r="U154" i="14"/>
  <c r="AG154" i="14"/>
  <c r="AI193" i="14"/>
  <c r="AI160" i="14"/>
  <c r="P180" i="14"/>
  <c r="R190" i="14"/>
  <c r="S190" i="14" s="1"/>
  <c r="T229" i="14"/>
  <c r="V229" i="14" s="1"/>
  <c r="E199" i="14"/>
  <c r="G199" i="14" s="1"/>
  <c r="N211" i="14"/>
  <c r="E211" i="14" s="1"/>
  <c r="AO211" i="14"/>
  <c r="K216" i="14"/>
  <c r="E216" i="14" s="1"/>
  <c r="N216" i="14"/>
  <c r="P216" i="14" s="1"/>
  <c r="Q216" i="14"/>
  <c r="T216" i="14"/>
  <c r="V216" i="14" s="1"/>
  <c r="W216" i="14"/>
  <c r="Z216" i="14"/>
  <c r="AC216" i="14"/>
  <c r="AI216" i="14"/>
  <c r="AL216" i="14"/>
  <c r="AN216" i="14" s="1"/>
  <c r="AO216" i="14"/>
  <c r="AQ216" i="14" s="1"/>
  <c r="P219" i="14"/>
  <c r="E219" i="14"/>
  <c r="G219" i="14" s="1"/>
  <c r="I226" i="14"/>
  <c r="F226" i="14" s="1"/>
  <c r="G247" i="14"/>
  <c r="F263" i="14"/>
  <c r="AI323" i="14"/>
  <c r="AI263" i="14"/>
  <c r="AL323" i="14"/>
  <c r="AL263" i="14"/>
  <c r="AN263" i="14" s="1"/>
  <c r="AK263" i="14"/>
  <c r="E14" i="14"/>
  <c r="P24" i="14"/>
  <c r="V24" i="14"/>
  <c r="AH24" i="14"/>
  <c r="AN24" i="14"/>
  <c r="G26" i="14"/>
  <c r="G27" i="14"/>
  <c r="M29" i="14"/>
  <c r="Y29" i="14"/>
  <c r="AE29" i="14"/>
  <c r="G31" i="14"/>
  <c r="V45" i="14"/>
  <c r="AN45" i="14"/>
  <c r="AN56" i="14"/>
  <c r="G57" i="14"/>
  <c r="AB66" i="14"/>
  <c r="AH66" i="14"/>
  <c r="E72" i="14"/>
  <c r="G84" i="14"/>
  <c r="S84" i="14"/>
  <c r="G87" i="14"/>
  <c r="K157" i="14"/>
  <c r="AF157" i="14"/>
  <c r="AH157" i="14" s="1"/>
  <c r="M89" i="14"/>
  <c r="AE89" i="14"/>
  <c r="N157" i="14"/>
  <c r="AB99" i="14"/>
  <c r="G102" i="14"/>
  <c r="V104" i="14"/>
  <c r="V114" i="14"/>
  <c r="AH114" i="14"/>
  <c r="AN114" i="14"/>
  <c r="AF154" i="14"/>
  <c r="AH154" i="14" s="1"/>
  <c r="AL154" i="14"/>
  <c r="AN154" i="14" s="1"/>
  <c r="M119" i="14"/>
  <c r="S119" i="14"/>
  <c r="Y119" i="14"/>
  <c r="AH119" i="14"/>
  <c r="AN119" i="14"/>
  <c r="M124" i="14"/>
  <c r="S124" i="14"/>
  <c r="Y124" i="14"/>
  <c r="AE124" i="14"/>
  <c r="AK124" i="14"/>
  <c r="P129" i="14"/>
  <c r="V129" i="14"/>
  <c r="AN129" i="14"/>
  <c r="P134" i="14"/>
  <c r="V134" i="14"/>
  <c r="AB134" i="14"/>
  <c r="P149" i="14"/>
  <c r="V149" i="14"/>
  <c r="AK149" i="14"/>
  <c r="AN156" i="14"/>
  <c r="AB157" i="14"/>
  <c r="AE157" i="14"/>
  <c r="AK165" i="14"/>
  <c r="P170" i="14"/>
  <c r="AK170" i="14"/>
  <c r="M180" i="14"/>
  <c r="Y180" i="14"/>
  <c r="AE180" i="14"/>
  <c r="G182" i="14"/>
  <c r="G183" i="14"/>
  <c r="S192" i="14"/>
  <c r="V192" i="14"/>
  <c r="AE192" i="14"/>
  <c r="AN192" i="14"/>
  <c r="P193" i="14"/>
  <c r="V193" i="14"/>
  <c r="AH193" i="14"/>
  <c r="E201" i="14"/>
  <c r="F211" i="14"/>
  <c r="M216" i="14"/>
  <c r="S216" i="14"/>
  <c r="Y216" i="14"/>
  <c r="AK216" i="14"/>
  <c r="AC226" i="14"/>
  <c r="AI227" i="14"/>
  <c r="AK217" i="14"/>
  <c r="AO227" i="14"/>
  <c r="AQ217" i="14"/>
  <c r="N228" i="14"/>
  <c r="P228" i="14" s="1"/>
  <c r="P218" i="14"/>
  <c r="T228" i="14"/>
  <c r="V228" i="14" s="1"/>
  <c r="V218" i="14"/>
  <c r="Z228" i="14"/>
  <c r="AB218" i="14"/>
  <c r="AL228" i="14"/>
  <c r="AN228" i="14" s="1"/>
  <c r="AN218" i="14"/>
  <c r="Q229" i="14"/>
  <c r="S219" i="14"/>
  <c r="W229" i="14"/>
  <c r="Y219" i="14"/>
  <c r="AQ224" i="14"/>
  <c r="E224" i="14"/>
  <c r="G224" i="14" s="1"/>
  <c r="F232" i="14"/>
  <c r="E245" i="14"/>
  <c r="W242" i="14"/>
  <c r="AO266" i="14"/>
  <c r="AO242" i="14"/>
  <c r="V285" i="14"/>
  <c r="AF285" i="14"/>
  <c r="AH285" i="14" s="1"/>
  <c r="AI285" i="14"/>
  <c r="AK285" i="14" s="1"/>
  <c r="F285" i="14"/>
  <c r="AF226" i="14"/>
  <c r="P221" i="14"/>
  <c r="V221" i="14"/>
  <c r="AK221" i="14"/>
  <c r="G223" i="14"/>
  <c r="G235" i="14"/>
  <c r="F242" i="14"/>
  <c r="N266" i="14"/>
  <c r="P247" i="14"/>
  <c r="V247" i="14"/>
  <c r="AH247" i="14"/>
  <c r="J258" i="14"/>
  <c r="P258" i="14"/>
  <c r="V258" i="14"/>
  <c r="AB258" i="14"/>
  <c r="AK258" i="14"/>
  <c r="V263" i="14"/>
  <c r="AE263" i="14"/>
  <c r="V321" i="14"/>
  <c r="AB266" i="14"/>
  <c r="S270" i="14"/>
  <c r="AB270" i="14"/>
  <c r="AH270" i="14"/>
  <c r="AN270" i="14"/>
  <c r="AL285" i="14"/>
  <c r="AN285" i="14" s="1"/>
  <c r="V275" i="14"/>
  <c r="G277" i="14"/>
  <c r="AK287" i="14"/>
  <c r="AE288" i="14"/>
  <c r="G329" i="14"/>
  <c r="AB24" i="14"/>
  <c r="N34" i="14"/>
  <c r="AF34" i="14"/>
  <c r="AH34" i="14" s="1"/>
  <c r="S29" i="14"/>
  <c r="J36" i="14"/>
  <c r="F36" i="14"/>
  <c r="P36" i="14"/>
  <c r="Y36" i="14"/>
  <c r="AA292" i="14"/>
  <c r="AB36" i="14"/>
  <c r="E155" i="14"/>
  <c r="Q154" i="14"/>
  <c r="AI154" i="14"/>
  <c r="Z154" i="14"/>
  <c r="M155" i="14"/>
  <c r="S155" i="14"/>
  <c r="Y155" i="14"/>
  <c r="AB156" i="14"/>
  <c r="P157" i="14"/>
  <c r="E9" i="14"/>
  <c r="E24" i="14"/>
  <c r="G24" i="14" s="1"/>
  <c r="J24" i="14"/>
  <c r="P29" i="14"/>
  <c r="F29" i="14"/>
  <c r="G29" i="14" s="1"/>
  <c r="AK29" i="14"/>
  <c r="O34" i="14"/>
  <c r="W34" i="14"/>
  <c r="AA34" i="14"/>
  <c r="L34" i="14"/>
  <c r="M34" i="14" s="1"/>
  <c r="R34" i="14"/>
  <c r="S34" i="14" s="1"/>
  <c r="X34" i="14"/>
  <c r="Y34" i="14" s="1"/>
  <c r="AD34" i="14"/>
  <c r="AE34" i="14" s="1"/>
  <c r="AJ34" i="14"/>
  <c r="AK34" i="14" s="1"/>
  <c r="E36" i="14"/>
  <c r="M36" i="14"/>
  <c r="S36" i="14"/>
  <c r="U292" i="14"/>
  <c r="V36" i="14"/>
  <c r="AE36" i="14"/>
  <c r="AE155" i="14"/>
  <c r="AC154" i="14"/>
  <c r="AK155" i="14"/>
  <c r="N154" i="14"/>
  <c r="P154" i="14" s="1"/>
  <c r="S154" i="14"/>
  <c r="AE154" i="14"/>
  <c r="P155" i="14"/>
  <c r="V155" i="14"/>
  <c r="AB155" i="14"/>
  <c r="AH155" i="14"/>
  <c r="AN155" i="14"/>
  <c r="AK156" i="14"/>
  <c r="M157" i="14"/>
  <c r="S157" i="14"/>
  <c r="Y157" i="14"/>
  <c r="AK157" i="14"/>
  <c r="E99" i="14"/>
  <c r="G99" i="14" s="1"/>
  <c r="E104" i="14"/>
  <c r="G104" i="14" s="1"/>
  <c r="E109" i="14"/>
  <c r="G109" i="14" s="1"/>
  <c r="E112" i="14"/>
  <c r="G112" i="14" s="1"/>
  <c r="AO114" i="14"/>
  <c r="AQ114" i="14" s="1"/>
  <c r="AE115" i="14"/>
  <c r="AH115" i="14"/>
  <c r="AK115" i="14"/>
  <c r="AN115" i="14"/>
  <c r="AQ115" i="14"/>
  <c r="E116" i="14"/>
  <c r="G116" i="14" s="1"/>
  <c r="P116" i="14"/>
  <c r="Y116" i="14"/>
  <c r="AQ116" i="14"/>
  <c r="E119" i="14"/>
  <c r="G119" i="14" s="1"/>
  <c r="E120" i="14"/>
  <c r="G120" i="14" s="1"/>
  <c r="AQ120" i="14"/>
  <c r="E124" i="14"/>
  <c r="G124" i="14" s="1"/>
  <c r="AQ127" i="14"/>
  <c r="E129" i="14"/>
  <c r="G129" i="14" s="1"/>
  <c r="M132" i="14"/>
  <c r="S132" i="14"/>
  <c r="E134" i="14"/>
  <c r="G134" i="14" s="1"/>
  <c r="E136" i="14"/>
  <c r="G136" i="14" s="1"/>
  <c r="Y136" i="14"/>
  <c r="AB136" i="14"/>
  <c r="F149" i="14"/>
  <c r="G149" i="14" s="1"/>
  <c r="F155" i="14"/>
  <c r="J155" i="14"/>
  <c r="K156" i="14"/>
  <c r="W156" i="14"/>
  <c r="W154" i="14" s="1"/>
  <c r="Y154" i="14" s="1"/>
  <c r="AO156" i="14"/>
  <c r="F157" i="14"/>
  <c r="H157" i="14"/>
  <c r="T157" i="14"/>
  <c r="T154" i="14" s="1"/>
  <c r="V154" i="14" s="1"/>
  <c r="AN157" i="14"/>
  <c r="AI190" i="14"/>
  <c r="N190" i="14"/>
  <c r="P192" i="14"/>
  <c r="AH192" i="14"/>
  <c r="E193" i="14"/>
  <c r="AK193" i="14"/>
  <c r="N226" i="14"/>
  <c r="T226" i="14"/>
  <c r="Z226" i="14"/>
  <c r="AK227" i="14"/>
  <c r="M228" i="14"/>
  <c r="S228" i="14"/>
  <c r="Y228" i="14"/>
  <c r="AK228" i="14"/>
  <c r="M229" i="14"/>
  <c r="S229" i="14"/>
  <c r="Y229" i="14"/>
  <c r="AN229" i="14"/>
  <c r="W323" i="14"/>
  <c r="E265" i="14"/>
  <c r="N324" i="14"/>
  <c r="N263" i="14"/>
  <c r="P263" i="14" s="1"/>
  <c r="AF324" i="14"/>
  <c r="AF321" i="14" s="1"/>
  <c r="AF263" i="14"/>
  <c r="AH263" i="14" s="1"/>
  <c r="P266" i="14"/>
  <c r="Z285" i="14"/>
  <c r="AB287" i="14"/>
  <c r="S288" i="14"/>
  <c r="AB288" i="14"/>
  <c r="AK36" i="14"/>
  <c r="J37" i="14"/>
  <c r="P37" i="14"/>
  <c r="T293" i="14"/>
  <c r="V37" i="14"/>
  <c r="AB37" i="14"/>
  <c r="AH37" i="14"/>
  <c r="AN37" i="14"/>
  <c r="I316" i="14"/>
  <c r="I297" i="14"/>
  <c r="L316" i="14"/>
  <c r="L297" i="14"/>
  <c r="O316" i="14"/>
  <c r="O297" i="14"/>
  <c r="R316" i="14"/>
  <c r="R297" i="14"/>
  <c r="U316" i="14"/>
  <c r="U297" i="14"/>
  <c r="X316" i="14"/>
  <c r="X297" i="14"/>
  <c r="AA316" i="14"/>
  <c r="AA297" i="14"/>
  <c r="AD316" i="14"/>
  <c r="AD297" i="14"/>
  <c r="AG316" i="14"/>
  <c r="AG315" i="14" s="1"/>
  <c r="AG297" i="14"/>
  <c r="AG296" i="14" s="1"/>
  <c r="AJ316" i="14"/>
  <c r="AJ315" i="14" s="1"/>
  <c r="AJ297" i="14"/>
  <c r="AJ296" i="14" s="1"/>
  <c r="AM316" i="14"/>
  <c r="AM315" i="14" s="1"/>
  <c r="AM297" i="14"/>
  <c r="AM296" i="14" s="1"/>
  <c r="AP303" i="14"/>
  <c r="AP296" i="14"/>
  <c r="H317" i="14"/>
  <c r="H298" i="14"/>
  <c r="K317" i="14"/>
  <c r="K298" i="14"/>
  <c r="N317" i="14"/>
  <c r="N298" i="14"/>
  <c r="Q317" i="14"/>
  <c r="Q298" i="14"/>
  <c r="T317" i="14"/>
  <c r="T298" i="14"/>
  <c r="W317" i="14"/>
  <c r="W298" i="14"/>
  <c r="Z317" i="14"/>
  <c r="Z298" i="14"/>
  <c r="AC317" i="14"/>
  <c r="AC298" i="14"/>
  <c r="AF317" i="14"/>
  <c r="AF298" i="14"/>
  <c r="AH53" i="14"/>
  <c r="AO317" i="14"/>
  <c r="AO298" i="14"/>
  <c r="I318" i="14"/>
  <c r="I299" i="14"/>
  <c r="L318" i="14"/>
  <c r="L299" i="14"/>
  <c r="O318" i="14"/>
  <c r="O299" i="14"/>
  <c r="R318" i="14"/>
  <c r="R299" i="14"/>
  <c r="U318" i="14"/>
  <c r="U299" i="14"/>
  <c r="X318" i="14"/>
  <c r="X299" i="14"/>
  <c r="AA318" i="14"/>
  <c r="AA299" i="14"/>
  <c r="AD318" i="14"/>
  <c r="AD299" i="14"/>
  <c r="AI318" i="14"/>
  <c r="AI299" i="14"/>
  <c r="AL318" i="14"/>
  <c r="AN318" i="14" s="1"/>
  <c r="AL299" i="14"/>
  <c r="AN54" i="14"/>
  <c r="I319" i="14"/>
  <c r="I300" i="14"/>
  <c r="L319" i="14"/>
  <c r="L300" i="14"/>
  <c r="O319" i="14"/>
  <c r="O300" i="14"/>
  <c r="R319" i="14"/>
  <c r="R300" i="14"/>
  <c r="U319" i="14"/>
  <c r="U300" i="14"/>
  <c r="X319" i="14"/>
  <c r="X300" i="14"/>
  <c r="AA319" i="14"/>
  <c r="AA300" i="14"/>
  <c r="AF319" i="14"/>
  <c r="AF300" i="14"/>
  <c r="AI319" i="14"/>
  <c r="AI300" i="14"/>
  <c r="AL319" i="14"/>
  <c r="AL300" i="14"/>
  <c r="AO319" i="14"/>
  <c r="AO300" i="14"/>
  <c r="AK56" i="14"/>
  <c r="AK66" i="14"/>
  <c r="AD78" i="14"/>
  <c r="AD291" i="14" s="1"/>
  <c r="AG78" i="14"/>
  <c r="AG291" i="14" s="1"/>
  <c r="AJ78" i="14"/>
  <c r="AJ291" i="14" s="1"/>
  <c r="AM78" i="14"/>
  <c r="AM291" i="14" s="1"/>
  <c r="AP78" i="14"/>
  <c r="H79" i="14"/>
  <c r="K79" i="14"/>
  <c r="N79" i="14"/>
  <c r="Q79" i="14"/>
  <c r="AC79" i="14"/>
  <c r="AF79" i="14"/>
  <c r="AJ79" i="14"/>
  <c r="AM79" i="14"/>
  <c r="AM292" i="14" s="1"/>
  <c r="AO79" i="14"/>
  <c r="I80" i="14"/>
  <c r="L80" i="14"/>
  <c r="L293" i="14" s="1"/>
  <c r="O80" i="14"/>
  <c r="P80" i="14" s="1"/>
  <c r="Q80" i="14"/>
  <c r="U80" i="14"/>
  <c r="V80" i="14" s="1"/>
  <c r="AA80" i="14"/>
  <c r="AC80" i="14"/>
  <c r="AG80" i="14"/>
  <c r="AI80" i="14"/>
  <c r="I81" i="14"/>
  <c r="L81" i="14"/>
  <c r="O81" i="14"/>
  <c r="O294" i="14" s="1"/>
  <c r="R81" i="14"/>
  <c r="U81" i="14"/>
  <c r="U294" i="14" s="1"/>
  <c r="X81" i="14"/>
  <c r="AA81" i="14"/>
  <c r="AA294" i="14" s="1"/>
  <c r="AG313" i="14"/>
  <c r="AG306" i="14"/>
  <c r="AJ313" i="14"/>
  <c r="AJ306" i="14"/>
  <c r="AM313" i="14"/>
  <c r="AM306" i="14"/>
  <c r="AJ314" i="14"/>
  <c r="F314" i="14" s="1"/>
  <c r="AJ307" i="14"/>
  <c r="F307" i="14" s="1"/>
  <c r="AK84" i="14"/>
  <c r="S89" i="14"/>
  <c r="AK89" i="14"/>
  <c r="H34" i="14"/>
  <c r="T34" i="14"/>
  <c r="V34" i="14" s="1"/>
  <c r="Z34" i="14"/>
  <c r="AL34" i="14"/>
  <c r="AN34" i="14" s="1"/>
  <c r="N291" i="14"/>
  <c r="T291" i="14"/>
  <c r="Z291" i="14"/>
  <c r="H292" i="14"/>
  <c r="X292" i="14"/>
  <c r="AH36" i="14"/>
  <c r="AJ292" i="14"/>
  <c r="AN36" i="14"/>
  <c r="AQ36" i="14"/>
  <c r="E37" i="14"/>
  <c r="G37" i="14" s="1"/>
  <c r="I293" i="14"/>
  <c r="M37" i="14"/>
  <c r="O293" i="14"/>
  <c r="S37" i="14"/>
  <c r="U293" i="14"/>
  <c r="Y37" i="14"/>
  <c r="AC293" i="14"/>
  <c r="AE37" i="14"/>
  <c r="AG293" i="14"/>
  <c r="AK37" i="14"/>
  <c r="AM293" i="14"/>
  <c r="AO293" i="14"/>
  <c r="L294" i="14"/>
  <c r="R294" i="14"/>
  <c r="X294" i="14"/>
  <c r="AD294" i="14"/>
  <c r="F45" i="14"/>
  <c r="I51" i="14"/>
  <c r="L51" i="14"/>
  <c r="O51" i="14"/>
  <c r="R51" i="14"/>
  <c r="U51" i="14"/>
  <c r="X51" i="14"/>
  <c r="AA51" i="14"/>
  <c r="AG51" i="14"/>
  <c r="AH51" i="14" s="1"/>
  <c r="AI51" i="14"/>
  <c r="AL51" i="14"/>
  <c r="AN51" i="14" s="1"/>
  <c r="AP51" i="14"/>
  <c r="F52" i="14"/>
  <c r="H316" i="14"/>
  <c r="H297" i="14"/>
  <c r="K316" i="14"/>
  <c r="K297" i="14"/>
  <c r="N316" i="14"/>
  <c r="N297" i="14"/>
  <c r="Q316" i="14"/>
  <c r="Q297" i="14"/>
  <c r="T316" i="14"/>
  <c r="T297" i="14"/>
  <c r="W52" i="14"/>
  <c r="Z316" i="14"/>
  <c r="Z297" i="14"/>
  <c r="AC316" i="14"/>
  <c r="AC297" i="14"/>
  <c r="AF316" i="14"/>
  <c r="AF297" i="14"/>
  <c r="AI316" i="14"/>
  <c r="AI297" i="14"/>
  <c r="AL316" i="14"/>
  <c r="AL297" i="14"/>
  <c r="AO316" i="14"/>
  <c r="AO297" i="14"/>
  <c r="E53" i="14"/>
  <c r="G53" i="14" s="1"/>
  <c r="I317" i="14"/>
  <c r="I298" i="14"/>
  <c r="L317" i="14"/>
  <c r="L298" i="14"/>
  <c r="O317" i="14"/>
  <c r="O298" i="14"/>
  <c r="R317" i="14"/>
  <c r="R298" i="14"/>
  <c r="U317" i="14"/>
  <c r="U298" i="14"/>
  <c r="X317" i="14"/>
  <c r="X298" i="14"/>
  <c r="AA317" i="14"/>
  <c r="AB317" i="14" s="1"/>
  <c r="AA298" i="14"/>
  <c r="AD317" i="14"/>
  <c r="AD298" i="14"/>
  <c r="AI317" i="14"/>
  <c r="AI298" i="14"/>
  <c r="AK298" i="14" s="1"/>
  <c r="AL317" i="14"/>
  <c r="AL298" i="14"/>
  <c r="AN298" i="14" s="1"/>
  <c r="AN53" i="14"/>
  <c r="F54" i="14"/>
  <c r="H318" i="14"/>
  <c r="H299" i="14"/>
  <c r="K318" i="14"/>
  <c r="K299" i="14"/>
  <c r="N318" i="14"/>
  <c r="N299" i="14"/>
  <c r="Q318" i="14"/>
  <c r="Q299" i="14"/>
  <c r="T318" i="14"/>
  <c r="T299" i="14"/>
  <c r="W318" i="14"/>
  <c r="W299" i="14"/>
  <c r="Z54" i="14"/>
  <c r="AC318" i="14"/>
  <c r="AC299" i="14"/>
  <c r="AF318" i="14"/>
  <c r="AF299" i="14"/>
  <c r="AH54" i="14"/>
  <c r="AK299" i="14"/>
  <c r="AN299" i="14"/>
  <c r="AO318" i="14"/>
  <c r="AO299" i="14"/>
  <c r="E55" i="14"/>
  <c r="H319" i="14"/>
  <c r="H300" i="14"/>
  <c r="K319" i="14"/>
  <c r="K300" i="14"/>
  <c r="N319" i="14"/>
  <c r="N300" i="14"/>
  <c r="Q319" i="14"/>
  <c r="Q300" i="14"/>
  <c r="T319" i="14"/>
  <c r="T300" i="14"/>
  <c r="W319" i="14"/>
  <c r="W300" i="14"/>
  <c r="Z319" i="14"/>
  <c r="Z300" i="14"/>
  <c r="AC319" i="14"/>
  <c r="AC300" i="14"/>
  <c r="F56" i="14"/>
  <c r="W56" i="14"/>
  <c r="E56" i="14" s="1"/>
  <c r="E58" i="14"/>
  <c r="G58" i="14" s="1"/>
  <c r="F66" i="14"/>
  <c r="Q66" i="14"/>
  <c r="E69" i="14"/>
  <c r="G69" i="14" s="1"/>
  <c r="P69" i="14"/>
  <c r="AE69" i="14"/>
  <c r="I78" i="14"/>
  <c r="I291" i="14" s="1"/>
  <c r="L78" i="14"/>
  <c r="L291" i="14" s="1"/>
  <c r="O78" i="14"/>
  <c r="O291" i="14" s="1"/>
  <c r="R78" i="14"/>
  <c r="R291" i="14" s="1"/>
  <c r="U78" i="14"/>
  <c r="U291" i="14" s="1"/>
  <c r="X78" i="14"/>
  <c r="X291" i="14" s="1"/>
  <c r="AA78" i="14"/>
  <c r="AC78" i="14"/>
  <c r="AF78" i="14"/>
  <c r="AF291" i="14" s="1"/>
  <c r="AI78" i="14"/>
  <c r="AL78" i="14"/>
  <c r="AL291" i="14" s="1"/>
  <c r="AO78" i="14"/>
  <c r="AO291" i="14" s="1"/>
  <c r="I79" i="14"/>
  <c r="I292" i="14" s="1"/>
  <c r="L79" i="14"/>
  <c r="L77" i="14" s="1"/>
  <c r="O79" i="14"/>
  <c r="O292" i="14" s="1"/>
  <c r="R79" i="14"/>
  <c r="T79" i="14"/>
  <c r="W79" i="14"/>
  <c r="Z79" i="14"/>
  <c r="AD79" i="14"/>
  <c r="AD77" i="14" s="1"/>
  <c r="AG79" i="14"/>
  <c r="AI79" i="14"/>
  <c r="AL79" i="14"/>
  <c r="AP79" i="14"/>
  <c r="AP77" i="14" s="1"/>
  <c r="H80" i="14"/>
  <c r="K80" i="14"/>
  <c r="K293" i="14" s="1"/>
  <c r="R80" i="14"/>
  <c r="R293" i="14" s="1"/>
  <c r="X80" i="14"/>
  <c r="Y80" i="14" s="1"/>
  <c r="AD80" i="14"/>
  <c r="AE80" i="14" s="1"/>
  <c r="AF80" i="14"/>
  <c r="AF293" i="14" s="1"/>
  <c r="AJ80" i="14"/>
  <c r="AK80" i="14" s="1"/>
  <c r="AL80" i="14"/>
  <c r="AN80" i="14" s="1"/>
  <c r="AP80" i="14"/>
  <c r="H81" i="14"/>
  <c r="K81" i="14"/>
  <c r="K294" i="14" s="1"/>
  <c r="N81" i="14"/>
  <c r="N294" i="14" s="1"/>
  <c r="Q81" i="14"/>
  <c r="T81" i="14"/>
  <c r="T294" i="14" s="1"/>
  <c r="W81" i="14"/>
  <c r="W294" i="14" s="1"/>
  <c r="Z81" i="14"/>
  <c r="AC81" i="14"/>
  <c r="AC294" i="14" s="1"/>
  <c r="AF81" i="14"/>
  <c r="AF294" i="14" s="1"/>
  <c r="AI81" i="14"/>
  <c r="AL81" i="14"/>
  <c r="AL294" i="14" s="1"/>
  <c r="AO81" i="14"/>
  <c r="AO294" i="14" s="1"/>
  <c r="F89" i="14"/>
  <c r="H89" i="14"/>
  <c r="E92" i="14"/>
  <c r="G92" i="14" s="1"/>
  <c r="J92" i="14"/>
  <c r="W94" i="14"/>
  <c r="E97" i="14"/>
  <c r="G97" i="14" s="1"/>
  <c r="S99" i="14"/>
  <c r="J114" i="14"/>
  <c r="AB114" i="14"/>
  <c r="AK119" i="14"/>
  <c r="J124" i="14"/>
  <c r="AB124" i="14"/>
  <c r="J129" i="14"/>
  <c r="AB129" i="14"/>
  <c r="S134" i="14"/>
  <c r="AB149" i="14"/>
  <c r="P190" i="14"/>
  <c r="AH190" i="14"/>
  <c r="G193" i="14"/>
  <c r="AL226" i="14"/>
  <c r="AN226" i="14" s="1"/>
  <c r="AN227" i="14"/>
  <c r="AQ227" i="14"/>
  <c r="AO226" i="14"/>
  <c r="AQ226" i="14" s="1"/>
  <c r="E228" i="14"/>
  <c r="AB228" i="14"/>
  <c r="P226" i="14"/>
  <c r="V226" i="14"/>
  <c r="AB226" i="14"/>
  <c r="P227" i="14"/>
  <c r="V227" i="14"/>
  <c r="AO324" i="14"/>
  <c r="AO321" i="14" s="1"/>
  <c r="AQ266" i="14"/>
  <c r="AO263" i="14"/>
  <c r="AQ263" i="14" s="1"/>
  <c r="G256" i="14"/>
  <c r="AN288" i="14"/>
  <c r="E160" i="14"/>
  <c r="E165" i="14"/>
  <c r="G165" i="14" s="1"/>
  <c r="E170" i="14"/>
  <c r="G170" i="14" s="1"/>
  <c r="F180" i="14"/>
  <c r="J180" i="14"/>
  <c r="P182" i="14"/>
  <c r="Y182" i="14"/>
  <c r="AH182" i="14"/>
  <c r="AQ182" i="14"/>
  <c r="W192" i="14"/>
  <c r="E192" i="14" s="1"/>
  <c r="AK192" i="14"/>
  <c r="AO192" i="14"/>
  <c r="J193" i="14"/>
  <c r="AB193" i="14"/>
  <c r="AB216" i="14"/>
  <c r="S221" i="14"/>
  <c r="H227" i="14"/>
  <c r="H291" i="14" s="1"/>
  <c r="K227" i="14"/>
  <c r="Q227" i="14"/>
  <c r="W227" i="14"/>
  <c r="AI229" i="14"/>
  <c r="S232" i="14"/>
  <c r="AK232" i="14"/>
  <c r="S247" i="14"/>
  <c r="S258" i="14"/>
  <c r="AN258" i="14"/>
  <c r="J263" i="14"/>
  <c r="AB263" i="14"/>
  <c r="J324" i="14"/>
  <c r="F324" i="14"/>
  <c r="I321" i="14"/>
  <c r="M266" i="14"/>
  <c r="Q266" i="14"/>
  <c r="W266" i="14"/>
  <c r="AC321" i="14"/>
  <c r="AE324" i="14"/>
  <c r="AE266" i="14"/>
  <c r="AH324" i="14"/>
  <c r="AG321" i="14"/>
  <c r="AK324" i="14"/>
  <c r="AK266" i="14"/>
  <c r="AK270" i="14"/>
  <c r="AB275" i="14"/>
  <c r="Q287" i="14"/>
  <c r="W287" i="14"/>
  <c r="AC287" i="14"/>
  <c r="N288" i="14"/>
  <c r="W288" i="14"/>
  <c r="Y288" i="14" s="1"/>
  <c r="AK288" i="14"/>
  <c r="S170" i="14"/>
  <c r="S180" i="14"/>
  <c r="AK180" i="14"/>
  <c r="F190" i="14"/>
  <c r="F192" i="14"/>
  <c r="F196" i="14"/>
  <c r="G196" i="14" s="1"/>
  <c r="F216" i="14"/>
  <c r="P217" i="14"/>
  <c r="S217" i="14"/>
  <c r="V217" i="14"/>
  <c r="F221" i="14"/>
  <c r="G221" i="14" s="1"/>
  <c r="F228" i="14"/>
  <c r="E232" i="14"/>
  <c r="G232" i="14" s="1"/>
  <c r="E253" i="14"/>
  <c r="G253" i="14" s="1"/>
  <c r="F258" i="14"/>
  <c r="G258" i="14" s="1"/>
  <c r="E261" i="14"/>
  <c r="G261" i="14" s="1"/>
  <c r="P261" i="14"/>
  <c r="S323" i="14"/>
  <c r="AB323" i="14"/>
  <c r="Z321" i="14"/>
  <c r="AK323" i="14"/>
  <c r="AI321" i="14"/>
  <c r="AN323" i="14"/>
  <c r="AL321" i="14"/>
  <c r="AN321" i="14" s="1"/>
  <c r="F266" i="14"/>
  <c r="H321" i="14"/>
  <c r="J266" i="14"/>
  <c r="M324" i="14"/>
  <c r="L321" i="14"/>
  <c r="M321" i="14" s="1"/>
  <c r="AB324" i="14"/>
  <c r="AH266" i="14"/>
  <c r="F270" i="14"/>
  <c r="G270" i="14" s="1"/>
  <c r="E272" i="14"/>
  <c r="G272" i="14" s="1"/>
  <c r="AE272" i="14"/>
  <c r="E273" i="14"/>
  <c r="G273" i="14" s="1"/>
  <c r="P273" i="14"/>
  <c r="S273" i="14"/>
  <c r="AB273" i="14"/>
  <c r="F275" i="14"/>
  <c r="G275" i="14" s="1"/>
  <c r="E287" i="14"/>
  <c r="G287" i="14" s="1"/>
  <c r="AK318" i="14"/>
  <c r="AK321" i="14"/>
  <c r="AN317" i="14"/>
  <c r="AE321" i="14"/>
  <c r="J326" i="14"/>
  <c r="G216" i="14" l="1"/>
  <c r="G192" i="14"/>
  <c r="AL296" i="14"/>
  <c r="AF296" i="14"/>
  <c r="T315" i="14"/>
  <c r="N315" i="14"/>
  <c r="K315" i="14"/>
  <c r="AD296" i="14"/>
  <c r="AD293" i="14"/>
  <c r="V157" i="14"/>
  <c r="AJ77" i="14"/>
  <c r="Y318" i="14"/>
  <c r="V318" i="14"/>
  <c r="E242" i="14"/>
  <c r="F154" i="14"/>
  <c r="E180" i="14"/>
  <c r="G180" i="14" s="1"/>
  <c r="AL313" i="14"/>
  <c r="AL306" i="14"/>
  <c r="AF313" i="14"/>
  <c r="AF306" i="14"/>
  <c r="T313" i="14"/>
  <c r="T306" i="14"/>
  <c r="N313" i="14"/>
  <c r="N306" i="14"/>
  <c r="AF312" i="14"/>
  <c r="AF305" i="14"/>
  <c r="K312" i="14"/>
  <c r="K305" i="14"/>
  <c r="AO303" i="14"/>
  <c r="AO310" i="14"/>
  <c r="AQ291" i="14"/>
  <c r="X310" i="14"/>
  <c r="X303" i="14"/>
  <c r="R310" i="14"/>
  <c r="R303" i="14"/>
  <c r="L310" i="14"/>
  <c r="L303" i="14"/>
  <c r="AJ310" i="14"/>
  <c r="AJ303" i="14"/>
  <c r="AC313" i="14"/>
  <c r="AC306" i="14"/>
  <c r="W313" i="14"/>
  <c r="W306" i="14"/>
  <c r="K313" i="14"/>
  <c r="K306" i="14"/>
  <c r="O303" i="14"/>
  <c r="O310" i="14"/>
  <c r="P291" i="14"/>
  <c r="P310" i="14" s="1"/>
  <c r="O290" i="14"/>
  <c r="AA313" i="14"/>
  <c r="AA306" i="14"/>
  <c r="U313" i="14"/>
  <c r="U306" i="14"/>
  <c r="O313" i="14"/>
  <c r="O306" i="14"/>
  <c r="L312" i="14"/>
  <c r="L305" i="14"/>
  <c r="M305" i="14" s="1"/>
  <c r="M293" i="14"/>
  <c r="M312" i="14" s="1"/>
  <c r="AM303" i="14"/>
  <c r="AM310" i="14"/>
  <c r="AN291" i="14"/>
  <c r="AM290" i="14"/>
  <c r="AG303" i="14"/>
  <c r="AG310" i="14"/>
  <c r="AB321" i="14"/>
  <c r="P288" i="14"/>
  <c r="P293" i="14" s="1"/>
  <c r="N285" i="14"/>
  <c r="W285" i="14"/>
  <c r="Y285" i="14" s="1"/>
  <c r="Y287" i="14"/>
  <c r="W324" i="14"/>
  <c r="Y324" i="14" s="1"/>
  <c r="Y266" i="14"/>
  <c r="Y227" i="14"/>
  <c r="W226" i="14"/>
  <c r="Y226" i="14" s="1"/>
  <c r="M227" i="14"/>
  <c r="K226" i="14"/>
  <c r="M226" i="14" s="1"/>
  <c r="E89" i="14"/>
  <c r="E81" i="14"/>
  <c r="AI77" i="14"/>
  <c r="R77" i="14"/>
  <c r="S79" i="14"/>
  <c r="E300" i="14"/>
  <c r="F317" i="14"/>
  <c r="AO296" i="14"/>
  <c r="AI296" i="14"/>
  <c r="AC296" i="14"/>
  <c r="W316" i="14"/>
  <c r="W315" i="14" s="1"/>
  <c r="W297" i="14"/>
  <c r="W296" i="14" s="1"/>
  <c r="W78" i="14"/>
  <c r="W77" i="14" s="1"/>
  <c r="E52" i="14"/>
  <c r="W51" i="14"/>
  <c r="Q315" i="14"/>
  <c r="E316" i="14"/>
  <c r="H315" i="14"/>
  <c r="F51" i="14"/>
  <c r="AO313" i="14"/>
  <c r="AO306" i="14"/>
  <c r="AD313" i="14"/>
  <c r="AD306" i="14"/>
  <c r="X313" i="14"/>
  <c r="X306" i="14"/>
  <c r="R313" i="14"/>
  <c r="R306" i="14"/>
  <c r="L313" i="14"/>
  <c r="L306" i="14"/>
  <c r="F294" i="14"/>
  <c r="AO312" i="14"/>
  <c r="AQ312" i="14" s="1"/>
  <c r="AO305" i="14"/>
  <c r="AQ305" i="14" s="1"/>
  <c r="AQ293" i="14"/>
  <c r="AG312" i="14"/>
  <c r="AG305" i="14"/>
  <c r="AH305" i="14" s="1"/>
  <c r="AC312" i="14"/>
  <c r="AC305" i="14"/>
  <c r="O312" i="14"/>
  <c r="O305" i="14"/>
  <c r="AJ311" i="14"/>
  <c r="AJ304" i="14"/>
  <c r="AD292" i="14"/>
  <c r="X311" i="14"/>
  <c r="X304" i="14"/>
  <c r="R292" i="14"/>
  <c r="H311" i="14"/>
  <c r="H304" i="14"/>
  <c r="AL310" i="14"/>
  <c r="AL303" i="14"/>
  <c r="AF310" i="14"/>
  <c r="AF303" i="14"/>
  <c r="Z310" i="14"/>
  <c r="Z303" i="14"/>
  <c r="T310" i="14"/>
  <c r="T303" i="14"/>
  <c r="N310" i="14"/>
  <c r="N303" i="14"/>
  <c r="H310" i="14"/>
  <c r="H303" i="14"/>
  <c r="E34" i="14"/>
  <c r="F81" i="14"/>
  <c r="AH80" i="14"/>
  <c r="AO77" i="14"/>
  <c r="AC77" i="14"/>
  <c r="AE77" i="14" s="1"/>
  <c r="N77" i="14"/>
  <c r="E79" i="14"/>
  <c r="H77" i="14"/>
  <c r="I306" i="14"/>
  <c r="F306" i="14" s="1"/>
  <c r="F300" i="14"/>
  <c r="F318" i="14"/>
  <c r="E298" i="14"/>
  <c r="AN296" i="14"/>
  <c r="AK296" i="14"/>
  <c r="AA296" i="14"/>
  <c r="X296" i="14"/>
  <c r="Y296" i="14" s="1"/>
  <c r="U296" i="14"/>
  <c r="R296" i="14"/>
  <c r="O296" i="14"/>
  <c r="L296" i="14"/>
  <c r="I296" i="14"/>
  <c r="F297" i="14"/>
  <c r="Z294" i="14"/>
  <c r="H294" i="14"/>
  <c r="AL293" i="14"/>
  <c r="AH293" i="14"/>
  <c r="AH312" i="14" s="1"/>
  <c r="AD312" i="14"/>
  <c r="AE312" i="14" s="1"/>
  <c r="AD305" i="14"/>
  <c r="AE305" i="14" s="1"/>
  <c r="AE293" i="14"/>
  <c r="R312" i="14"/>
  <c r="R305" i="14"/>
  <c r="N293" i="14"/>
  <c r="AM311" i="14"/>
  <c r="AM304" i="14"/>
  <c r="AI292" i="14"/>
  <c r="AB285" i="14"/>
  <c r="E266" i="14"/>
  <c r="G266" i="14" s="1"/>
  <c r="W263" i="14"/>
  <c r="Y263" i="14" s="1"/>
  <c r="Y323" i="14"/>
  <c r="W321" i="14"/>
  <c r="Y321" i="14" s="1"/>
  <c r="E157" i="14"/>
  <c r="G157" i="14" s="1"/>
  <c r="AC292" i="14"/>
  <c r="U311" i="14"/>
  <c r="U304" i="14"/>
  <c r="AD310" i="14"/>
  <c r="AD303" i="14"/>
  <c r="U303" i="14"/>
  <c r="U310" i="14"/>
  <c r="V291" i="14"/>
  <c r="U290" i="14"/>
  <c r="I303" i="14"/>
  <c r="I310" i="14"/>
  <c r="J291" i="14"/>
  <c r="J310" i="14" s="1"/>
  <c r="I290" i="14"/>
  <c r="W293" i="14"/>
  <c r="J157" i="14"/>
  <c r="X77" i="14"/>
  <c r="AA311" i="14"/>
  <c r="AA304" i="14"/>
  <c r="W292" i="14"/>
  <c r="O311" i="14"/>
  <c r="O304" i="14"/>
  <c r="G36" i="14"/>
  <c r="I311" i="14"/>
  <c r="I304" i="14"/>
  <c r="J292" i="14"/>
  <c r="J311" i="14" s="1"/>
  <c r="J34" i="14"/>
  <c r="E323" i="14"/>
  <c r="G228" i="14"/>
  <c r="AC285" i="14"/>
  <c r="AE285" i="14" s="1"/>
  <c r="AE287" i="14"/>
  <c r="Q285" i="14"/>
  <c r="S287" i="14"/>
  <c r="AH321" i="14"/>
  <c r="Q324" i="14"/>
  <c r="Q263" i="14"/>
  <c r="S266" i="14"/>
  <c r="J321" i="14"/>
  <c r="F321" i="14"/>
  <c r="AK229" i="14"/>
  <c r="S227" i="14"/>
  <c r="Q226" i="14"/>
  <c r="E227" i="14"/>
  <c r="G227" i="14" s="1"/>
  <c r="H226" i="14"/>
  <c r="AQ192" i="14"/>
  <c r="AO190" i="14"/>
  <c r="AQ190" i="14" s="1"/>
  <c r="Y192" i="14"/>
  <c r="W190" i="14"/>
  <c r="E288" i="14"/>
  <c r="G288" i="14" s="1"/>
  <c r="AI226" i="14"/>
  <c r="E229" i="14"/>
  <c r="G229" i="14" s="1"/>
  <c r="E94" i="14"/>
  <c r="G94" i="14" s="1"/>
  <c r="G89" i="14"/>
  <c r="S80" i="14"/>
  <c r="AL77" i="14"/>
  <c r="AH79" i="14"/>
  <c r="AG77" i="14"/>
  <c r="T77" i="14"/>
  <c r="O77" i="14"/>
  <c r="P77" i="14" s="1"/>
  <c r="F79" i="14"/>
  <c r="I77" i="14"/>
  <c r="AB78" i="14"/>
  <c r="AA77" i="14"/>
  <c r="U77" i="14"/>
  <c r="V77" i="14" s="1"/>
  <c r="F78" i="14"/>
  <c r="E66" i="14"/>
  <c r="G66" i="14" s="1"/>
  <c r="G56" i="14"/>
  <c r="E319" i="14"/>
  <c r="Z318" i="14"/>
  <c r="Z299" i="14"/>
  <c r="Z80" i="14"/>
  <c r="E54" i="14"/>
  <c r="G54" i="14" s="1"/>
  <c r="Z51" i="14"/>
  <c r="E318" i="14"/>
  <c r="S298" i="14"/>
  <c r="F298" i="14"/>
  <c r="AO315" i="14"/>
  <c r="AL315" i="14"/>
  <c r="AI315" i="14"/>
  <c r="AF315" i="14"/>
  <c r="AC315" i="14"/>
  <c r="T296" i="14"/>
  <c r="Q296" i="14"/>
  <c r="N296" i="14"/>
  <c r="K296" i="14"/>
  <c r="H296" i="14"/>
  <c r="G52" i="14"/>
  <c r="AI294" i="14"/>
  <c r="AM312" i="14"/>
  <c r="AM305" i="14"/>
  <c r="AN293" i="14"/>
  <c r="AI293" i="14"/>
  <c r="AA293" i="14"/>
  <c r="U312" i="14"/>
  <c r="U305" i="14"/>
  <c r="V293" i="14"/>
  <c r="Q293" i="14"/>
  <c r="I312" i="14"/>
  <c r="I305" i="14"/>
  <c r="AL292" i="14"/>
  <c r="Z292" i="14"/>
  <c r="T292" i="14"/>
  <c r="L292" i="14"/>
  <c r="L290" i="14" s="1"/>
  <c r="AI291" i="14"/>
  <c r="AC291" i="14"/>
  <c r="AE291" i="14" s="1"/>
  <c r="Q291" i="14"/>
  <c r="K291" i="14"/>
  <c r="F80" i="14"/>
  <c r="AN79" i="14"/>
  <c r="AM77" i="14"/>
  <c r="AN77" i="14" s="1"/>
  <c r="AF77" i="14"/>
  <c r="Q77" i="14"/>
  <c r="K77" i="14"/>
  <c r="F319" i="14"/>
  <c r="I313" i="14"/>
  <c r="F313" i="14" s="1"/>
  <c r="Y299" i="14"/>
  <c r="V299" i="14"/>
  <c r="S299" i="14"/>
  <c r="F299" i="14"/>
  <c r="E317" i="14"/>
  <c r="AQ303" i="14"/>
  <c r="AN315" i="14"/>
  <c r="AD315" i="14"/>
  <c r="AB316" i="14"/>
  <c r="AA315" i="14"/>
  <c r="X315" i="14"/>
  <c r="Y315" i="14" s="1"/>
  <c r="U315" i="14"/>
  <c r="V315" i="14" s="1"/>
  <c r="R315" i="14"/>
  <c r="O315" i="14"/>
  <c r="L315" i="14"/>
  <c r="F316" i="14"/>
  <c r="G316" i="14" s="1"/>
  <c r="I315" i="14"/>
  <c r="Q294" i="14"/>
  <c r="AJ293" i="14"/>
  <c r="AJ290" i="14" s="1"/>
  <c r="X293" i="14"/>
  <c r="T312" i="14"/>
  <c r="T305" i="14"/>
  <c r="H293" i="14"/>
  <c r="AO292" i="14"/>
  <c r="AO290" i="14" s="1"/>
  <c r="AQ290" i="14" s="1"/>
  <c r="AG292" i="14"/>
  <c r="P324" i="14"/>
  <c r="N321" i="14"/>
  <c r="P321" i="14" s="1"/>
  <c r="E190" i="14"/>
  <c r="G190" i="14" s="1"/>
  <c r="AK190" i="14"/>
  <c r="AQ156" i="14"/>
  <c r="AO154" i="14"/>
  <c r="AQ154" i="14" s="1"/>
  <c r="E156" i="14"/>
  <c r="G156" i="14" s="1"/>
  <c r="K154" i="14"/>
  <c r="M154" i="14" s="1"/>
  <c r="G155" i="14"/>
  <c r="E114" i="14"/>
  <c r="G114" i="14" s="1"/>
  <c r="Y156" i="14"/>
  <c r="M156" i="14"/>
  <c r="AK154" i="14"/>
  <c r="J89" i="14"/>
  <c r="AB79" i="14"/>
  <c r="S66" i="14"/>
  <c r="Q292" i="14"/>
  <c r="K292" i="14"/>
  <c r="AA291" i="14"/>
  <c r="AB34" i="14"/>
  <c r="P34" i="14"/>
  <c r="AB154" i="14"/>
  <c r="H154" i="14"/>
  <c r="F34" i="14"/>
  <c r="G34" i="14" s="1"/>
  <c r="AF292" i="14"/>
  <c r="AF290" i="14" s="1"/>
  <c r="N292" i="14"/>
  <c r="AH77" i="14" l="1"/>
  <c r="Y77" i="14"/>
  <c r="P312" i="14"/>
  <c r="O309" i="14"/>
  <c r="N311" i="14"/>
  <c r="N304" i="14"/>
  <c r="J154" i="14"/>
  <c r="E154" i="14"/>
  <c r="G154" i="14" s="1"/>
  <c r="K311" i="14"/>
  <c r="K304" i="14"/>
  <c r="AG311" i="14"/>
  <c r="AG304" i="14"/>
  <c r="AH292" i="14"/>
  <c r="H312" i="14"/>
  <c r="H305" i="14"/>
  <c r="X312" i="14"/>
  <c r="X305" i="14"/>
  <c r="Y293" i="14"/>
  <c r="Q313" i="14"/>
  <c r="Q306" i="14"/>
  <c r="Q303" i="14"/>
  <c r="Q310" i="14"/>
  <c r="Q290" i="14"/>
  <c r="AI303" i="14"/>
  <c r="AI310" i="14"/>
  <c r="AI290" i="14"/>
  <c r="T311" i="14"/>
  <c r="T304" i="14"/>
  <c r="AL311" i="14"/>
  <c r="AL304" i="14"/>
  <c r="F293" i="14"/>
  <c r="J305" i="14"/>
  <c r="Q312" i="14"/>
  <c r="Q305" i="14"/>
  <c r="V305" i="14"/>
  <c r="AA312" i="14"/>
  <c r="AA305" i="14"/>
  <c r="Z293" i="14"/>
  <c r="AB293" i="14" s="1"/>
  <c r="F77" i="14"/>
  <c r="AK226" i="14"/>
  <c r="S226" i="14"/>
  <c r="S263" i="14"/>
  <c r="E263" i="14"/>
  <c r="G263" i="14" s="1"/>
  <c r="J304" i="14"/>
  <c r="P304" i="14"/>
  <c r="W311" i="14"/>
  <c r="W304" i="14"/>
  <c r="Y304" i="14" s="1"/>
  <c r="W312" i="14"/>
  <c r="W305" i="14"/>
  <c r="J303" i="14"/>
  <c r="I302" i="14"/>
  <c r="V303" i="14"/>
  <c r="U302" i="14"/>
  <c r="V304" i="14"/>
  <c r="AC311" i="14"/>
  <c r="AC304" i="14"/>
  <c r="AN292" i="14"/>
  <c r="AN311" i="14"/>
  <c r="S293" i="14"/>
  <c r="S312" i="14"/>
  <c r="H313" i="14"/>
  <c r="H306" i="14"/>
  <c r="E294" i="14"/>
  <c r="S296" i="14"/>
  <c r="G318" i="14"/>
  <c r="N290" i="14"/>
  <c r="P290" i="14" s="1"/>
  <c r="T302" i="14"/>
  <c r="R311" i="14"/>
  <c r="R304" i="14"/>
  <c r="S292" i="14"/>
  <c r="AD311" i="14"/>
  <c r="AE311" i="14" s="1"/>
  <c r="AD304" i="14"/>
  <c r="AE292" i="14"/>
  <c r="E51" i="14"/>
  <c r="G51" i="14" s="1"/>
  <c r="G317" i="14"/>
  <c r="AG290" i="14"/>
  <c r="AH303" i="14"/>
  <c r="AG302" i="14"/>
  <c r="AN303" i="14"/>
  <c r="AM302" i="14"/>
  <c r="AK303" i="14"/>
  <c r="R290" i="14"/>
  <c r="S290" i="14" s="1"/>
  <c r="S303" i="14"/>
  <c r="R302" i="14"/>
  <c r="X290" i="14"/>
  <c r="X302" i="14"/>
  <c r="AQ310" i="14"/>
  <c r="AF311" i="14"/>
  <c r="AF309" i="14" s="1"/>
  <c r="AF304" i="14"/>
  <c r="AA303" i="14"/>
  <c r="F303" i="14" s="1"/>
  <c r="AA310" i="14"/>
  <c r="AB291" i="14"/>
  <c r="AA290" i="14"/>
  <c r="Q311" i="14"/>
  <c r="Q304" i="14"/>
  <c r="AO311" i="14"/>
  <c r="AQ311" i="14" s="1"/>
  <c r="AO304" i="14"/>
  <c r="AQ304" i="14" s="1"/>
  <c r="AQ292" i="14"/>
  <c r="AJ312" i="14"/>
  <c r="AJ305" i="14"/>
  <c r="AK293" i="14"/>
  <c r="F315" i="14"/>
  <c r="AK315" i="14"/>
  <c r="K303" i="14"/>
  <c r="K302" i="14" s="1"/>
  <c r="K310" i="14"/>
  <c r="K309" i="14" s="1"/>
  <c r="K290" i="14"/>
  <c r="M290" i="14" s="1"/>
  <c r="AC303" i="14"/>
  <c r="AC310" i="14"/>
  <c r="AC309" i="14" s="1"/>
  <c r="AC290" i="14"/>
  <c r="L311" i="14"/>
  <c r="L304" i="14"/>
  <c r="L302" i="14" s="1"/>
  <c r="M292" i="14"/>
  <c r="M311" i="14" s="1"/>
  <c r="Z311" i="14"/>
  <c r="Z304" i="14"/>
  <c r="J293" i="14"/>
  <c r="J312" i="14" s="1"/>
  <c r="V312" i="14"/>
  <c r="AI312" i="14"/>
  <c r="AI305" i="14"/>
  <c r="AI313" i="14"/>
  <c r="AI306" i="14"/>
  <c r="E297" i="14"/>
  <c r="G297" i="14" s="1"/>
  <c r="Z315" i="14"/>
  <c r="G298" i="14"/>
  <c r="G79" i="14"/>
  <c r="Z77" i="14"/>
  <c r="E80" i="14"/>
  <c r="G80" i="14" s="1"/>
  <c r="Y190" i="14"/>
  <c r="E226" i="14"/>
  <c r="G226" i="14" s="1"/>
  <c r="S324" i="14"/>
  <c r="Q321" i="14"/>
  <c r="E324" i="14"/>
  <c r="G324" i="14" s="1"/>
  <c r="S285" i="14"/>
  <c r="E321" i="14"/>
  <c r="G321" i="14" s="1"/>
  <c r="F292" i="14"/>
  <c r="F311" i="14"/>
  <c r="P292" i="14"/>
  <c r="P311" i="14" s="1"/>
  <c r="AB292" i="14"/>
  <c r="AB311" i="14"/>
  <c r="F291" i="14"/>
  <c r="F310" i="14"/>
  <c r="I309" i="14"/>
  <c r="V310" i="14"/>
  <c r="U309" i="14"/>
  <c r="AD290" i="14"/>
  <c r="AE290" i="14" s="1"/>
  <c r="AE303" i="14"/>
  <c r="AD302" i="14"/>
  <c r="V292" i="14"/>
  <c r="V311" i="14"/>
  <c r="AI311" i="14"/>
  <c r="AI304" i="14"/>
  <c r="AN304" i="14"/>
  <c r="N312" i="14"/>
  <c r="N309" i="14" s="1"/>
  <c r="P309" i="14" s="1"/>
  <c r="N305" i="14"/>
  <c r="P305" i="14" s="1"/>
  <c r="S305" i="14"/>
  <c r="AL312" i="14"/>
  <c r="AN312" i="14" s="1"/>
  <c r="AL305" i="14"/>
  <c r="AL302" i="14" s="1"/>
  <c r="Z313" i="14"/>
  <c r="Z306" i="14"/>
  <c r="F296" i="14"/>
  <c r="V296" i="14"/>
  <c r="AB318" i="14"/>
  <c r="E77" i="14"/>
  <c r="AK77" i="14"/>
  <c r="AB80" i="14"/>
  <c r="H290" i="14"/>
  <c r="N302" i="14"/>
  <c r="T290" i="14"/>
  <c r="V290" i="14" s="1"/>
  <c r="T309" i="14"/>
  <c r="AF302" i="14"/>
  <c r="AL290" i="14"/>
  <c r="AL309" i="14"/>
  <c r="E292" i="14"/>
  <c r="Y292" i="14"/>
  <c r="Y311" i="14"/>
  <c r="AK292" i="14"/>
  <c r="E315" i="14"/>
  <c r="W291" i="14"/>
  <c r="E78" i="14"/>
  <c r="G78" i="14" s="1"/>
  <c r="Z296" i="14"/>
  <c r="E299" i="14"/>
  <c r="G299" i="14" s="1"/>
  <c r="S77" i="14"/>
  <c r="P285" i="14"/>
  <c r="E285" i="14"/>
  <c r="G285" i="14" s="1"/>
  <c r="AG309" i="14"/>
  <c r="AN290" i="14"/>
  <c r="AN310" i="14"/>
  <c r="AM309" i="14"/>
  <c r="P303" i="14"/>
  <c r="O302" i="14"/>
  <c r="AK291" i="14"/>
  <c r="AK310" i="14"/>
  <c r="AJ309" i="14"/>
  <c r="M291" i="14"/>
  <c r="M310" i="14" s="1"/>
  <c r="L309" i="14"/>
  <c r="M309" i="14" s="1"/>
  <c r="S291" i="14"/>
  <c r="S310" i="14"/>
  <c r="AO302" i="14"/>
  <c r="AQ302" i="14" s="1"/>
  <c r="S311" i="14" l="1"/>
  <c r="E304" i="14"/>
  <c r="E311" i="14"/>
  <c r="AH309" i="14"/>
  <c r="W303" i="14"/>
  <c r="W310" i="14"/>
  <c r="W290" i="14"/>
  <c r="Y291" i="14"/>
  <c r="F290" i="14"/>
  <c r="G311" i="14"/>
  <c r="S321" i="14"/>
  <c r="AN305" i="14"/>
  <c r="G315" i="14"/>
  <c r="AK305" i="14"/>
  <c r="AB310" i="14"/>
  <c r="AA309" i="14"/>
  <c r="AO309" i="14"/>
  <c r="AQ309" i="14" s="1"/>
  <c r="Y290" i="14"/>
  <c r="M302" i="14"/>
  <c r="AN302" i="14"/>
  <c r="AH302" i="14"/>
  <c r="E303" i="14"/>
  <c r="E291" i="14"/>
  <c r="E306" i="14"/>
  <c r="AE310" i="14"/>
  <c r="G303" i="14"/>
  <c r="G77" i="14"/>
  <c r="AI302" i="14"/>
  <c r="Q302" i="14"/>
  <c r="AB315" i="14"/>
  <c r="Y312" i="14"/>
  <c r="AH304" i="14"/>
  <c r="X309" i="14"/>
  <c r="R309" i="14"/>
  <c r="P302" i="14"/>
  <c r="AN309" i="14"/>
  <c r="AK311" i="14"/>
  <c r="H309" i="14"/>
  <c r="V309" i="14"/>
  <c r="J309" i="14"/>
  <c r="G291" i="14"/>
  <c r="J290" i="14"/>
  <c r="G292" i="14"/>
  <c r="E296" i="14"/>
  <c r="G296" i="14" s="1"/>
  <c r="F312" i="14"/>
  <c r="M304" i="14"/>
  <c r="AC302" i="14"/>
  <c r="AE302" i="14" s="1"/>
  <c r="AK312" i="14"/>
  <c r="AB303" i="14"/>
  <c r="AA302" i="14"/>
  <c r="S302" i="14"/>
  <c r="M303" i="14"/>
  <c r="AJ302" i="14"/>
  <c r="AK302" i="14" s="1"/>
  <c r="AK290" i="14"/>
  <c r="AK304" i="14"/>
  <c r="AE304" i="14"/>
  <c r="S304" i="14"/>
  <c r="H302" i="14"/>
  <c r="E313" i="14"/>
  <c r="AD309" i="14"/>
  <c r="AE309" i="14" s="1"/>
  <c r="V302" i="14"/>
  <c r="J302" i="14"/>
  <c r="AB304" i="14"/>
  <c r="F304" i="14"/>
  <c r="G304" i="14" s="1"/>
  <c r="AB77" i="14"/>
  <c r="Z312" i="14"/>
  <c r="Z305" i="14"/>
  <c r="Z290" i="14"/>
  <c r="F305" i="14"/>
  <c r="AI309" i="14"/>
  <c r="Q309" i="14"/>
  <c r="Y305" i="14"/>
  <c r="E293" i="14"/>
  <c r="G293" i="14" s="1"/>
  <c r="E305" i="14"/>
  <c r="AH311" i="14"/>
  <c r="AH291" i="14"/>
  <c r="AH310" i="14" l="1"/>
  <c r="AH290" i="14"/>
  <c r="Z302" i="14"/>
  <c r="W309" i="14"/>
  <c r="Y309" i="14" s="1"/>
  <c r="E310" i="14"/>
  <c r="G310" i="14" s="1"/>
  <c r="Y310" i="14"/>
  <c r="G305" i="14"/>
  <c r="AB305" i="14"/>
  <c r="Z309" i="14"/>
  <c r="E309" i="14" s="1"/>
  <c r="F302" i="14"/>
  <c r="AB302" i="14"/>
  <c r="F309" i="14"/>
  <c r="E290" i="14"/>
  <c r="G290" i="14" s="1"/>
  <c r="S309" i="14"/>
  <c r="E312" i="14"/>
  <c r="G312" i="14" s="1"/>
  <c r="AB312" i="14"/>
  <c r="AB290" i="14"/>
  <c r="W302" i="14"/>
  <c r="Y302" i="14" s="1"/>
  <c r="Y303" i="14"/>
  <c r="AK309" i="14"/>
  <c r="E302" i="14" l="1"/>
  <c r="G302" i="14" s="1"/>
  <c r="G309" i="14"/>
  <c r="AB309" i="14"/>
</calcChain>
</file>

<file path=xl/comments1.xml><?xml version="1.0" encoding="utf-8"?>
<comments xmlns="http://schemas.openxmlformats.org/spreadsheetml/2006/main">
  <authors>
    <author>Невская Ирина Евгеньевна</author>
  </authors>
  <commentList>
    <comment ref="AR324" authorId="0">
      <text>
        <r>
          <rPr>
            <b/>
            <sz val="9"/>
            <color indexed="81"/>
            <rFont val="Tahoma"/>
            <family val="2"/>
            <charset val="204"/>
          </rPr>
          <t>Невская Ирина Евгеньевна:</t>
        </r>
        <r>
          <rPr>
            <sz val="9"/>
            <color indexed="81"/>
            <rFont val="Tahoma"/>
            <family val="2"/>
            <charset val="204"/>
          </rPr>
          <t xml:space="preserve">
+ПФДО</t>
        </r>
      </text>
    </comment>
  </commentList>
</comments>
</file>

<file path=xl/sharedStrings.xml><?xml version="1.0" encoding="utf-8"?>
<sst xmlns="http://schemas.openxmlformats.org/spreadsheetml/2006/main" count="596" uniqueCount="208">
  <si>
    <t>Источники финансирования</t>
  </si>
  <si>
    <t>1.1.</t>
  </si>
  <si>
    <t>Подпрограмма I. Дошкольное образование</t>
  </si>
  <si>
    <t>Всего</t>
  </si>
  <si>
    <t>Бюджет Ханты-Мансийского автономного округа-Югры</t>
  </si>
  <si>
    <t>ИТОГО по подпрограмме I:</t>
  </si>
  <si>
    <t>Подпрограмма II. Развитие современной инфраструктуры</t>
  </si>
  <si>
    <t>ИТОГО по подпрограмме II:</t>
  </si>
  <si>
    <t>Подпрограмма III. Общее и дополнительное образование</t>
  </si>
  <si>
    <t>ИТОГО по подпрограмме III:</t>
  </si>
  <si>
    <t>Подпрограмма IV. Развитие муниципальной методической службы</t>
  </si>
  <si>
    <t>ИТОГО по подпрограмме IV:</t>
  </si>
  <si>
    <t>Подпрограмма V. "Здоровьесбережение и здоровьесозидание"</t>
  </si>
  <si>
    <t>ИТОГО по подпрограмме V:</t>
  </si>
  <si>
    <t>Подпрограмма VI. Молодежная политика</t>
  </si>
  <si>
    <t>ИТОГО по подпрограмме VI:</t>
  </si>
  <si>
    <t>Подпрограмма VII. Каникулярный отдых</t>
  </si>
  <si>
    <t>ИТОГО по подпрограмме VII:</t>
  </si>
  <si>
    <t>ИТОГО по программе:</t>
  </si>
  <si>
    <t>1.2.</t>
  </si>
  <si>
    <t>Федеральный бюджет</t>
  </si>
  <si>
    <t>Внебюджетные средства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</si>
  <si>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</si>
  <si>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</si>
  <si>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</si>
  <si>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</si>
  <si>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</si>
  <si>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</si>
  <si>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</si>
  <si>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</si>
  <si>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</si>
  <si>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</si>
  <si>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</si>
  <si>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</si>
  <si>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 том числе:</t>
  </si>
  <si>
    <t>Исполнение мероприятия</t>
  </si>
  <si>
    <t>Причины отклонения  фактически исполненных расходных обязательств от запланированных</t>
  </si>
  <si>
    <t>Согласовано:</t>
  </si>
  <si>
    <t xml:space="preserve">Комитет по финансам администрации грода Урай </t>
  </si>
  <si>
    <t>Исполнитель Невская Ирина Евгеньевна</t>
  </si>
  <si>
    <t>Исполнение, %</t>
  </si>
  <si>
    <t>План</t>
  </si>
  <si>
    <t>Факт</t>
  </si>
  <si>
    <t>Местный бюджет</t>
  </si>
  <si>
    <t>1.</t>
  </si>
  <si>
    <t>2.1.</t>
  </si>
  <si>
    <t>2.</t>
  </si>
  <si>
    <t>2.2.</t>
  </si>
  <si>
    <t>2.3.</t>
  </si>
  <si>
    <t>2.5.</t>
  </si>
  <si>
    <t>2.6.</t>
  </si>
  <si>
    <t>3.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</si>
  <si>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</si>
  <si>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</si>
  <si>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</si>
  <si>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</si>
  <si>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</si>
  <si>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</si>
  <si>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</si>
  <si>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</si>
  <si>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</si>
  <si>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</si>
  <si>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4.</t>
  </si>
  <si>
    <t>4.1.</t>
  </si>
  <si>
    <t>4.2.</t>
  </si>
  <si>
    <t>4.3.</t>
  </si>
  <si>
    <t>4.4.</t>
  </si>
  <si>
    <t>4.5.</t>
  </si>
  <si>
    <t>4.6.</t>
  </si>
  <si>
    <t>5.</t>
  </si>
  <si>
    <t>5.1.</t>
  </si>
  <si>
    <t>5.2.</t>
  </si>
  <si>
    <t>5.3.</t>
  </si>
  <si>
    <t>5.4.</t>
  </si>
  <si>
    <t>5.5.</t>
  </si>
  <si>
    <t>6.</t>
  </si>
  <si>
    <t>6.1.</t>
  </si>
  <si>
    <t>6.3.</t>
  </si>
  <si>
    <t>7.</t>
  </si>
  <si>
    <t>7.1.</t>
  </si>
  <si>
    <t>7.2.</t>
  </si>
  <si>
    <t>7.3.</t>
  </si>
  <si>
    <t>Организация мероприятий, направленных на развитие воспитанников дошкольных образовательных организаций (ежегодный городской шахматный турнир «Алая ладья», соревнования «Губернаторские состязания», соревнования «Мы – спортивная семья» и др.) (1, 2, 3, 4, 5)</t>
  </si>
  <si>
    <t>Материальная поддержка воспитания и обучения детей, посещающих дошкольные образовательные организации (1, 2, 3, 4, 5)</t>
  </si>
  <si>
    <t>Создание безопасных условий доставки обучающихся на образовательные, культурно-массовые и спортивные мероприятия, к местам отдыха и обратно (обеспечение автобусным транспортом)  (6)</t>
  </si>
  <si>
    <t>Строительство, проведение капитального ремонта и реконструкции объектов образования (6, 7, 8, 9, 10,11)</t>
  </si>
  <si>
    <t>Обеспечение безопасных и комфортных условий обучения, в том числе устранение предписаний надзорных органов (6, 7, 8, 9, 10, 11)</t>
  </si>
  <si>
    <t>Информатизация системы образования  (8)</t>
  </si>
  <si>
    <t>Организация и проведение мероприятий по развитию талантливых  детей и молодежи (участие в муниципальных, региональных, федеральных  учебно-исследовательских и творческих мероприятиях: олимпиады, сессии, форумы, чемпионаты, конкурсы, слеты, профильные смены; награждение  с участием главы города Урай, Губернатора Ханты-Мансийского автономного округа - Югры, награждение именной премией общества с ограниченной ответственностью «ЛУКОЙЛ – Западная Сибирь»  учащихся общеобразовательных организаций за отличную учебу и примерное поведение, достижение значительных результатов в олимпиадах, смотрах и конкурсах и др.) (13, 16, 18)</t>
  </si>
  <si>
    <t>Организация и проведение городского бала выпускников и участие в бале выпускников регионального уровня (16, 18)</t>
  </si>
  <si>
    <t>Реализация мероприятий, направленных на гражданско-патриотическое воспитание  молодежи (16, 17, 18)</t>
  </si>
  <si>
    <t>Мероприятия по профилактике правонарушений правил дорожного движения (проведение  и участие в мероприятиях городского, окружного, федерального уровней), приобретение учебного оборудования по правилам дорожного движения (16, 18)</t>
  </si>
  <si>
    <t>Мероприятия, способствующие развитию детских органов самоуправления (проведение  и участие в мероприятиях городского, окружного, федерального уровней) (16, 18, 19)</t>
  </si>
  <si>
    <t>Расходы на обеспечение проведения государственной итоговой аттестации (15, 18)</t>
  </si>
  <si>
    <t>Создание условий для повышения компетенций педагогов в контексте национальной системы учительского роста (20)</t>
  </si>
  <si>
    <t>Проведение педагогических конференций, совещаний, методических дней, форумов муниципального уровня и участие в мероприятиях окружного и всероссийского уровня и др. (20, 21)</t>
  </si>
  <si>
    <t>Конкурсы в сфере образования. Организация и проведение профессиональных праздников  (20, 21)</t>
  </si>
  <si>
    <t>Организация и участие в мероприятиях различного уровня, направленных на повышение квалификации специалистов  в сфере государственной молодежной политики (семинары, курсы повышения квалификации и др.) (20, 21)</t>
  </si>
  <si>
    <t>Мероприятия, направленные на формирование здорового образа жизни (проведение  и участие в мероприятиях городского, окружного, федерального уровней состязания, спартакиады и др.) (23)</t>
  </si>
  <si>
    <t>Мероприятия, направленные на повышение культуры безопасности, на снижение уровня детского травматизма и смертности несовершеннолетних от управляемых причин (проведение  и участие в мероприятиях городского, окружного, федерального уровней) (23)</t>
  </si>
  <si>
    <t>Обеспечение информирования обучающихся о неблагоприятных погодных условиях  (23)</t>
  </si>
  <si>
    <t>6.2.</t>
  </si>
  <si>
    <t>Организация и проведение мероприятий, направленных на формирование системы ценностей и мировоззрения (в том числе направленные на оказание поддержки добровольчеству/волонтерству), культуры безопасности и здорового образа жизни среди молодежи (конференции, форумы, сборы, походы, соревнования и др.) (24, 25, 26)</t>
  </si>
  <si>
    <t>Организация работы лагерей с дневным пребыванием детей и досуговых площадок (27)</t>
  </si>
  <si>
    <t>Организация выездного отдыха детей (27)</t>
  </si>
  <si>
    <t>Организация сплавов, походов (27)</t>
  </si>
  <si>
    <r>
      <t xml:space="preserve">Расходы на обеспечение деятельности (оказание услуг) муниципальных организаций  </t>
    </r>
    <r>
      <rPr>
        <b/>
        <sz val="9"/>
        <rFont val="Times New Roman"/>
        <family val="1"/>
        <charset val="204"/>
      </rPr>
      <t>дошкольного</t>
    </r>
    <r>
      <rPr>
        <sz val="9"/>
        <rFont val="Times New Roman"/>
        <family val="1"/>
        <charset val="204"/>
      </rPr>
      <t xml:space="preserve"> образования (1, 2, 3,.4, 5)</t>
    </r>
  </si>
  <si>
    <r>
      <t xml:space="preserve">Расходы на обеспечение деятельности (оказание услуг) муниципальных организаций  </t>
    </r>
    <r>
      <rPr>
        <b/>
        <sz val="9"/>
        <rFont val="Times New Roman"/>
        <family val="1"/>
        <charset val="204"/>
      </rPr>
      <t>дополнительного</t>
    </r>
    <r>
      <rPr>
        <sz val="9"/>
        <rFont val="Times New Roman"/>
        <family val="1"/>
        <charset val="204"/>
      </rPr>
      <t xml:space="preserve">  образования (12, 17)</t>
    </r>
  </si>
  <si>
    <t xml:space="preserve">№ </t>
  </si>
  <si>
    <t>Инвестиции в объекты муниципальной собственности</t>
  </si>
  <si>
    <t>Прочие расходы:</t>
  </si>
  <si>
    <t xml:space="preserve">В том числе: </t>
  </si>
  <si>
    <t xml:space="preserve">Соисполнитель 1
Муниципальное казенное учреждение «Управление капитального строительства города Урай»
</t>
  </si>
  <si>
    <t>Муниципальное казенное учреждение «Управление капитального строительства города Урай»</t>
  </si>
  <si>
    <t>Соисполнитель 2
Органы администрации города Урай (управление по культуре и социальным вопросам администрации города Урай, управление по физической культуре, спорту и туризму администрации города Урай, сводно-аналитический отдел администрации города Урай)</t>
  </si>
  <si>
    <t>Остатки прошлых лет</t>
  </si>
  <si>
    <t>2.3.1.</t>
  </si>
  <si>
    <t>2.3.3.</t>
  </si>
  <si>
    <t>Реализация основного мероприятия регионального проекта «Современная школа» (6, 7, 8, 9), в том числе:</t>
  </si>
  <si>
    <t>Приобретение, создание, реконструкция в соответствии с концессионными соглашениями, соглашениями о муниципально-частном партнерстве объектов недвижимого имущества для размещения общеобразовательных организаций («Средняя школа в мкр. 1А (Общеобразовательная организация с универсальной безбарьерной средой))») (6, 7, 8, 9)</t>
  </si>
  <si>
    <t>Проведение ремонтных работ муниципальных образовательных организаций (6, 8)</t>
  </si>
  <si>
    <t>3.11.</t>
  </si>
  <si>
    <t>3.12.</t>
  </si>
  <si>
    <t>Реализация основного мероприятия регионального проекта «Современная школа». Расходы на обеспечение деятельности Центра образования цифрового и гуманитарного профилей "Точка роста" (12, 17)</t>
  </si>
  <si>
    <t>Реализация основного мероприятия регионального проекта «Успех каждого ребенка». Расходы на создание новых мест дополнительного образования детей (12, 17)</t>
  </si>
  <si>
    <t>1.4.</t>
  </si>
  <si>
    <t>1.3.</t>
  </si>
  <si>
    <t>3.7.1.</t>
  </si>
  <si>
    <r>
      <t>Расходы на обеспечение деятельности (оказание услуг) муниципальных о</t>
    </r>
    <r>
      <rPr>
        <b/>
        <sz val="9"/>
        <rFont val="Times New Roman"/>
        <family val="1"/>
        <charset val="204"/>
      </rPr>
      <t>бщеобразовательных</t>
    </r>
    <r>
      <rPr>
        <sz val="9"/>
        <rFont val="Times New Roman"/>
        <family val="1"/>
        <charset val="204"/>
      </rPr>
      <t xml:space="preserve"> организаций (13, 18), в том числе:</t>
    </r>
  </si>
  <si>
    <t>Расходы на обеспечение выплаты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  (13, 18)</t>
  </si>
  <si>
    <t>5.5.1.</t>
  </si>
  <si>
    <t>Организация питания обучающихся в муниципальных общеобразовательных организациях (23), в том числе: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</si>
  <si>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(23)</t>
  </si>
  <si>
    <t>Основные мероприятия муниципальной программы (их взаимосвязь с целевыми показателями муниципальной программы)</t>
  </si>
  <si>
    <t>Ответственный исполнитель / соисполнитель</t>
  </si>
  <si>
    <t>Финансовые затараты на реализацию (тыс.рублей)</t>
  </si>
  <si>
    <t>Расходы на обеспечение деятельности (оказание услуг) муниципального автономного учреждения города Урай «Ресурсный центр сиситемы образования» (20, 21, 22)</t>
  </si>
  <si>
    <t>1.1.1.</t>
  </si>
  <si>
    <t>Поддержка инновационной деятельности дошкольных образовательных организаций (проведение грантовых конкурсов и  др.), в том числе с применением механизма инициативного бюджетирования (1, 2, 3, 4, 5)</t>
  </si>
  <si>
    <t>Реализация инициативного проекта с применением механизма инициативного бюджетирования (1, 2, 3, 5)</t>
  </si>
  <si>
    <t>Организация и проведение городских мероприятий, направленных на поддержку инициативы, развитие творческого, предпринимательского потенциала, повышение навыков и компетенций среди молодежи и общественных молодежных организаций (фестивали, форумы, конференции, конкурсы, встречи и др.). Награждение молодежи (выплата премий, стипендий, вознаграждений). В том числе с применением механизма инициативного бюджетирования (24)</t>
  </si>
  <si>
    <t>Реализация инициативных проектов с применением механизма инициативного бюджетирования (24)</t>
  </si>
  <si>
    <t>6.1.1.</t>
  </si>
  <si>
    <t xml:space="preserve">Ответственный исполнитель
Управление образования администрации города Урай
</t>
  </si>
  <si>
    <t>Расходы на обеспечение деятельности Управления образования администрации города Урай  (20, 21)</t>
  </si>
  <si>
    <t>Управление образования администрации города Урай</t>
  </si>
  <si>
    <t>Управление образования администрации города Урай; органы администрации города Урай: сводно-аналитический отдел администрации города Урай</t>
  </si>
  <si>
    <t>Управление образования администрации города Урай; муниципальное казенное учреждение «Управление капитального строительства города Урай»</t>
  </si>
  <si>
    <t>Управление образования администрации города Урай; органы администрации города Урай: управление по культуре и социальным вопросам администрации города Урай, управление по физической культуре, спорту и туризму администрации города Урай</t>
  </si>
  <si>
    <t>6.4.</t>
  </si>
  <si>
    <t>Организация деятельности молодежных трудовых отрядов  (30)</t>
  </si>
  <si>
    <t>Управление внутренней политики администрации города Урай</t>
  </si>
  <si>
    <t>Управление образования администрации города Урай, управление внутренней политики администрации города Урай</t>
  </si>
  <si>
    <t>Управление образования администрации города Урай, управление по развитию местного самоуправления администрации города Урай, управление внутренней политики администрации города Урай</t>
  </si>
  <si>
    <t>Управление образования администрации города Урай, управление по развитию местного самоуправления администрации города Урай</t>
  </si>
  <si>
    <t>3.13.</t>
  </si>
  <si>
    <t xml:space="preserve">Реализация основного мероприятия регионального проекта «Патриотическое воспитание граждан Российской Федерации». Расходы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</si>
  <si>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6.5.</t>
  </si>
  <si>
    <t>Расходы на обеспечение деятельности муниципального автономного учреждения молодежной политики города Урай "Центр молодежных и гражданских инициатив"</t>
  </si>
  <si>
    <t xml:space="preserve">Соисполнитель 3
Муниципальное казенное учреждение «Центр бухгалтерского учета города Урай»
</t>
  </si>
  <si>
    <t>Управление образования администрации города Урай; органы администрации города Урай: сводно-аналитический отдел администрации города Урай; муниципальное казенное учреждение «Управление капитального строительства города Урай»</t>
  </si>
  <si>
    <t>Управление образования администрации города Урай, муниципальное казенное учреждение «Центр бухгалтерского учета города Урай»</t>
  </si>
  <si>
    <t>Организация участия детей и молодежи в возрасте от 14 до 35 лет во всероссийских, окружных молодежных мероприятиях (24)</t>
  </si>
  <si>
    <t>Обеспечение деятельности медицинского блока образовательных организаций   (23)</t>
  </si>
  <si>
    <t>Поддержка инновационной деятельности  образовательных организаций (проведение грантовых конкурсов, поддержка ресурсных центров, профильных классов и др.) (14, 18)</t>
  </si>
  <si>
    <t>Обеспечение персонифицированного финансирования дополнительного образования детей (12, 17, 17.1)</t>
  </si>
  <si>
    <t>тел.2-31-86 (819)</t>
  </si>
  <si>
    <t>И.В. Подмаренко</t>
  </si>
  <si>
    <t>Заместитель начальника отдела финансового планирования Управления образования администрации города Урай</t>
  </si>
  <si>
    <t>Финансирование по фактически начисленной компенсации части родительской платы. Отклонение по причине болезни детей</t>
  </si>
  <si>
    <t>Выплата компенсации части родительской платы за 1 квартал 2024 года</t>
  </si>
  <si>
    <t xml:space="preserve">Экономия по фактическим расходам на участие в региональном этапе Всероссийской олимпиады школьников </t>
  </si>
  <si>
    <t>Выплата ежемесячного денежного вознаграждения за классное руководство педагогическим работникам за 1 квартал 2024 года</t>
  </si>
  <si>
    <t>Обеспечение деятельности МБУ ДО "ЦДО" в части содержания зданий и сооружений и прочих общехозяйственных расходов за 1 квартал 2024 года</t>
  </si>
  <si>
    <t>Обеспечение персонифицированного финансирования дополнительного образования детей</t>
  </si>
  <si>
    <t xml:space="preserve">Обеспечение защиты каналов связи. </t>
  </si>
  <si>
    <t>Расходы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</si>
  <si>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Участие в региональном этапе Всероссийского конкурса проф.мастерства в сфере образования ХМАО - Югры «Педагог года Югры-2024». </t>
  </si>
  <si>
    <t>Исполнение по фактически сложившимся расходам на оплату труда специалиста</t>
  </si>
  <si>
    <t>Исполнение по фактически начисленной  заработной плате работникам (с учетом больничных листов), по оплате льготного проезда, путевок и проезда санаторно-курортного лечения</t>
  </si>
  <si>
    <t>Осуществление деятельности по выплате компенсации части родительской платы (администрирование) за 1 квартал 2024 года</t>
  </si>
  <si>
    <t>Расходы по содержанию аппарата Управления образования и молодежной политики за 1 квартал 2024 года</t>
  </si>
  <si>
    <t>Проведение спартакиады "Старты надежд"</t>
  </si>
  <si>
    <t>Обеспечение обучающихся шести общеобразовательных организаций завтраками и обедами (в том числе льготная категория)</t>
  </si>
  <si>
    <t xml:space="preserve">Неисполнение за счет дней, пропущенных учащимися по причине болезни </t>
  </si>
  <si>
    <t xml:space="preserve">Обеспечение обучающихся, получающих начальное общее образование, шести общеобразовательных организаций завтраками </t>
  </si>
  <si>
    <t>Проведение проектной школы "Гранты с УМом"</t>
  </si>
  <si>
    <t>Проведение образовательно- развлекательной интеллектуальной игры "ГигаМозг"</t>
  </si>
  <si>
    <t>Организация работы лагеря дневного пребывания детей в период весенних каникул</t>
  </si>
  <si>
    <t>Исполнение по фактическим расходам на организацию работы лагеря</t>
  </si>
  <si>
    <t>Расходы по содержанию МАУ МП "ЦМИГИ" за 1 квартал 2024 года. Проведение мероприятий среди молодежи города. Организация работы лагеря дневного пребывания детей в период весенних каникул. Обеспечение персонифицированного финансирования дополнительного образования детей</t>
  </si>
  <si>
    <t xml:space="preserve">Расходы по содержанию МАУ МП "ЦМИГИ" за 1 квартал 2024 года </t>
  </si>
  <si>
    <t>Неисполнение плановых показателей по расходам на выплату ежемесячного денежного вознаграждения за классное руководство педагогическим работникам.в связи с больничными листами</t>
  </si>
  <si>
    <t>Обеспечение деятельности 6-ти общеобразовательных учреждений в части реализации стандарта общего образования за 1 квартал 2024 года</t>
  </si>
  <si>
    <t>Обеспечение деятельности пяти дошкольных образовательных учреждений в части выполнения стандарта дошкольного образования  за 1 квартал 2024 года</t>
  </si>
  <si>
    <t>Обеспечение деятельности пяти дошкольных образовательных учреждений в части содержания здания и прочих общехозяйственных расходов за 1 квартал 2024 года</t>
  </si>
  <si>
    <t>Оплата услуг по переносу речевого оповещателя в МБОУ СОШ №12</t>
  </si>
  <si>
    <t>Участие в региональном этапе Всероссийской олимпиады школьников. Участие обучающихся в региональном этапе
чемпионата по профессиональному
мастерству «Профессионалы», в финале конкурса научно-технологических проектов «Большие вызовы», в Международном форуме научной молодежи «Шаг в будущее»</t>
  </si>
  <si>
    <t>Организация парашютных прыжков в целях реализации программы дополнительного образования для кадетских классов</t>
  </si>
  <si>
    <t xml:space="preserve">Финансирование согласно фактически списанных средств с сертифиткатов в рамках заключенных договоров на предоставление дополнительного образования.   </t>
  </si>
  <si>
    <t>Неисполнение плановых показателей по расходам на оплату труда работников в связи с уходом в отпуск бкз сохранения заработной платы советника директора МБОУ СОШ № 2</t>
  </si>
  <si>
    <t>Отклонение по срокам оплаты договоров на оказания услуг по передаче сертификатов активации в связи с необходимостью осуществления закупки путем проведения конкурентныго способа определения поставщика</t>
  </si>
  <si>
    <t>Отчет о ходе исполнения комплексного плана (сетевого графика) реализации муниципальной программы "Развитие образования и молодежной политики в городе Урай " на 2019-2030 годы за 1 квартал 2024 года</t>
  </si>
  <si>
    <t>И.Ю. Грунина</t>
  </si>
  <si>
    <t>Л.В. Зорина</t>
  </si>
  <si>
    <t>Исполняющий обязанности наччальника Управления образования администрации города Урай</t>
  </si>
  <si>
    <t xml:space="preserve">Отклонение в связи заключением договоров на услуги по ремонту лифта в МБУ ДО "ЦДО" и на поставку холодильника и фонтанчиков в МБОУ СОШ №5 со сроком оплаты во 2 кв 2024 года </t>
  </si>
  <si>
    <t>Отклонение в связи с перенесм регионального этапа конкурса "Ученик года" на 4 кв.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</si>
</sst>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_-* #,##0.000_р_._-;\-* #,##0.000_р_._-;_-* &quot;-&quot;??_р_._-;_-@_-"/>
    <numFmt numFmtId="167" formatCode="_(* #,##0.00_);_(* \(#,##0.00\);_(* &quot;-&quot;??_);_(@_)"/>
    <numFmt numFmtId="168" formatCode="0.0%"/>
    <numFmt numFmtId="169" formatCode="_-* #,##0.00000_р_._-;\-* #,##0.00000_р_._-;_-* &quot;-&quot;??_р_._-;_-@_-"/>
    <numFmt numFmtId="170" formatCode="_-* #,##0.0000_р_._-;\-* #,##0.0000_р_._-;_-* &quot;-&quot;??_р_._-;_-@_-"/>
  </numFmts>
  <fonts count="18" x14ac:knownFonts="1">
    <font>
      <sz val="11"/>
      <color theme="1"/>
      <name val="Calibri"/>
      <charset val="204"/>
      <scheme val="minor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54">
    <xf numFmtId="0" fontId="0" fillId="0" borderId="0" xfId="0"/>
    <xf numFmtId="164" fontId="3" fillId="2" borderId="1" xfId="1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1" fillId="2" borderId="0" xfId="0" applyFont="1" applyFill="1"/>
    <xf numFmtId="165" fontId="12" fillId="2" borderId="0" xfId="0" applyNumberFormat="1" applyFont="1" applyFill="1" applyBorder="1" applyAlignment="1">
      <alignment horizontal="center"/>
    </xf>
    <xf numFmtId="164" fontId="12" fillId="2" borderId="0" xfId="0" applyNumberFormat="1" applyFont="1" applyFill="1" applyBorder="1" applyAlignment="1">
      <alignment horizontal="center"/>
    </xf>
    <xf numFmtId="165" fontId="11" fillId="2" borderId="0" xfId="0" applyNumberFormat="1" applyFont="1" applyFill="1" applyBorder="1" applyAlignment="1">
      <alignment horizontal="center"/>
    </xf>
    <xf numFmtId="165" fontId="10" fillId="2" borderId="0" xfId="0" applyNumberFormat="1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164" fontId="11" fillId="2" borderId="8" xfId="0" applyNumberFormat="1" applyFont="1" applyFill="1" applyBorder="1" applyAlignment="1">
      <alignment horizontal="center"/>
    </xf>
    <xf numFmtId="170" fontId="11" fillId="2" borderId="8" xfId="0" applyNumberFormat="1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165" fontId="13" fillId="2" borderId="8" xfId="0" applyNumberFormat="1" applyFont="1" applyFill="1" applyBorder="1" applyAlignment="1">
      <alignment horizontal="center"/>
    </xf>
    <xf numFmtId="164" fontId="10" fillId="2" borderId="8" xfId="0" applyNumberFormat="1" applyFont="1" applyFill="1" applyBorder="1" applyAlignment="1">
      <alignment horizontal="center"/>
    </xf>
    <xf numFmtId="164" fontId="12" fillId="2" borderId="8" xfId="0" applyNumberFormat="1" applyFont="1" applyFill="1" applyBorder="1" applyAlignment="1">
      <alignment horizontal="center"/>
    </xf>
    <xf numFmtId="165" fontId="10" fillId="2" borderId="8" xfId="0" applyNumberFormat="1" applyFont="1" applyFill="1" applyBorder="1" applyAlignment="1">
      <alignment horizontal="center"/>
    </xf>
    <xf numFmtId="165" fontId="11" fillId="2" borderId="8" xfId="0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vertical="top"/>
    </xf>
    <xf numFmtId="0" fontId="14" fillId="2" borderId="1" xfId="0" applyFont="1" applyFill="1" applyBorder="1" applyAlignment="1">
      <alignment vertical="top" wrapText="1"/>
    </xf>
    <xf numFmtId="0" fontId="1" fillId="2" borderId="1" xfId="0" applyFont="1" applyFill="1" applyBorder="1"/>
    <xf numFmtId="0" fontId="2" fillId="2" borderId="1" xfId="0" applyFont="1" applyFill="1" applyBorder="1" applyAlignment="1">
      <alignment horizontal="justify" vertical="top" wrapText="1"/>
    </xf>
    <xf numFmtId="168" fontId="3" fillId="2" borderId="1" xfId="3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/>
    </xf>
    <xf numFmtId="0" fontId="11" fillId="2" borderId="1" xfId="0" applyFont="1" applyFill="1" applyBorder="1" applyAlignment="1">
      <alignment horizontal="justify" vertical="top" wrapText="1"/>
    </xf>
    <xf numFmtId="164" fontId="10" fillId="2" borderId="1" xfId="1" applyNumberFormat="1" applyFont="1" applyFill="1" applyBorder="1" applyAlignment="1">
      <alignment horizontal="center" vertical="top" wrapText="1"/>
    </xf>
    <xf numFmtId="168" fontId="10" fillId="2" borderId="1" xfId="3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165" fontId="1" fillId="2" borderId="1" xfId="0" applyNumberFormat="1" applyFont="1" applyFill="1" applyBorder="1"/>
    <xf numFmtId="0" fontId="2" fillId="2" borderId="1" xfId="0" applyFont="1" applyFill="1" applyBorder="1" applyAlignment="1">
      <alignment wrapText="1"/>
    </xf>
    <xf numFmtId="43" fontId="3" fillId="2" borderId="1" xfId="1" applyFont="1" applyFill="1" applyBorder="1" applyAlignment="1">
      <alignment horizontal="center" vertical="top" wrapText="1"/>
    </xf>
    <xf numFmtId="170" fontId="3" fillId="2" borderId="1" xfId="1" applyNumberFormat="1" applyFont="1" applyFill="1" applyBorder="1" applyAlignment="1">
      <alignment horizontal="center" vertical="top" wrapText="1"/>
    </xf>
    <xf numFmtId="169" fontId="3" fillId="2" borderId="1" xfId="1" applyNumberFormat="1" applyFont="1" applyFill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horizontal="center" vertical="top"/>
    </xf>
    <xf numFmtId="14" fontId="2" fillId="2" borderId="1" xfId="0" applyNumberFormat="1" applyFont="1" applyFill="1" applyBorder="1" applyAlignment="1">
      <alignment horizontal="justify" vertical="top" wrapText="1"/>
    </xf>
    <xf numFmtId="164" fontId="10" fillId="2" borderId="1" xfId="1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/>
    </xf>
    <xf numFmtId="164" fontId="10" fillId="2" borderId="1" xfId="1" applyNumberFormat="1" applyFont="1" applyFill="1" applyBorder="1" applyAlignment="1">
      <alignment horizontal="justify" vertical="top" wrapText="1"/>
    </xf>
    <xf numFmtId="164" fontId="3" fillId="2" borderId="1" xfId="1" applyNumberFormat="1" applyFont="1" applyFill="1" applyBorder="1" applyAlignment="1">
      <alignment horizontal="justify" vertical="top" wrapText="1"/>
    </xf>
    <xf numFmtId="164" fontId="10" fillId="2" borderId="1" xfId="1" applyNumberFormat="1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10" fillId="2" borderId="1" xfId="0" applyFont="1" applyFill="1" applyBorder="1" applyAlignment="1">
      <alignment vertical="top"/>
    </xf>
    <xf numFmtId="0" fontId="10" fillId="2" borderId="1" xfId="0" applyFont="1" applyFill="1" applyBorder="1" applyAlignment="1">
      <alignment vertical="top" wrapText="1"/>
    </xf>
    <xf numFmtId="164" fontId="11" fillId="2" borderId="1" xfId="1" applyNumberFormat="1" applyFont="1" applyFill="1" applyBorder="1" applyAlignment="1">
      <alignment horizontal="center" vertical="top" wrapText="1"/>
    </xf>
    <xf numFmtId="164" fontId="2" fillId="2" borderId="1" xfId="1" applyNumberFormat="1" applyFont="1" applyFill="1" applyBorder="1" applyAlignment="1">
      <alignment horizontal="center" vertical="top" wrapText="1"/>
    </xf>
    <xf numFmtId="166" fontId="7" fillId="2" borderId="0" xfId="1" applyNumberFormat="1" applyFont="1" applyFill="1" applyBorder="1" applyAlignment="1">
      <alignment vertical="center" wrapText="1"/>
    </xf>
    <xf numFmtId="166" fontId="6" fillId="2" borderId="0" xfId="1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justify"/>
    </xf>
    <xf numFmtId="165" fontId="15" fillId="2" borderId="0" xfId="0" applyNumberFormat="1" applyFont="1" applyFill="1"/>
    <xf numFmtId="43" fontId="1" fillId="2" borderId="0" xfId="0" applyNumberFormat="1" applyFont="1" applyFill="1" applyBorder="1"/>
    <xf numFmtId="43" fontId="1" fillId="2" borderId="0" xfId="1" applyFont="1" applyFill="1" applyBorder="1"/>
    <xf numFmtId="0" fontId="1" fillId="2" borderId="0" xfId="0" applyFont="1" applyFill="1" applyBorder="1"/>
    <xf numFmtId="166" fontId="6" fillId="2" borderId="0" xfId="1" applyNumberFormat="1" applyFont="1" applyFill="1" applyBorder="1" applyAlignment="1">
      <alignment vertical="center" wrapText="1"/>
    </xf>
    <xf numFmtId="166" fontId="6" fillId="2" borderId="0" xfId="1" applyNumberFormat="1" applyFont="1" applyFill="1" applyAlignment="1">
      <alignment vertical="center"/>
    </xf>
    <xf numFmtId="166" fontId="6" fillId="2" borderId="8" xfId="1" applyNumberFormat="1" applyFont="1" applyFill="1" applyBorder="1" applyAlignment="1">
      <alignment horizontal="left" vertical="center"/>
    </xf>
    <xf numFmtId="0" fontId="6" fillId="2" borderId="8" xfId="0" applyFont="1" applyFill="1" applyBorder="1" applyAlignment="1">
      <alignment vertical="center"/>
    </xf>
    <xf numFmtId="166" fontId="5" fillId="2" borderId="8" xfId="1" applyNumberFormat="1" applyFont="1" applyFill="1" applyBorder="1" applyAlignment="1">
      <alignment horizontal="left" vertical="center" wrapText="1"/>
    </xf>
    <xf numFmtId="166" fontId="5" fillId="2" borderId="0" xfId="1" applyNumberFormat="1" applyFont="1" applyFill="1" applyBorder="1" applyAlignment="1">
      <alignment horizontal="left" vertical="center" wrapText="1"/>
    </xf>
    <xf numFmtId="166" fontId="6" fillId="2" borderId="0" xfId="1" applyNumberFormat="1" applyFont="1" applyFill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166" fontId="6" fillId="2" borderId="0" xfId="1" applyNumberFormat="1" applyFont="1" applyFill="1" applyBorder="1" applyAlignment="1">
      <alignment vertical="center"/>
    </xf>
    <xf numFmtId="166" fontId="7" fillId="2" borderId="0" xfId="1" applyNumberFormat="1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166" fontId="6" fillId="2" borderId="0" xfId="1" applyNumberFormat="1" applyFont="1" applyFill="1" applyAlignment="1">
      <alignment wrapText="1"/>
    </xf>
    <xf numFmtId="166" fontId="6" fillId="2" borderId="0" xfId="1" applyNumberFormat="1" applyFont="1" applyFill="1" applyAlignment="1"/>
    <xf numFmtId="166" fontId="6" fillId="2" borderId="8" xfId="1" applyNumberFormat="1" applyFont="1" applyFill="1" applyBorder="1" applyAlignment="1">
      <alignment horizontal="left"/>
    </xf>
    <xf numFmtId="0" fontId="6" fillId="2" borderId="8" xfId="0" applyFont="1" applyFill="1" applyBorder="1" applyAlignment="1"/>
    <xf numFmtId="166" fontId="6" fillId="2" borderId="8" xfId="0" applyNumberFormat="1" applyFont="1" applyFill="1" applyBorder="1" applyAlignment="1">
      <alignment horizontal="left"/>
    </xf>
    <xf numFmtId="166" fontId="6" fillId="2" borderId="0" xfId="0" applyNumberFormat="1" applyFont="1" applyFill="1" applyBorder="1" applyAlignment="1">
      <alignment horizontal="left"/>
    </xf>
    <xf numFmtId="166" fontId="6" fillId="2" borderId="0" xfId="1" applyNumberFormat="1" applyFont="1" applyFill="1" applyAlignment="1">
      <alignment horizontal="left"/>
    </xf>
    <xf numFmtId="166" fontId="6" fillId="2" borderId="0" xfId="1" applyNumberFormat="1" applyFont="1" applyFill="1" applyBorder="1" applyAlignment="1">
      <alignment horizontal="left"/>
    </xf>
    <xf numFmtId="0" fontId="6" fillId="2" borderId="0" xfId="0" applyFont="1" applyFill="1" applyBorder="1" applyAlignment="1"/>
    <xf numFmtId="166" fontId="6" fillId="2" borderId="0" xfId="1" applyNumberFormat="1" applyFont="1" applyFill="1" applyBorder="1" applyAlignment="1"/>
    <xf numFmtId="166" fontId="6" fillId="2" borderId="0" xfId="1" applyNumberFormat="1" applyFont="1" applyFill="1" applyAlignment="1">
      <alignment horizontal="right"/>
    </xf>
    <xf numFmtId="166" fontId="6" fillId="2" borderId="0" xfId="0" applyNumberFormat="1" applyFont="1" applyFill="1" applyBorder="1" applyAlignment="1">
      <alignment vertical="center"/>
    </xf>
    <xf numFmtId="166" fontId="7" fillId="2" borderId="0" xfId="1" applyNumberFormat="1" applyFont="1" applyFill="1" applyBorder="1" applyAlignment="1">
      <alignment vertical="center"/>
    </xf>
    <xf numFmtId="0" fontId="6" fillId="2" borderId="0" xfId="0" applyFont="1" applyFill="1" applyBorder="1"/>
    <xf numFmtId="0" fontId="6" fillId="2" borderId="0" xfId="0" applyFont="1" applyFill="1"/>
    <xf numFmtId="0" fontId="6" fillId="2" borderId="0" xfId="0" applyFont="1" applyFill="1" applyAlignment="1">
      <alignment horizontal="right"/>
    </xf>
    <xf numFmtId="166" fontId="2" fillId="2" borderId="0" xfId="1" applyNumberFormat="1" applyFont="1" applyFill="1" applyBorder="1" applyAlignment="1">
      <alignment horizontal="left" vertical="center"/>
    </xf>
    <xf numFmtId="166" fontId="2" fillId="2" borderId="0" xfId="1" applyNumberFormat="1" applyFont="1" applyFill="1" applyAlignment="1">
      <alignment horizontal="left"/>
    </xf>
    <xf numFmtId="166" fontId="2" fillId="2" borderId="0" xfId="1" applyNumberFormat="1" applyFont="1" applyFill="1" applyAlignment="1">
      <alignment horizontal="right" vertical="center"/>
    </xf>
    <xf numFmtId="164" fontId="2" fillId="2" borderId="0" xfId="1" applyNumberFormat="1" applyFont="1" applyFill="1" applyAlignment="1">
      <alignment horizontal="right" vertical="center"/>
    </xf>
    <xf numFmtId="166" fontId="5" fillId="2" borderId="0" xfId="1" applyNumberFormat="1" applyFont="1" applyFill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164" fontId="3" fillId="2" borderId="0" xfId="1" applyNumberFormat="1" applyFont="1" applyFill="1" applyAlignment="1">
      <alignment vertical="center"/>
    </xf>
    <xf numFmtId="164" fontId="2" fillId="2" borderId="0" xfId="1" applyNumberFormat="1" applyFont="1" applyFill="1" applyAlignment="1">
      <alignment vertical="center"/>
    </xf>
    <xf numFmtId="166" fontId="6" fillId="2" borderId="0" xfId="1" applyNumberFormat="1" applyFont="1" applyFill="1" applyAlignment="1">
      <alignment vertical="center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166" fontId="2" fillId="2" borderId="0" xfId="1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16" fontId="2" fillId="2" borderId="1" xfId="0" applyNumberFormat="1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left" vertical="top" wrapText="1"/>
    </xf>
    <xf numFmtId="0" fontId="11" fillId="2" borderId="10" xfId="0" applyFont="1" applyFill="1" applyBorder="1" applyAlignment="1">
      <alignment horizontal="left" vertical="top" wrapText="1"/>
    </xf>
    <xf numFmtId="0" fontId="11" fillId="2" borderId="11" xfId="0" applyFont="1" applyFill="1" applyBorder="1" applyAlignment="1">
      <alignment horizontal="left" vertical="top" wrapText="1"/>
    </xf>
    <xf numFmtId="0" fontId="11" fillId="2" borderId="12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11" fillId="2" borderId="13" xfId="0" applyFont="1" applyFill="1" applyBorder="1" applyAlignment="1">
      <alignment horizontal="left" vertical="top" wrapText="1"/>
    </xf>
    <xf numFmtId="0" fontId="11" fillId="2" borderId="14" xfId="0" applyFont="1" applyFill="1" applyBorder="1" applyAlignment="1">
      <alignment horizontal="left" vertical="top" wrapText="1"/>
    </xf>
    <xf numFmtId="0" fontId="11" fillId="2" borderId="8" xfId="0" applyFont="1" applyFill="1" applyBorder="1" applyAlignment="1">
      <alignment horizontal="left" vertical="top" wrapText="1"/>
    </xf>
    <xf numFmtId="0" fontId="11" fillId="2" borderId="15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166" fontId="2" fillId="2" borderId="0" xfId="1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9" xfId="0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top" wrapText="1"/>
    </xf>
    <xf numFmtId="0" fontId="10" fillId="2" borderId="12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13" xfId="0" applyFont="1" applyFill="1" applyBorder="1" applyAlignment="1">
      <alignment horizontal="left" vertical="top" wrapText="1"/>
    </xf>
    <xf numFmtId="0" fontId="10" fillId="2" borderId="14" xfId="0" applyFont="1" applyFill="1" applyBorder="1" applyAlignment="1">
      <alignment horizontal="left" vertical="top" wrapText="1"/>
    </xf>
    <xf numFmtId="0" fontId="10" fillId="2" borderId="8" xfId="0" applyFont="1" applyFill="1" applyBorder="1" applyAlignment="1">
      <alignment horizontal="left" vertical="top" wrapText="1"/>
    </xf>
    <xf numFmtId="0" fontId="10" fillId="2" borderId="15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left" vertical="top" wrapText="1"/>
    </xf>
    <xf numFmtId="0" fontId="10" fillId="2" borderId="7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 shrinkToFit="1"/>
    </xf>
    <xf numFmtId="0" fontId="2" fillId="2" borderId="3" xfId="0" applyFont="1" applyFill="1" applyBorder="1" applyAlignment="1">
      <alignment horizontal="left" vertical="top" wrapText="1" shrinkToFit="1"/>
    </xf>
    <xf numFmtId="0" fontId="2" fillId="2" borderId="4" xfId="0" applyFont="1" applyFill="1" applyBorder="1" applyAlignment="1">
      <alignment horizontal="left" vertical="top" wrapText="1" shrinkToFit="1"/>
    </xf>
    <xf numFmtId="14" fontId="3" fillId="2" borderId="1" xfId="0" applyNumberFormat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</cellXfs>
  <cellStyles count="4">
    <cellStyle name="Обычный" xfId="0" builtinId="0"/>
    <cellStyle name="Процентный" xfId="3" builtinId="5"/>
    <cellStyle name="Финансовый" xfId="1" builtinId="3"/>
    <cellStyle name="Финансов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BK337"/>
  <sheetViews>
    <sheetView tabSelected="1" zoomScale="120" zoomScaleNormal="120" zoomScaleSheetLayoutView="80"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AS115" sqref="AS115"/>
    </sheetView>
  </sheetViews>
  <sheetFormatPr defaultColWidth="9.140625" defaultRowHeight="15" x14ac:dyDescent="0.25"/>
  <cols>
    <col min="1" max="1" width="4.5703125" style="5" customWidth="1"/>
    <col min="2" max="2" width="42.7109375" style="5" customWidth="1"/>
    <col min="3" max="3" width="25.140625" style="5" hidden="1" customWidth="1"/>
    <col min="4" max="4" width="23.28515625" style="5" customWidth="1"/>
    <col min="5" max="5" width="9.85546875" style="5" customWidth="1"/>
    <col min="6" max="6" width="8.7109375" style="5" customWidth="1"/>
    <col min="7" max="7" width="7" style="5" customWidth="1"/>
    <col min="8" max="8" width="7.85546875" style="5" customWidth="1"/>
    <col min="9" max="9" width="8" style="5" customWidth="1"/>
    <col min="10" max="10" width="7.140625" style="5" customWidth="1"/>
    <col min="11" max="12" width="8.85546875" style="5" customWidth="1"/>
    <col min="13" max="13" width="6.85546875" style="5" customWidth="1"/>
    <col min="14" max="14" width="8.7109375" style="5" customWidth="1"/>
    <col min="15" max="15" width="9.42578125" style="5" customWidth="1"/>
    <col min="16" max="16" width="6.85546875" style="5" customWidth="1"/>
    <col min="17" max="17" width="9" style="5" customWidth="1"/>
    <col min="18" max="18" width="8.7109375" style="5" hidden="1" customWidth="1"/>
    <col min="19" max="19" width="6.7109375" style="5" hidden="1" customWidth="1"/>
    <col min="20" max="20" width="8.85546875" style="5" customWidth="1"/>
    <col min="21" max="21" width="8.85546875" style="5" hidden="1" customWidth="1"/>
    <col min="22" max="22" width="7.140625" style="5" hidden="1" customWidth="1"/>
    <col min="23" max="23" width="8.85546875" style="5" customWidth="1"/>
    <col min="24" max="24" width="9.140625" style="5" hidden="1" customWidth="1"/>
    <col min="25" max="25" width="7" style="5" hidden="1" customWidth="1"/>
    <col min="26" max="26" width="8.5703125" style="5" customWidth="1"/>
    <col min="27" max="27" width="8.85546875" style="5" hidden="1" customWidth="1"/>
    <col min="28" max="28" width="8" style="5" hidden="1" customWidth="1"/>
    <col min="29" max="29" width="8.7109375" style="5" customWidth="1"/>
    <col min="30" max="30" width="8.140625" style="5" hidden="1" customWidth="1"/>
    <col min="31" max="31" width="7" style="5" hidden="1" customWidth="1"/>
    <col min="32" max="32" width="9.140625" style="5" customWidth="1"/>
    <col min="33" max="33" width="8.7109375" style="5" hidden="1" customWidth="1"/>
    <col min="34" max="34" width="7.42578125" style="5" hidden="1" customWidth="1"/>
    <col min="35" max="35" width="9.5703125" style="5" bestFit="1" customWidth="1"/>
    <col min="36" max="36" width="8.85546875" style="5" hidden="1" customWidth="1"/>
    <col min="37" max="37" width="6.7109375" style="5" hidden="1" customWidth="1"/>
    <col min="38" max="38" width="9.42578125" style="5" customWidth="1"/>
    <col min="39" max="39" width="8.28515625" style="5" hidden="1" customWidth="1"/>
    <col min="40" max="40" width="6.7109375" style="5" hidden="1" customWidth="1"/>
    <col min="41" max="41" width="8.85546875" style="5" customWidth="1"/>
    <col min="42" max="42" width="6.28515625" style="5" hidden="1" customWidth="1"/>
    <col min="43" max="43" width="6.7109375" style="5" hidden="1" customWidth="1"/>
    <col min="44" max="44" width="27" style="5" customWidth="1"/>
    <col min="45" max="45" width="25.7109375" style="5" customWidth="1"/>
    <col min="46" max="16384" width="9.140625" style="5"/>
  </cols>
  <sheetData>
    <row r="1" spans="1:45" x14ac:dyDescent="0.25">
      <c r="A1" s="105" t="s">
        <v>202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</row>
    <row r="2" spans="1:45" x14ac:dyDescent="0.25">
      <c r="A2" s="97"/>
      <c r="B2" s="97"/>
      <c r="C2" s="6"/>
      <c r="D2" s="7"/>
      <c r="E2" s="6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8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"/>
      <c r="AK2" s="97"/>
      <c r="AL2" s="97"/>
      <c r="AM2" s="97"/>
      <c r="AN2" s="97"/>
      <c r="AO2" s="97"/>
      <c r="AP2" s="97"/>
      <c r="AQ2" s="97"/>
      <c r="AR2" s="97"/>
      <c r="AS2" s="97"/>
    </row>
    <row r="3" spans="1:45" x14ac:dyDescent="0.25">
      <c r="A3" s="105" t="s">
        <v>145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</row>
    <row r="4" spans="1:45" x14ac:dyDescent="0.25">
      <c r="A4" s="10"/>
      <c r="B4" s="10"/>
      <c r="C4" s="10"/>
      <c r="D4" s="10"/>
      <c r="E4" s="11"/>
      <c r="F4" s="12"/>
      <c r="G4" s="11"/>
      <c r="H4" s="13"/>
      <c r="I4" s="14"/>
      <c r="J4" s="13"/>
      <c r="K4" s="15"/>
      <c r="L4" s="15"/>
      <c r="M4" s="16"/>
      <c r="N4" s="10"/>
      <c r="O4" s="10"/>
      <c r="P4" s="10"/>
      <c r="Q4" s="11"/>
      <c r="R4" s="11"/>
      <c r="S4" s="17"/>
      <c r="T4" s="10"/>
      <c r="U4" s="10"/>
      <c r="V4" s="10"/>
      <c r="W4" s="18"/>
      <c r="X4" s="10"/>
      <c r="Y4" s="10"/>
      <c r="Z4" s="10"/>
      <c r="AA4" s="17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9"/>
      <c r="AP4" s="20"/>
      <c r="AQ4" s="20"/>
    </row>
    <row r="5" spans="1:45" ht="27.75" customHeight="1" x14ac:dyDescent="0.25">
      <c r="A5" s="106" t="s">
        <v>108</v>
      </c>
      <c r="B5" s="106" t="s">
        <v>133</v>
      </c>
      <c r="C5" s="106" t="s">
        <v>134</v>
      </c>
      <c r="D5" s="106" t="s">
        <v>0</v>
      </c>
      <c r="E5" s="106" t="s">
        <v>135</v>
      </c>
      <c r="F5" s="106"/>
      <c r="G5" s="106"/>
      <c r="H5" s="106" t="s">
        <v>34</v>
      </c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7" t="s">
        <v>35</v>
      </c>
      <c r="AS5" s="107" t="s">
        <v>36</v>
      </c>
    </row>
    <row r="6" spans="1:45" ht="23.25" customHeight="1" x14ac:dyDescent="0.25">
      <c r="A6" s="106"/>
      <c r="B6" s="106"/>
      <c r="C6" s="106"/>
      <c r="D6" s="106"/>
      <c r="E6" s="106"/>
      <c r="F6" s="106"/>
      <c r="G6" s="106"/>
      <c r="H6" s="106" t="s">
        <v>22</v>
      </c>
      <c r="I6" s="106"/>
      <c r="J6" s="106"/>
      <c r="K6" s="106" t="s">
        <v>23</v>
      </c>
      <c r="L6" s="106"/>
      <c r="M6" s="106"/>
      <c r="N6" s="106" t="s">
        <v>24</v>
      </c>
      <c r="O6" s="106"/>
      <c r="P6" s="106"/>
      <c r="Q6" s="106" t="s">
        <v>25</v>
      </c>
      <c r="R6" s="106"/>
      <c r="S6" s="106"/>
      <c r="T6" s="106" t="s">
        <v>26</v>
      </c>
      <c r="U6" s="106"/>
      <c r="V6" s="106"/>
      <c r="W6" s="106" t="s">
        <v>27</v>
      </c>
      <c r="X6" s="106"/>
      <c r="Y6" s="106"/>
      <c r="Z6" s="106" t="s">
        <v>28</v>
      </c>
      <c r="AA6" s="106"/>
      <c r="AB6" s="106"/>
      <c r="AC6" s="106" t="s">
        <v>29</v>
      </c>
      <c r="AD6" s="106"/>
      <c r="AE6" s="106"/>
      <c r="AF6" s="106" t="s">
        <v>30</v>
      </c>
      <c r="AG6" s="106"/>
      <c r="AH6" s="106"/>
      <c r="AI6" s="106" t="s">
        <v>31</v>
      </c>
      <c r="AJ6" s="106"/>
      <c r="AK6" s="106"/>
      <c r="AL6" s="106" t="s">
        <v>32</v>
      </c>
      <c r="AM6" s="106"/>
      <c r="AN6" s="106"/>
      <c r="AO6" s="106" t="s">
        <v>33</v>
      </c>
      <c r="AP6" s="106"/>
      <c r="AQ6" s="106"/>
      <c r="AR6" s="108"/>
      <c r="AS6" s="108"/>
    </row>
    <row r="7" spans="1:45" ht="23.45" customHeight="1" x14ac:dyDescent="0.25">
      <c r="A7" s="106"/>
      <c r="B7" s="106"/>
      <c r="C7" s="106"/>
      <c r="D7" s="106"/>
      <c r="E7" s="21" t="s">
        <v>41</v>
      </c>
      <c r="F7" s="21" t="s">
        <v>42</v>
      </c>
      <c r="G7" s="22" t="s">
        <v>40</v>
      </c>
      <c r="H7" s="21" t="s">
        <v>41</v>
      </c>
      <c r="I7" s="21" t="s">
        <v>42</v>
      </c>
      <c r="J7" s="22" t="s">
        <v>40</v>
      </c>
      <c r="K7" s="21" t="s">
        <v>41</v>
      </c>
      <c r="L7" s="21" t="s">
        <v>42</v>
      </c>
      <c r="M7" s="22" t="s">
        <v>40</v>
      </c>
      <c r="N7" s="21" t="s">
        <v>41</v>
      </c>
      <c r="O7" s="21" t="s">
        <v>42</v>
      </c>
      <c r="P7" s="22" t="s">
        <v>40</v>
      </c>
      <c r="Q7" s="21" t="s">
        <v>41</v>
      </c>
      <c r="R7" s="21" t="s">
        <v>42</v>
      </c>
      <c r="S7" s="22" t="s">
        <v>40</v>
      </c>
      <c r="T7" s="21" t="s">
        <v>41</v>
      </c>
      <c r="U7" s="21" t="s">
        <v>42</v>
      </c>
      <c r="V7" s="22" t="s">
        <v>40</v>
      </c>
      <c r="W7" s="21" t="s">
        <v>41</v>
      </c>
      <c r="X7" s="21" t="s">
        <v>42</v>
      </c>
      <c r="Y7" s="22" t="s">
        <v>40</v>
      </c>
      <c r="Z7" s="21" t="s">
        <v>41</v>
      </c>
      <c r="AA7" s="21" t="s">
        <v>42</v>
      </c>
      <c r="AB7" s="22" t="s">
        <v>40</v>
      </c>
      <c r="AC7" s="21" t="s">
        <v>41</v>
      </c>
      <c r="AD7" s="21" t="s">
        <v>42</v>
      </c>
      <c r="AE7" s="22" t="s">
        <v>40</v>
      </c>
      <c r="AF7" s="21" t="s">
        <v>41</v>
      </c>
      <c r="AG7" s="21" t="s">
        <v>42</v>
      </c>
      <c r="AH7" s="22" t="s">
        <v>40</v>
      </c>
      <c r="AI7" s="21" t="s">
        <v>41</v>
      </c>
      <c r="AJ7" s="21" t="s">
        <v>42</v>
      </c>
      <c r="AK7" s="22" t="s">
        <v>40</v>
      </c>
      <c r="AL7" s="21" t="s">
        <v>41</v>
      </c>
      <c r="AM7" s="21" t="s">
        <v>42</v>
      </c>
      <c r="AN7" s="22" t="s">
        <v>40</v>
      </c>
      <c r="AO7" s="21" t="s">
        <v>41</v>
      </c>
      <c r="AP7" s="21" t="s">
        <v>42</v>
      </c>
      <c r="AQ7" s="22" t="s">
        <v>40</v>
      </c>
      <c r="AR7" s="109"/>
      <c r="AS7" s="109"/>
    </row>
    <row r="8" spans="1:45" ht="13.15" customHeight="1" x14ac:dyDescent="0.25">
      <c r="A8" s="94" t="s">
        <v>44</v>
      </c>
      <c r="B8" s="23" t="s">
        <v>2</v>
      </c>
      <c r="C8" s="23"/>
      <c r="D8" s="23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3"/>
      <c r="AQ8" s="23"/>
      <c r="AR8" s="25"/>
      <c r="AS8" s="25"/>
    </row>
    <row r="9" spans="1:45" ht="13.15" customHeight="1" x14ac:dyDescent="0.25">
      <c r="A9" s="101" t="s">
        <v>1</v>
      </c>
      <c r="B9" s="101" t="s">
        <v>138</v>
      </c>
      <c r="C9" s="101" t="s">
        <v>145</v>
      </c>
      <c r="D9" s="26" t="s">
        <v>3</v>
      </c>
      <c r="E9" s="1">
        <f>H9+K9+N9+Q9+T9+W9+Z9+AC9+AF9+AI9+AL9+AO9</f>
        <v>0</v>
      </c>
      <c r="F9" s="1">
        <f>I9+L9+O9+R9+U9+X9+AA9+AD9+AG9+AJ9+AM9+AP9</f>
        <v>0</v>
      </c>
      <c r="G9" s="1"/>
      <c r="H9" s="1">
        <f>H10+H11+H12+H13</f>
        <v>0</v>
      </c>
      <c r="I9" s="1"/>
      <c r="J9" s="1"/>
      <c r="K9" s="1">
        <f t="shared" ref="K9:AO9" si="0">K10+K11+K12+K13</f>
        <v>0</v>
      </c>
      <c r="L9" s="1"/>
      <c r="M9" s="1"/>
      <c r="N9" s="1">
        <f t="shared" si="0"/>
        <v>0</v>
      </c>
      <c r="O9" s="1"/>
      <c r="P9" s="1"/>
      <c r="Q9" s="1">
        <f t="shared" si="0"/>
        <v>0</v>
      </c>
      <c r="R9" s="1">
        <f t="shared" si="0"/>
        <v>0</v>
      </c>
      <c r="S9" s="1"/>
      <c r="T9" s="1">
        <f t="shared" si="0"/>
        <v>0</v>
      </c>
      <c r="U9" s="1">
        <f t="shared" si="0"/>
        <v>0</v>
      </c>
      <c r="V9" s="1"/>
      <c r="W9" s="1">
        <f t="shared" si="0"/>
        <v>0</v>
      </c>
      <c r="X9" s="1">
        <f t="shared" si="0"/>
        <v>0</v>
      </c>
      <c r="Y9" s="1"/>
      <c r="Z9" s="1">
        <f t="shared" si="0"/>
        <v>0</v>
      </c>
      <c r="AA9" s="1">
        <f t="shared" si="0"/>
        <v>0</v>
      </c>
      <c r="AB9" s="1"/>
      <c r="AC9" s="1">
        <f t="shared" si="0"/>
        <v>0</v>
      </c>
      <c r="AD9" s="1">
        <f t="shared" si="0"/>
        <v>0</v>
      </c>
      <c r="AE9" s="1"/>
      <c r="AF9" s="1">
        <f t="shared" si="0"/>
        <v>0</v>
      </c>
      <c r="AG9" s="1">
        <f t="shared" si="0"/>
        <v>0</v>
      </c>
      <c r="AH9" s="1"/>
      <c r="AI9" s="1">
        <f t="shared" si="0"/>
        <v>0</v>
      </c>
      <c r="AJ9" s="1"/>
      <c r="AK9" s="1"/>
      <c r="AL9" s="1">
        <f t="shared" si="0"/>
        <v>0</v>
      </c>
      <c r="AM9" s="1">
        <f t="shared" si="0"/>
        <v>0</v>
      </c>
      <c r="AN9" s="1"/>
      <c r="AO9" s="1">
        <f t="shared" si="0"/>
        <v>0</v>
      </c>
      <c r="AP9" s="1"/>
      <c r="AQ9" s="1"/>
      <c r="AR9" s="25"/>
      <c r="AS9" s="25"/>
    </row>
    <row r="10" spans="1:45" x14ac:dyDescent="0.25">
      <c r="A10" s="101"/>
      <c r="B10" s="101"/>
      <c r="C10" s="101"/>
      <c r="D10" s="26" t="s">
        <v>20</v>
      </c>
      <c r="E10" s="1">
        <f t="shared" ref="E10:F33" si="1">H10+K10+N10+Q10+T10+W10+Z10+AC10+AF10+AI10+AL10+AO10</f>
        <v>0</v>
      </c>
      <c r="F10" s="1">
        <f t="shared" si="1"/>
        <v>0</v>
      </c>
      <c r="G10" s="2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27"/>
      <c r="T10" s="1"/>
      <c r="U10" s="1"/>
      <c r="V10" s="1"/>
      <c r="W10" s="1"/>
      <c r="X10" s="1"/>
      <c r="Y10" s="27"/>
      <c r="Z10" s="1"/>
      <c r="AA10" s="1"/>
      <c r="AB10" s="1"/>
      <c r="AC10" s="1"/>
      <c r="AD10" s="1"/>
      <c r="AE10" s="27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28"/>
      <c r="AS10" s="25"/>
    </row>
    <row r="11" spans="1:45" ht="24" x14ac:dyDescent="0.25">
      <c r="A11" s="101"/>
      <c r="B11" s="101"/>
      <c r="C11" s="101"/>
      <c r="D11" s="26" t="s">
        <v>4</v>
      </c>
      <c r="E11" s="1">
        <f t="shared" si="1"/>
        <v>0</v>
      </c>
      <c r="F11" s="1">
        <f t="shared" si="1"/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28"/>
      <c r="AS11" s="98"/>
    </row>
    <row r="12" spans="1:45" x14ac:dyDescent="0.25">
      <c r="A12" s="101"/>
      <c r="B12" s="101"/>
      <c r="C12" s="101"/>
      <c r="D12" s="26" t="s">
        <v>43</v>
      </c>
      <c r="E12" s="1">
        <f t="shared" si="1"/>
        <v>0</v>
      </c>
      <c r="F12" s="1">
        <f t="shared" si="1"/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28"/>
      <c r="AS12" s="100"/>
    </row>
    <row r="13" spans="1:45" x14ac:dyDescent="0.25">
      <c r="A13" s="101"/>
      <c r="B13" s="101"/>
      <c r="C13" s="101"/>
      <c r="D13" s="26" t="s">
        <v>21</v>
      </c>
      <c r="E13" s="1">
        <f t="shared" si="1"/>
        <v>0</v>
      </c>
      <c r="F13" s="1">
        <f t="shared" si="1"/>
        <v>0</v>
      </c>
      <c r="G13" s="27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28"/>
      <c r="AS13" s="25"/>
    </row>
    <row r="14" spans="1:45" ht="13.15" customHeight="1" x14ac:dyDescent="0.25">
      <c r="A14" s="103" t="s">
        <v>137</v>
      </c>
      <c r="B14" s="101" t="s">
        <v>139</v>
      </c>
      <c r="C14" s="101" t="s">
        <v>145</v>
      </c>
      <c r="D14" s="26" t="s">
        <v>3</v>
      </c>
      <c r="E14" s="1">
        <f>H14+K14+N14+Q14+T14+W14+Z14+AC14+AF14+AI14+AL14+AO14</f>
        <v>0</v>
      </c>
      <c r="F14" s="1">
        <f>I14+L14+O14+R14+U14+X14+AA14+AD14+AG14+AJ14+AM14+AP14</f>
        <v>0</v>
      </c>
      <c r="G14" s="1"/>
      <c r="H14" s="1">
        <f>H15+H16+H17+H18</f>
        <v>0</v>
      </c>
      <c r="I14" s="1"/>
      <c r="J14" s="1"/>
      <c r="K14" s="1">
        <f t="shared" ref="K14" si="2">K15+K16+K17+K18</f>
        <v>0</v>
      </c>
      <c r="L14" s="1"/>
      <c r="M14" s="1"/>
      <c r="N14" s="1">
        <f t="shared" ref="N14" si="3">N15+N16+N17+N18</f>
        <v>0</v>
      </c>
      <c r="O14" s="1"/>
      <c r="P14" s="1"/>
      <c r="Q14" s="1">
        <f t="shared" ref="Q14:R14" si="4">Q15+Q16+Q17+Q18</f>
        <v>0</v>
      </c>
      <c r="R14" s="1">
        <f t="shared" si="4"/>
        <v>0</v>
      </c>
      <c r="S14" s="1"/>
      <c r="T14" s="1">
        <f t="shared" ref="T14:U14" si="5">T15+T16+T17+T18</f>
        <v>0</v>
      </c>
      <c r="U14" s="1">
        <f t="shared" si="5"/>
        <v>0</v>
      </c>
      <c r="V14" s="1"/>
      <c r="W14" s="1">
        <f t="shared" ref="W14:X14" si="6">W15+W16+W17+W18</f>
        <v>0</v>
      </c>
      <c r="X14" s="1">
        <f t="shared" si="6"/>
        <v>0</v>
      </c>
      <c r="Y14" s="1"/>
      <c r="Z14" s="1">
        <f t="shared" ref="Z14:AA14" si="7">Z15+Z16+Z17+Z18</f>
        <v>0</v>
      </c>
      <c r="AA14" s="1">
        <f t="shared" si="7"/>
        <v>0</v>
      </c>
      <c r="AB14" s="1"/>
      <c r="AC14" s="1">
        <f t="shared" ref="AC14:AD14" si="8">AC15+AC16+AC17+AC18</f>
        <v>0</v>
      </c>
      <c r="AD14" s="1">
        <f t="shared" si="8"/>
        <v>0</v>
      </c>
      <c r="AE14" s="1"/>
      <c r="AF14" s="1">
        <f t="shared" ref="AF14:AG14" si="9">AF15+AF16+AF17+AF18</f>
        <v>0</v>
      </c>
      <c r="AG14" s="1">
        <f t="shared" si="9"/>
        <v>0</v>
      </c>
      <c r="AH14" s="1"/>
      <c r="AI14" s="1">
        <f t="shared" ref="AI14" si="10">AI15+AI16+AI17+AI18</f>
        <v>0</v>
      </c>
      <c r="AJ14" s="1"/>
      <c r="AK14" s="1"/>
      <c r="AL14" s="1">
        <f t="shared" ref="AL14:AM14" si="11">AL15+AL16+AL17+AL18</f>
        <v>0</v>
      </c>
      <c r="AM14" s="1">
        <f t="shared" si="11"/>
        <v>0</v>
      </c>
      <c r="AN14" s="1"/>
      <c r="AO14" s="1">
        <f t="shared" ref="AO14" si="12">AO15+AO16+AO17+AO18</f>
        <v>0</v>
      </c>
      <c r="AP14" s="1"/>
      <c r="AQ14" s="1"/>
      <c r="AR14" s="25"/>
      <c r="AS14" s="25"/>
    </row>
    <row r="15" spans="1:45" x14ac:dyDescent="0.25">
      <c r="A15" s="101"/>
      <c r="B15" s="101"/>
      <c r="C15" s="101"/>
      <c r="D15" s="26" t="s">
        <v>20</v>
      </c>
      <c r="E15" s="1">
        <f t="shared" ref="E15:F18" si="13">H15+K15+N15+Q15+T15+W15+Z15+AC15+AF15+AI15+AL15+AO15</f>
        <v>0</v>
      </c>
      <c r="F15" s="1">
        <f t="shared" si="13"/>
        <v>0</v>
      </c>
      <c r="G15" s="27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27"/>
      <c r="T15" s="1"/>
      <c r="U15" s="1"/>
      <c r="V15" s="1"/>
      <c r="W15" s="1"/>
      <c r="X15" s="1"/>
      <c r="Y15" s="27"/>
      <c r="Z15" s="1"/>
      <c r="AA15" s="1"/>
      <c r="AB15" s="1"/>
      <c r="AC15" s="1"/>
      <c r="AD15" s="1"/>
      <c r="AE15" s="27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25"/>
      <c r="AS15" s="25"/>
    </row>
    <row r="16" spans="1:45" ht="24" x14ac:dyDescent="0.25">
      <c r="A16" s="101"/>
      <c r="B16" s="101"/>
      <c r="C16" s="101"/>
      <c r="D16" s="26" t="s">
        <v>4</v>
      </c>
      <c r="E16" s="1">
        <f t="shared" si="13"/>
        <v>0</v>
      </c>
      <c r="F16" s="1">
        <f t="shared" si="13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3"/>
      <c r="AS16" s="98"/>
    </row>
    <row r="17" spans="1:45" x14ac:dyDescent="0.25">
      <c r="A17" s="101"/>
      <c r="B17" s="101"/>
      <c r="C17" s="101"/>
      <c r="D17" s="26" t="s">
        <v>43</v>
      </c>
      <c r="E17" s="1">
        <f t="shared" si="13"/>
        <v>0</v>
      </c>
      <c r="F17" s="1">
        <f t="shared" si="13"/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25"/>
      <c r="AS17" s="100"/>
    </row>
    <row r="18" spans="1:45" x14ac:dyDescent="0.25">
      <c r="A18" s="101"/>
      <c r="B18" s="101"/>
      <c r="C18" s="101"/>
      <c r="D18" s="26" t="s">
        <v>21</v>
      </c>
      <c r="E18" s="1">
        <f t="shared" si="13"/>
        <v>0</v>
      </c>
      <c r="F18" s="1">
        <f t="shared" si="13"/>
        <v>0</v>
      </c>
      <c r="G18" s="2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25"/>
      <c r="AS18" s="25"/>
    </row>
    <row r="19" spans="1:45" ht="13.15" customHeight="1" x14ac:dyDescent="0.25">
      <c r="A19" s="101" t="s">
        <v>19</v>
      </c>
      <c r="B19" s="101" t="s">
        <v>82</v>
      </c>
      <c r="C19" s="101" t="s">
        <v>145</v>
      </c>
      <c r="D19" s="26" t="s">
        <v>3</v>
      </c>
      <c r="E19" s="1">
        <f t="shared" si="1"/>
        <v>0</v>
      </c>
      <c r="F19" s="1">
        <f t="shared" si="1"/>
        <v>0</v>
      </c>
      <c r="G19" s="27"/>
      <c r="H19" s="1">
        <f>H20+H21+H22+H23</f>
        <v>0</v>
      </c>
      <c r="I19" s="1"/>
      <c r="J19" s="1"/>
      <c r="K19" s="1">
        <f t="shared" ref="K19:AO19" si="14">K20+K21+K22+K23</f>
        <v>0</v>
      </c>
      <c r="L19" s="1"/>
      <c r="M19" s="1"/>
      <c r="N19" s="1">
        <f t="shared" si="14"/>
        <v>0</v>
      </c>
      <c r="O19" s="1"/>
      <c r="P19" s="1"/>
      <c r="Q19" s="1">
        <f t="shared" si="14"/>
        <v>0</v>
      </c>
      <c r="R19" s="1"/>
      <c r="S19" s="1"/>
      <c r="T19" s="1">
        <f t="shared" si="14"/>
        <v>0</v>
      </c>
      <c r="U19" s="1">
        <f t="shared" si="14"/>
        <v>0</v>
      </c>
      <c r="V19" s="1"/>
      <c r="W19" s="1">
        <f t="shared" si="14"/>
        <v>0</v>
      </c>
      <c r="X19" s="1"/>
      <c r="Y19" s="1"/>
      <c r="Z19" s="1">
        <f t="shared" si="14"/>
        <v>0</v>
      </c>
      <c r="AA19" s="1"/>
      <c r="AB19" s="1"/>
      <c r="AC19" s="1">
        <f t="shared" si="14"/>
        <v>0</v>
      </c>
      <c r="AD19" s="1">
        <f t="shared" si="14"/>
        <v>0</v>
      </c>
      <c r="AE19" s="1"/>
      <c r="AF19" s="1">
        <f t="shared" si="14"/>
        <v>0</v>
      </c>
      <c r="AG19" s="1">
        <f t="shared" si="14"/>
        <v>0</v>
      </c>
      <c r="AH19" s="1"/>
      <c r="AI19" s="1">
        <f t="shared" si="14"/>
        <v>0</v>
      </c>
      <c r="AJ19" s="1"/>
      <c r="AK19" s="1"/>
      <c r="AL19" s="1">
        <f t="shared" si="14"/>
        <v>0</v>
      </c>
      <c r="AM19" s="1"/>
      <c r="AN19" s="1"/>
      <c r="AO19" s="1">
        <f t="shared" si="14"/>
        <v>0</v>
      </c>
      <c r="AP19" s="1"/>
      <c r="AQ19" s="1"/>
      <c r="AR19" s="25"/>
      <c r="AS19" s="25"/>
    </row>
    <row r="20" spans="1:45" x14ac:dyDescent="0.25">
      <c r="A20" s="101"/>
      <c r="B20" s="101"/>
      <c r="C20" s="101"/>
      <c r="D20" s="26" t="s">
        <v>20</v>
      </c>
      <c r="E20" s="1">
        <f t="shared" si="1"/>
        <v>0</v>
      </c>
      <c r="F20" s="1">
        <f t="shared" si="1"/>
        <v>0</v>
      </c>
      <c r="G20" s="27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25"/>
      <c r="AS20" s="25"/>
    </row>
    <row r="21" spans="1:45" ht="24" x14ac:dyDescent="0.25">
      <c r="A21" s="101"/>
      <c r="B21" s="101"/>
      <c r="C21" s="101"/>
      <c r="D21" s="26" t="s">
        <v>4</v>
      </c>
      <c r="E21" s="1">
        <f t="shared" si="1"/>
        <v>0</v>
      </c>
      <c r="F21" s="1">
        <f t="shared" si="1"/>
        <v>0</v>
      </c>
      <c r="G21" s="27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25"/>
      <c r="AS21" s="25"/>
    </row>
    <row r="22" spans="1:45" x14ac:dyDescent="0.25">
      <c r="A22" s="101"/>
      <c r="B22" s="101"/>
      <c r="C22" s="101"/>
      <c r="D22" s="26" t="s">
        <v>43</v>
      </c>
      <c r="E22" s="1">
        <f t="shared" si="1"/>
        <v>0</v>
      </c>
      <c r="F22" s="1">
        <f t="shared" si="1"/>
        <v>0</v>
      </c>
      <c r="G22" s="27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25"/>
      <c r="AS22" s="25"/>
    </row>
    <row r="23" spans="1:45" x14ac:dyDescent="0.25">
      <c r="A23" s="101"/>
      <c r="B23" s="101"/>
      <c r="C23" s="101"/>
      <c r="D23" s="26" t="s">
        <v>21</v>
      </c>
      <c r="E23" s="1">
        <f t="shared" si="1"/>
        <v>0</v>
      </c>
      <c r="F23" s="1">
        <f t="shared" si="1"/>
        <v>0</v>
      </c>
      <c r="G23" s="27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25"/>
      <c r="AS23" s="25"/>
    </row>
    <row r="24" spans="1:45" ht="13.15" customHeight="1" x14ac:dyDescent="0.25">
      <c r="A24" s="101" t="s">
        <v>126</v>
      </c>
      <c r="B24" s="101" t="s">
        <v>106</v>
      </c>
      <c r="C24" s="101" t="s">
        <v>145</v>
      </c>
      <c r="D24" s="26" t="s">
        <v>3</v>
      </c>
      <c r="E24" s="1">
        <f>H24+K24+N24+Q24+T24+W24+Z24+AC24+AF24+AI24+AL24+AO24</f>
        <v>751176.29999999993</v>
      </c>
      <c r="F24" s="1">
        <f>I24+L24+O24+R24+U24+X24+AA24+AD24+AG24+AJ24+AM24+AP24</f>
        <v>133200.79999999999</v>
      </c>
      <c r="G24" s="1">
        <f>F24/E24*100</f>
        <v>17.732295334663782</v>
      </c>
      <c r="H24" s="1">
        <f>H25+H26+H27+H28</f>
        <v>21814</v>
      </c>
      <c r="I24" s="1">
        <f>I25+I26+I27+I28</f>
        <v>21814</v>
      </c>
      <c r="J24" s="1">
        <f>I24/H24*100</f>
        <v>100</v>
      </c>
      <c r="K24" s="1">
        <f t="shared" ref="K24:AO24" si="15">K25+K26+K27+K28</f>
        <v>64602.2</v>
      </c>
      <c r="L24" s="1">
        <f t="shared" si="15"/>
        <v>64602.2</v>
      </c>
      <c r="M24" s="1">
        <f>L24/K24*100</f>
        <v>100</v>
      </c>
      <c r="N24" s="1">
        <f t="shared" si="15"/>
        <v>46784.6</v>
      </c>
      <c r="O24" s="1">
        <f t="shared" si="15"/>
        <v>46784.6</v>
      </c>
      <c r="P24" s="1">
        <f>O24/N24*100</f>
        <v>100</v>
      </c>
      <c r="Q24" s="1">
        <f t="shared" si="15"/>
        <v>62618</v>
      </c>
      <c r="R24" s="1">
        <f t="shared" si="15"/>
        <v>0</v>
      </c>
      <c r="S24" s="1">
        <f>R24/Q24*100</f>
        <v>0</v>
      </c>
      <c r="T24" s="1">
        <f t="shared" si="15"/>
        <v>95069.5</v>
      </c>
      <c r="U24" s="1">
        <f t="shared" si="15"/>
        <v>0</v>
      </c>
      <c r="V24" s="1">
        <f>U24/T24*100</f>
        <v>0</v>
      </c>
      <c r="W24" s="1">
        <f t="shared" si="15"/>
        <v>93134</v>
      </c>
      <c r="X24" s="1">
        <f t="shared" si="15"/>
        <v>0</v>
      </c>
      <c r="Y24" s="1">
        <f>X24/W24*100</f>
        <v>0</v>
      </c>
      <c r="Z24" s="1">
        <f t="shared" si="15"/>
        <v>74872</v>
      </c>
      <c r="AA24" s="1">
        <f t="shared" si="15"/>
        <v>0</v>
      </c>
      <c r="AB24" s="1">
        <f>AA24/Z24*100</f>
        <v>0</v>
      </c>
      <c r="AC24" s="1">
        <f t="shared" si="15"/>
        <v>53157</v>
      </c>
      <c r="AD24" s="1">
        <f t="shared" si="15"/>
        <v>0</v>
      </c>
      <c r="AE24" s="1">
        <f>AD24/AC24*100</f>
        <v>0</v>
      </c>
      <c r="AF24" s="1">
        <f t="shared" si="15"/>
        <v>51933</v>
      </c>
      <c r="AG24" s="1">
        <f t="shared" si="15"/>
        <v>0</v>
      </c>
      <c r="AH24" s="1">
        <f>AG24/AF24*100</f>
        <v>0</v>
      </c>
      <c r="AI24" s="1">
        <f t="shared" si="15"/>
        <v>55168.6</v>
      </c>
      <c r="AJ24" s="1">
        <f t="shared" si="15"/>
        <v>0</v>
      </c>
      <c r="AK24" s="1">
        <f>AJ24/AI24*100</f>
        <v>0</v>
      </c>
      <c r="AL24" s="1">
        <f>AL25+AL26+AL27+AL28</f>
        <v>54209.2</v>
      </c>
      <c r="AM24" s="1">
        <f>AM25+AM26+AM27+AM28</f>
        <v>0</v>
      </c>
      <c r="AN24" s="1">
        <f>AM24/AL24*100</f>
        <v>0</v>
      </c>
      <c r="AO24" s="1">
        <f t="shared" si="15"/>
        <v>77814.2</v>
      </c>
      <c r="AP24" s="1"/>
      <c r="AQ24" s="1">
        <f>AP24/AO24*100</f>
        <v>0</v>
      </c>
      <c r="AR24" s="25"/>
      <c r="AS24" s="25"/>
    </row>
    <row r="25" spans="1:45" ht="12" customHeight="1" x14ac:dyDescent="0.25">
      <c r="A25" s="101"/>
      <c r="B25" s="101"/>
      <c r="C25" s="101"/>
      <c r="D25" s="26" t="s">
        <v>20</v>
      </c>
      <c r="E25" s="1">
        <f t="shared" si="1"/>
        <v>0</v>
      </c>
      <c r="F25" s="1">
        <f t="shared" si="1"/>
        <v>0</v>
      </c>
      <c r="G25" s="27"/>
      <c r="H25" s="1"/>
      <c r="I25" s="1"/>
      <c r="J25" s="27"/>
      <c r="K25" s="1"/>
      <c r="L25" s="1"/>
      <c r="M25" s="27"/>
      <c r="N25" s="1"/>
      <c r="O25" s="1"/>
      <c r="P25" s="27"/>
      <c r="Q25" s="1"/>
      <c r="R25" s="1"/>
      <c r="S25" s="27"/>
      <c r="T25" s="1"/>
      <c r="U25" s="1"/>
      <c r="V25" s="27"/>
      <c r="W25" s="1"/>
      <c r="X25" s="1"/>
      <c r="Y25" s="27"/>
      <c r="Z25" s="1"/>
      <c r="AA25" s="1"/>
      <c r="AB25" s="27"/>
      <c r="AC25" s="1"/>
      <c r="AD25" s="1"/>
      <c r="AE25" s="27"/>
      <c r="AF25" s="1"/>
      <c r="AG25" s="1"/>
      <c r="AH25" s="27"/>
      <c r="AI25" s="1"/>
      <c r="AJ25" s="1"/>
      <c r="AK25" s="27"/>
      <c r="AL25" s="1"/>
      <c r="AM25" s="1"/>
      <c r="AN25" s="27"/>
      <c r="AO25" s="1"/>
      <c r="AP25" s="1"/>
      <c r="AQ25" s="27"/>
      <c r="AR25" s="25"/>
      <c r="AS25" s="25"/>
    </row>
    <row r="26" spans="1:45" ht="88.5" customHeight="1" x14ac:dyDescent="0.25">
      <c r="A26" s="101"/>
      <c r="B26" s="101"/>
      <c r="C26" s="101"/>
      <c r="D26" s="26" t="s">
        <v>4</v>
      </c>
      <c r="E26" s="1">
        <f t="shared" si="1"/>
        <v>629983.1</v>
      </c>
      <c r="F26" s="1">
        <f t="shared" si="1"/>
        <v>108970</v>
      </c>
      <c r="G26" s="1">
        <f>F26/E26*100</f>
        <v>17.297289403477649</v>
      </c>
      <c r="H26" s="1">
        <v>19060</v>
      </c>
      <c r="I26" s="1">
        <v>19060</v>
      </c>
      <c r="J26" s="1">
        <f>I26/H26*100</f>
        <v>100</v>
      </c>
      <c r="K26" s="1">
        <v>52116</v>
      </c>
      <c r="L26" s="1">
        <v>52116</v>
      </c>
      <c r="M26" s="1">
        <f>L26/K26*100</f>
        <v>100</v>
      </c>
      <c r="N26" s="1">
        <f>47594-9800</f>
        <v>37794</v>
      </c>
      <c r="O26" s="1">
        <v>37794</v>
      </c>
      <c r="P26" s="1">
        <f>O26/N26*100</f>
        <v>100</v>
      </c>
      <c r="Q26" s="1">
        <v>51039</v>
      </c>
      <c r="R26" s="1"/>
      <c r="S26" s="1">
        <f>R26/Q26*100</f>
        <v>0</v>
      </c>
      <c r="T26" s="1">
        <v>84658.5</v>
      </c>
      <c r="U26" s="1"/>
      <c r="V26" s="1">
        <f>U26/T26*100</f>
        <v>0</v>
      </c>
      <c r="W26" s="1">
        <f>74117+6520</f>
        <v>80637</v>
      </c>
      <c r="X26" s="1"/>
      <c r="Y26" s="1">
        <f>X26/W26*100</f>
        <v>0</v>
      </c>
      <c r="Z26" s="1">
        <v>62680</v>
      </c>
      <c r="AA26" s="1"/>
      <c r="AB26" s="1">
        <f>AA26/Z26*100</f>
        <v>0</v>
      </c>
      <c r="AC26" s="1">
        <v>44294</v>
      </c>
      <c r="AD26" s="1"/>
      <c r="AE26" s="1">
        <f>AD26/AC26*100</f>
        <v>0</v>
      </c>
      <c r="AF26" s="1">
        <f>40811+3280</f>
        <v>44091</v>
      </c>
      <c r="AG26" s="1"/>
      <c r="AH26" s="1">
        <f>AG26/AF26*100</f>
        <v>0</v>
      </c>
      <c r="AI26" s="1">
        <v>45034.6</v>
      </c>
      <c r="AJ26" s="1"/>
      <c r="AK26" s="1">
        <f>AJ26/AI26*100</f>
        <v>0</v>
      </c>
      <c r="AL26" s="1">
        <v>44892</v>
      </c>
      <c r="AM26" s="1"/>
      <c r="AN26" s="1">
        <f>AM26/AL26*100</f>
        <v>0</v>
      </c>
      <c r="AO26" s="1">
        <f>63129.3+557.7</f>
        <v>63687</v>
      </c>
      <c r="AP26" s="1"/>
      <c r="AQ26" s="1">
        <f>AP26/AO26*100</f>
        <v>0</v>
      </c>
      <c r="AR26" s="94" t="s">
        <v>194</v>
      </c>
      <c r="AS26" s="94"/>
    </row>
    <row r="27" spans="1:45" ht="87.75" customHeight="1" x14ac:dyDescent="0.25">
      <c r="A27" s="101"/>
      <c r="B27" s="101"/>
      <c r="C27" s="101"/>
      <c r="D27" s="26" t="s">
        <v>43</v>
      </c>
      <c r="E27" s="1">
        <f t="shared" si="1"/>
        <v>121193.2</v>
      </c>
      <c r="F27" s="1">
        <f t="shared" si="1"/>
        <v>24230.799999999999</v>
      </c>
      <c r="G27" s="1">
        <f>F27/E27*100</f>
        <v>19.993530990187569</v>
      </c>
      <c r="H27" s="1">
        <v>2754</v>
      </c>
      <c r="I27" s="1">
        <v>2754</v>
      </c>
      <c r="J27" s="1">
        <f>I27/H27*100</f>
        <v>100</v>
      </c>
      <c r="K27" s="1">
        <v>12486.2</v>
      </c>
      <c r="L27" s="1">
        <v>12486.2</v>
      </c>
      <c r="M27" s="1">
        <f>L27/K27*100</f>
        <v>100</v>
      </c>
      <c r="N27" s="1">
        <f>10245.6-1255</f>
        <v>8990.6</v>
      </c>
      <c r="O27" s="1">
        <v>8990.5999999999985</v>
      </c>
      <c r="P27" s="1">
        <f>O27/N27*100</f>
        <v>99.999999999999972</v>
      </c>
      <c r="Q27" s="1">
        <v>11579</v>
      </c>
      <c r="R27" s="1"/>
      <c r="S27" s="1">
        <f>R27/Q27*100</f>
        <v>0</v>
      </c>
      <c r="T27" s="1">
        <v>10411</v>
      </c>
      <c r="U27" s="1"/>
      <c r="V27" s="1">
        <f>U27/T27*100</f>
        <v>0</v>
      </c>
      <c r="W27" s="1">
        <f>11242+1255</f>
        <v>12497</v>
      </c>
      <c r="X27" s="1"/>
      <c r="Y27" s="1">
        <f>X27/W27*100</f>
        <v>0</v>
      </c>
      <c r="Z27" s="1">
        <v>12192</v>
      </c>
      <c r="AA27" s="1"/>
      <c r="AB27" s="1">
        <f>AA27/Z27*100</f>
        <v>0</v>
      </c>
      <c r="AC27" s="1">
        <v>8863</v>
      </c>
      <c r="AD27" s="1"/>
      <c r="AE27" s="1">
        <f>AD27/AC27*100</f>
        <v>0</v>
      </c>
      <c r="AF27" s="1">
        <v>7842</v>
      </c>
      <c r="AG27" s="1"/>
      <c r="AH27" s="1">
        <f>AG27/AF27*100</f>
        <v>0</v>
      </c>
      <c r="AI27" s="1">
        <v>10134</v>
      </c>
      <c r="AJ27" s="1"/>
      <c r="AK27" s="1">
        <f>AJ27/AI27*100</f>
        <v>0</v>
      </c>
      <c r="AL27" s="1">
        <v>9317.2000000000007</v>
      </c>
      <c r="AM27" s="1"/>
      <c r="AN27" s="1">
        <f>AM27/AL27*100</f>
        <v>0</v>
      </c>
      <c r="AO27" s="1">
        <v>14127.2</v>
      </c>
      <c r="AP27" s="1"/>
      <c r="AQ27" s="1">
        <f>AP27/AO27*100</f>
        <v>0</v>
      </c>
      <c r="AR27" s="94" t="s">
        <v>195</v>
      </c>
      <c r="AS27" s="94"/>
    </row>
    <row r="28" spans="1:45" x14ac:dyDescent="0.25">
      <c r="A28" s="101"/>
      <c r="B28" s="101"/>
      <c r="C28" s="101"/>
      <c r="D28" s="26" t="s">
        <v>21</v>
      </c>
      <c r="E28" s="1">
        <f t="shared" si="1"/>
        <v>0</v>
      </c>
      <c r="F28" s="1">
        <f t="shared" si="1"/>
        <v>0</v>
      </c>
      <c r="G28" s="27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27"/>
      <c r="AI28" s="1"/>
      <c r="AJ28" s="1"/>
      <c r="AK28" s="27"/>
      <c r="AL28" s="1"/>
      <c r="AM28" s="1"/>
      <c r="AN28" s="1"/>
      <c r="AO28" s="1"/>
      <c r="AP28" s="1"/>
      <c r="AQ28" s="27"/>
      <c r="AR28" s="25"/>
      <c r="AS28" s="25"/>
    </row>
    <row r="29" spans="1:45" ht="12.6" customHeight="1" x14ac:dyDescent="0.25">
      <c r="A29" s="102" t="s">
        <v>125</v>
      </c>
      <c r="B29" s="101" t="s">
        <v>83</v>
      </c>
      <c r="C29" s="101" t="s">
        <v>145</v>
      </c>
      <c r="D29" s="26" t="s">
        <v>3</v>
      </c>
      <c r="E29" s="1">
        <f t="shared" si="1"/>
        <v>31451</v>
      </c>
      <c r="F29" s="1">
        <f t="shared" si="1"/>
        <v>6779.5</v>
      </c>
      <c r="G29" s="1">
        <f>F29/E29*100</f>
        <v>21.555753394168704</v>
      </c>
      <c r="H29" s="1">
        <f>H30+H31+H32+H33</f>
        <v>0</v>
      </c>
      <c r="I29" s="1"/>
      <c r="J29" s="1"/>
      <c r="K29" s="1">
        <f t="shared" ref="K29:AO29" si="16">K30+K31+K32+K33</f>
        <v>4400</v>
      </c>
      <c r="L29" s="1">
        <f t="shared" si="16"/>
        <v>4031.2</v>
      </c>
      <c r="M29" s="1">
        <f t="shared" ref="M29" si="17">L29/K29*100</f>
        <v>91.61818181818181</v>
      </c>
      <c r="N29" s="1">
        <f t="shared" si="16"/>
        <v>2700</v>
      </c>
      <c r="O29" s="1">
        <f t="shared" si="16"/>
        <v>2748.3</v>
      </c>
      <c r="P29" s="1">
        <f t="shared" ref="P29:P31" si="18">O29/N29*100</f>
        <v>101.78888888888891</v>
      </c>
      <c r="Q29" s="1">
        <f t="shared" si="16"/>
        <v>3500</v>
      </c>
      <c r="R29" s="1">
        <f t="shared" si="16"/>
        <v>0</v>
      </c>
      <c r="S29" s="1">
        <f>R29/Q29*100</f>
        <v>0</v>
      </c>
      <c r="T29" s="1">
        <f t="shared" si="16"/>
        <v>3500</v>
      </c>
      <c r="U29" s="1">
        <f t="shared" si="16"/>
        <v>0</v>
      </c>
      <c r="V29" s="1">
        <f>U29/T29*100</f>
        <v>0</v>
      </c>
      <c r="W29" s="1">
        <f t="shared" si="16"/>
        <v>3500</v>
      </c>
      <c r="X29" s="1">
        <f t="shared" si="16"/>
        <v>0</v>
      </c>
      <c r="Y29" s="1">
        <f>X29/W29*100</f>
        <v>0</v>
      </c>
      <c r="Z29" s="1">
        <f t="shared" si="16"/>
        <v>2300</v>
      </c>
      <c r="AA29" s="1">
        <f t="shared" si="16"/>
        <v>0</v>
      </c>
      <c r="AB29" s="1">
        <f>AA29/Z29*100</f>
        <v>0</v>
      </c>
      <c r="AC29" s="1">
        <f t="shared" si="16"/>
        <v>1600</v>
      </c>
      <c r="AD29" s="1">
        <f t="shared" si="16"/>
        <v>0</v>
      </c>
      <c r="AE29" s="1">
        <f>AD29/AC29*100</f>
        <v>0</v>
      </c>
      <c r="AF29" s="1">
        <f t="shared" si="16"/>
        <v>1700</v>
      </c>
      <c r="AG29" s="1">
        <f t="shared" si="16"/>
        <v>0</v>
      </c>
      <c r="AH29" s="1">
        <f>AG29/AF29*100</f>
        <v>0</v>
      </c>
      <c r="AI29" s="1">
        <f t="shared" si="16"/>
        <v>2400</v>
      </c>
      <c r="AJ29" s="1">
        <f t="shared" si="16"/>
        <v>0</v>
      </c>
      <c r="AK29" s="1">
        <f>AJ29/AI29*100</f>
        <v>0</v>
      </c>
      <c r="AL29" s="1">
        <f t="shared" si="16"/>
        <v>3100</v>
      </c>
      <c r="AM29" s="1">
        <f t="shared" si="16"/>
        <v>0</v>
      </c>
      <c r="AN29" s="1">
        <f>AM29/AL29*100</f>
        <v>0</v>
      </c>
      <c r="AO29" s="1">
        <f t="shared" si="16"/>
        <v>2751</v>
      </c>
      <c r="AP29" s="1"/>
      <c r="AQ29" s="1">
        <f>AP29/AO29*100</f>
        <v>0</v>
      </c>
      <c r="AR29" s="25"/>
      <c r="AS29" s="25"/>
    </row>
    <row r="30" spans="1:45" x14ac:dyDescent="0.25">
      <c r="A30" s="101"/>
      <c r="B30" s="101"/>
      <c r="C30" s="101"/>
      <c r="D30" s="26" t="s">
        <v>20</v>
      </c>
      <c r="E30" s="1">
        <f t="shared" si="1"/>
        <v>0</v>
      </c>
      <c r="F30" s="1">
        <f t="shared" si="1"/>
        <v>0</v>
      </c>
      <c r="G30" s="27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27"/>
      <c r="T30" s="1"/>
      <c r="U30" s="1"/>
      <c r="V30" s="27"/>
      <c r="W30" s="1"/>
      <c r="X30" s="1"/>
      <c r="Y30" s="27"/>
      <c r="Z30" s="1"/>
      <c r="AA30" s="1"/>
      <c r="AB30" s="27"/>
      <c r="AC30" s="1"/>
      <c r="AD30" s="1"/>
      <c r="AE30" s="27"/>
      <c r="AF30" s="1"/>
      <c r="AG30" s="1"/>
      <c r="AH30" s="27"/>
      <c r="AI30" s="1"/>
      <c r="AJ30" s="1"/>
      <c r="AK30" s="27"/>
      <c r="AL30" s="1"/>
      <c r="AM30" s="1"/>
      <c r="AN30" s="27"/>
      <c r="AO30" s="1"/>
      <c r="AP30" s="1"/>
      <c r="AQ30" s="27"/>
      <c r="AR30" s="25"/>
      <c r="AS30" s="25"/>
    </row>
    <row r="31" spans="1:45" ht="49.5" customHeight="1" x14ac:dyDescent="0.25">
      <c r="A31" s="101"/>
      <c r="B31" s="101"/>
      <c r="C31" s="101"/>
      <c r="D31" s="26" t="s">
        <v>4</v>
      </c>
      <c r="E31" s="1">
        <f t="shared" si="1"/>
        <v>31451</v>
      </c>
      <c r="F31" s="1">
        <f t="shared" si="1"/>
        <v>6779.5</v>
      </c>
      <c r="G31" s="1">
        <f>F31/E31*100</f>
        <v>21.555753394168704</v>
      </c>
      <c r="H31" s="1"/>
      <c r="I31" s="1"/>
      <c r="J31" s="1"/>
      <c r="K31" s="1">
        <v>4400</v>
      </c>
      <c r="L31" s="1">
        <v>4031.2</v>
      </c>
      <c r="M31" s="1">
        <f t="shared" ref="M31" si="19">L31/K31*100</f>
        <v>91.61818181818181</v>
      </c>
      <c r="N31" s="1">
        <v>2700</v>
      </c>
      <c r="O31" s="1">
        <v>2748.3</v>
      </c>
      <c r="P31" s="1">
        <f t="shared" si="18"/>
        <v>101.78888888888891</v>
      </c>
      <c r="Q31" s="1">
        <v>3500</v>
      </c>
      <c r="R31" s="1"/>
      <c r="S31" s="1">
        <f>R31/Q31*100</f>
        <v>0</v>
      </c>
      <c r="T31" s="1">
        <v>3500</v>
      </c>
      <c r="U31" s="1"/>
      <c r="V31" s="1">
        <f>U31/T31*100</f>
        <v>0</v>
      </c>
      <c r="W31" s="1">
        <v>3500</v>
      </c>
      <c r="X31" s="1"/>
      <c r="Y31" s="1">
        <f>X31/W31*100</f>
        <v>0</v>
      </c>
      <c r="Z31" s="1">
        <v>2300</v>
      </c>
      <c r="AA31" s="1"/>
      <c r="AB31" s="1">
        <f>AA31/Z31*100</f>
        <v>0</v>
      </c>
      <c r="AC31" s="1">
        <v>1600</v>
      </c>
      <c r="AD31" s="1"/>
      <c r="AE31" s="1">
        <f>AD31/AC31*100</f>
        <v>0</v>
      </c>
      <c r="AF31" s="1">
        <v>1700</v>
      </c>
      <c r="AG31" s="1"/>
      <c r="AH31" s="1">
        <f>AG31/AF31*100</f>
        <v>0</v>
      </c>
      <c r="AI31" s="1">
        <v>2400</v>
      </c>
      <c r="AJ31" s="1"/>
      <c r="AK31" s="1">
        <f>AJ31/AI31*100</f>
        <v>0</v>
      </c>
      <c r="AL31" s="1">
        <v>3100</v>
      </c>
      <c r="AM31" s="1"/>
      <c r="AN31" s="1">
        <f>AM31/AL31*100</f>
        <v>0</v>
      </c>
      <c r="AO31" s="1">
        <v>2751</v>
      </c>
      <c r="AP31" s="1"/>
      <c r="AQ31" s="1">
        <f>AP31/AO31*100</f>
        <v>0</v>
      </c>
      <c r="AR31" s="94" t="s">
        <v>170</v>
      </c>
      <c r="AS31" s="94" t="s">
        <v>169</v>
      </c>
    </row>
    <row r="32" spans="1:45" x14ac:dyDescent="0.25">
      <c r="A32" s="101"/>
      <c r="B32" s="101"/>
      <c r="C32" s="101"/>
      <c r="D32" s="26" t="s">
        <v>43</v>
      </c>
      <c r="E32" s="1">
        <f t="shared" si="1"/>
        <v>0</v>
      </c>
      <c r="F32" s="1">
        <f t="shared" si="1"/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25"/>
      <c r="AS32" s="4"/>
    </row>
    <row r="33" spans="1:45" x14ac:dyDescent="0.25">
      <c r="A33" s="101"/>
      <c r="B33" s="101"/>
      <c r="C33" s="101"/>
      <c r="D33" s="26" t="s">
        <v>21</v>
      </c>
      <c r="E33" s="1">
        <f t="shared" si="1"/>
        <v>0</v>
      </c>
      <c r="F33" s="1">
        <f t="shared" si="1"/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25"/>
      <c r="AS33" s="25"/>
    </row>
    <row r="34" spans="1:45" ht="12" customHeight="1" x14ac:dyDescent="0.25">
      <c r="A34" s="104" t="s">
        <v>5</v>
      </c>
      <c r="B34" s="104"/>
      <c r="C34" s="104"/>
      <c r="D34" s="29" t="s">
        <v>3</v>
      </c>
      <c r="E34" s="30">
        <f t="shared" ref="E34:F38" si="20">H34+K34+N34+Q34+T34+W34+Z34+AC34+AF34+AI34+AL34+AO34</f>
        <v>782627.29999999993</v>
      </c>
      <c r="F34" s="30">
        <f t="shared" si="20"/>
        <v>139980.29999999999</v>
      </c>
      <c r="G34" s="30">
        <f>F34/E34*100</f>
        <v>17.885946477972336</v>
      </c>
      <c r="H34" s="30">
        <f>H36+H35+H37+H38</f>
        <v>21814</v>
      </c>
      <c r="I34" s="30">
        <f>I36+I35+I37+I38</f>
        <v>21814</v>
      </c>
      <c r="J34" s="30">
        <f>I34/H34*100</f>
        <v>100</v>
      </c>
      <c r="K34" s="30">
        <f t="shared" ref="K34:AO34" si="21">K36+K35+K37+K38</f>
        <v>69002.2</v>
      </c>
      <c r="L34" s="30">
        <f t="shared" si="21"/>
        <v>68633.399999999994</v>
      </c>
      <c r="M34" s="30">
        <f>L34/K34*100</f>
        <v>99.465524287631396</v>
      </c>
      <c r="N34" s="30">
        <f t="shared" si="21"/>
        <v>49484.6</v>
      </c>
      <c r="O34" s="30">
        <f t="shared" si="21"/>
        <v>49532.9</v>
      </c>
      <c r="P34" s="30">
        <f>O34/N34*100</f>
        <v>100.09760612392542</v>
      </c>
      <c r="Q34" s="30">
        <f t="shared" si="21"/>
        <v>66118</v>
      </c>
      <c r="R34" s="30">
        <f t="shared" si="21"/>
        <v>0</v>
      </c>
      <c r="S34" s="30">
        <f>R34/Q34*100</f>
        <v>0</v>
      </c>
      <c r="T34" s="30">
        <f t="shared" si="21"/>
        <v>98569.5</v>
      </c>
      <c r="U34" s="30">
        <f t="shared" si="21"/>
        <v>0</v>
      </c>
      <c r="V34" s="30">
        <f>U34/T34*100</f>
        <v>0</v>
      </c>
      <c r="W34" s="30">
        <f t="shared" si="21"/>
        <v>96634</v>
      </c>
      <c r="X34" s="30">
        <f t="shared" si="21"/>
        <v>0</v>
      </c>
      <c r="Y34" s="30">
        <f>X34/W34*100</f>
        <v>0</v>
      </c>
      <c r="Z34" s="30">
        <f t="shared" si="21"/>
        <v>77172</v>
      </c>
      <c r="AA34" s="30">
        <f t="shared" si="21"/>
        <v>0</v>
      </c>
      <c r="AB34" s="30">
        <f>AA34/Z34*100</f>
        <v>0</v>
      </c>
      <c r="AC34" s="30">
        <f t="shared" si="21"/>
        <v>54757</v>
      </c>
      <c r="AD34" s="30">
        <f t="shared" si="21"/>
        <v>0</v>
      </c>
      <c r="AE34" s="30">
        <f>AD34/AC34*100</f>
        <v>0</v>
      </c>
      <c r="AF34" s="30">
        <f t="shared" si="21"/>
        <v>53633</v>
      </c>
      <c r="AG34" s="30">
        <f t="shared" si="21"/>
        <v>0</v>
      </c>
      <c r="AH34" s="30">
        <f>AG34/AF34*100</f>
        <v>0</v>
      </c>
      <c r="AI34" s="30">
        <f t="shared" si="21"/>
        <v>57568.6</v>
      </c>
      <c r="AJ34" s="30">
        <f t="shared" si="21"/>
        <v>0</v>
      </c>
      <c r="AK34" s="30">
        <f>AJ34/AI34*100</f>
        <v>0</v>
      </c>
      <c r="AL34" s="30">
        <f t="shared" si="21"/>
        <v>57309.2</v>
      </c>
      <c r="AM34" s="30">
        <f t="shared" si="21"/>
        <v>0</v>
      </c>
      <c r="AN34" s="30">
        <f>AM34/AL34*100</f>
        <v>0</v>
      </c>
      <c r="AO34" s="30">
        <f t="shared" si="21"/>
        <v>80565.2</v>
      </c>
      <c r="AP34" s="30"/>
      <c r="AQ34" s="30">
        <f>AP34/AO34*100</f>
        <v>0</v>
      </c>
      <c r="AR34" s="25"/>
      <c r="AS34" s="25"/>
    </row>
    <row r="35" spans="1:45" ht="13.5" customHeight="1" x14ac:dyDescent="0.25">
      <c r="A35" s="104"/>
      <c r="B35" s="104"/>
      <c r="C35" s="104"/>
      <c r="D35" s="29" t="s">
        <v>20</v>
      </c>
      <c r="E35" s="30">
        <f t="shared" si="20"/>
        <v>0</v>
      </c>
      <c r="F35" s="30">
        <f t="shared" si="20"/>
        <v>0</v>
      </c>
      <c r="G35" s="31"/>
      <c r="H35" s="30">
        <f t="shared" ref="H35:I38" si="22">H10+H20+H25+H30</f>
        <v>0</v>
      </c>
      <c r="I35" s="30">
        <f t="shared" si="22"/>
        <v>0</v>
      </c>
      <c r="J35" s="31"/>
      <c r="K35" s="30">
        <f t="shared" ref="K35:L38" si="23">K10+K20+K25+K30</f>
        <v>0</v>
      </c>
      <c r="L35" s="30">
        <f t="shared" si="23"/>
        <v>0</v>
      </c>
      <c r="M35" s="31"/>
      <c r="N35" s="30">
        <f t="shared" ref="N35:O38" si="24">N10+N20+N25+N30</f>
        <v>0</v>
      </c>
      <c r="O35" s="30">
        <f t="shared" si="24"/>
        <v>0</v>
      </c>
      <c r="P35" s="31"/>
      <c r="Q35" s="30">
        <f t="shared" ref="Q35:R38" si="25">Q10+Q20+Q25+Q30</f>
        <v>0</v>
      </c>
      <c r="R35" s="30">
        <f t="shared" si="25"/>
        <v>0</v>
      </c>
      <c r="S35" s="31"/>
      <c r="T35" s="30">
        <f t="shared" ref="T35:U38" si="26">T10+T20+T25+T30</f>
        <v>0</v>
      </c>
      <c r="U35" s="30">
        <f t="shared" si="26"/>
        <v>0</v>
      </c>
      <c r="V35" s="31"/>
      <c r="W35" s="30">
        <f t="shared" ref="W35:X38" si="27">W10+W20+W25+W30</f>
        <v>0</v>
      </c>
      <c r="X35" s="30">
        <f t="shared" si="27"/>
        <v>0</v>
      </c>
      <c r="Y35" s="31"/>
      <c r="Z35" s="30">
        <f t="shared" ref="Z35:AA38" si="28">Z10+Z20+Z25+Z30</f>
        <v>0</v>
      </c>
      <c r="AA35" s="30">
        <f t="shared" si="28"/>
        <v>0</v>
      </c>
      <c r="AB35" s="31"/>
      <c r="AC35" s="30">
        <f t="shared" ref="AC35:AD38" si="29">AC10+AC20+AC25+AC30</f>
        <v>0</v>
      </c>
      <c r="AD35" s="30">
        <f t="shared" si="29"/>
        <v>0</v>
      </c>
      <c r="AE35" s="31"/>
      <c r="AF35" s="30">
        <f t="shared" ref="AF35:AG37" si="30">AF10+AF20+AF25+AF30</f>
        <v>0</v>
      </c>
      <c r="AG35" s="30">
        <f t="shared" si="30"/>
        <v>0</v>
      </c>
      <c r="AH35" s="31"/>
      <c r="AI35" s="30">
        <f t="shared" ref="AI35:AJ37" si="31">AI10+AI20+AI25+AI30</f>
        <v>0</v>
      </c>
      <c r="AJ35" s="30">
        <f t="shared" si="31"/>
        <v>0</v>
      </c>
      <c r="AK35" s="31"/>
      <c r="AL35" s="30">
        <f t="shared" ref="AL35:AM37" si="32">AL10+AL20+AL25+AL30</f>
        <v>0</v>
      </c>
      <c r="AM35" s="30">
        <f t="shared" si="32"/>
        <v>0</v>
      </c>
      <c r="AN35" s="31"/>
      <c r="AO35" s="30">
        <f>AO10+AO20+AO25+AO30</f>
        <v>0</v>
      </c>
      <c r="AP35" s="1"/>
      <c r="AQ35" s="31"/>
      <c r="AR35" s="25"/>
      <c r="AS35" s="25"/>
    </row>
    <row r="36" spans="1:45" ht="23.25" customHeight="1" x14ac:dyDescent="0.25">
      <c r="A36" s="104"/>
      <c r="B36" s="104"/>
      <c r="C36" s="104"/>
      <c r="D36" s="29" t="s">
        <v>4</v>
      </c>
      <c r="E36" s="30">
        <f t="shared" si="20"/>
        <v>661434.1</v>
      </c>
      <c r="F36" s="30">
        <f t="shared" si="20"/>
        <v>115749.5</v>
      </c>
      <c r="G36" s="30">
        <f>F36/E36*100</f>
        <v>17.49977813360394</v>
      </c>
      <c r="H36" s="30">
        <f t="shared" si="22"/>
        <v>19060</v>
      </c>
      <c r="I36" s="30">
        <f t="shared" si="22"/>
        <v>19060</v>
      </c>
      <c r="J36" s="30">
        <f>I36/H36*100</f>
        <v>100</v>
      </c>
      <c r="K36" s="30">
        <f t="shared" si="23"/>
        <v>56516</v>
      </c>
      <c r="L36" s="30">
        <f t="shared" si="23"/>
        <v>56147.199999999997</v>
      </c>
      <c r="M36" s="30">
        <f>L36/K36*100</f>
        <v>99.347441432514685</v>
      </c>
      <c r="N36" s="30">
        <f t="shared" si="24"/>
        <v>40494</v>
      </c>
      <c r="O36" s="30">
        <f t="shared" si="24"/>
        <v>40542.300000000003</v>
      </c>
      <c r="P36" s="30">
        <f>O36/N36*100</f>
        <v>100.11927692991556</v>
      </c>
      <c r="Q36" s="30">
        <f t="shared" si="25"/>
        <v>54539</v>
      </c>
      <c r="R36" s="30">
        <f t="shared" si="25"/>
        <v>0</v>
      </c>
      <c r="S36" s="30">
        <f>R36/Q36*100</f>
        <v>0</v>
      </c>
      <c r="T36" s="30">
        <f t="shared" si="26"/>
        <v>88158.5</v>
      </c>
      <c r="U36" s="30">
        <f t="shared" si="26"/>
        <v>0</v>
      </c>
      <c r="V36" s="30">
        <f>U36/T36*100</f>
        <v>0</v>
      </c>
      <c r="W36" s="30">
        <f t="shared" si="27"/>
        <v>84137</v>
      </c>
      <c r="X36" s="30">
        <f t="shared" si="27"/>
        <v>0</v>
      </c>
      <c r="Y36" s="30">
        <f>X36/W36*100</f>
        <v>0</v>
      </c>
      <c r="Z36" s="30">
        <f t="shared" si="28"/>
        <v>64980</v>
      </c>
      <c r="AA36" s="30">
        <f t="shared" si="28"/>
        <v>0</v>
      </c>
      <c r="AB36" s="30">
        <f>AA36/Z36*100</f>
        <v>0</v>
      </c>
      <c r="AC36" s="30">
        <f t="shared" si="29"/>
        <v>45894</v>
      </c>
      <c r="AD36" s="30">
        <f t="shared" si="29"/>
        <v>0</v>
      </c>
      <c r="AE36" s="30">
        <f>AD36/AC36*100</f>
        <v>0</v>
      </c>
      <c r="AF36" s="30">
        <f t="shared" si="30"/>
        <v>45791</v>
      </c>
      <c r="AG36" s="30">
        <f t="shared" si="30"/>
        <v>0</v>
      </c>
      <c r="AH36" s="30">
        <f>AG36/AF36*100</f>
        <v>0</v>
      </c>
      <c r="AI36" s="30">
        <f t="shared" si="31"/>
        <v>47434.6</v>
      </c>
      <c r="AJ36" s="30">
        <f t="shared" si="31"/>
        <v>0</v>
      </c>
      <c r="AK36" s="30">
        <f>AJ36/AI36*100</f>
        <v>0</v>
      </c>
      <c r="AL36" s="30">
        <f t="shared" si="32"/>
        <v>47992</v>
      </c>
      <c r="AM36" s="30">
        <f t="shared" si="32"/>
        <v>0</v>
      </c>
      <c r="AN36" s="30">
        <f>AM36/AL36*100</f>
        <v>0</v>
      </c>
      <c r="AO36" s="30">
        <f>AO11+AO21+AO26+AO31</f>
        <v>66438</v>
      </c>
      <c r="AP36" s="1"/>
      <c r="AQ36" s="30">
        <f>AP36/AO36*100</f>
        <v>0</v>
      </c>
      <c r="AR36" s="25"/>
      <c r="AS36" s="25"/>
    </row>
    <row r="37" spans="1:45" ht="13.5" customHeight="1" x14ac:dyDescent="0.25">
      <c r="A37" s="104"/>
      <c r="B37" s="104"/>
      <c r="C37" s="104"/>
      <c r="D37" s="29" t="s">
        <v>43</v>
      </c>
      <c r="E37" s="30">
        <f t="shared" si="20"/>
        <v>121193.2</v>
      </c>
      <c r="F37" s="30">
        <f t="shared" si="20"/>
        <v>24230.799999999999</v>
      </c>
      <c r="G37" s="30">
        <f>F37/E37*100</f>
        <v>19.993530990187569</v>
      </c>
      <c r="H37" s="30">
        <f t="shared" si="22"/>
        <v>2754</v>
      </c>
      <c r="I37" s="30">
        <f t="shared" si="22"/>
        <v>2754</v>
      </c>
      <c r="J37" s="30">
        <f>I37/H37*100</f>
        <v>100</v>
      </c>
      <c r="K37" s="30">
        <f t="shared" si="23"/>
        <v>12486.2</v>
      </c>
      <c r="L37" s="30">
        <f t="shared" si="23"/>
        <v>12486.2</v>
      </c>
      <c r="M37" s="30">
        <f>L37/K37*100</f>
        <v>100</v>
      </c>
      <c r="N37" s="30">
        <f t="shared" si="24"/>
        <v>8990.6</v>
      </c>
      <c r="O37" s="30">
        <f t="shared" si="24"/>
        <v>8990.5999999999985</v>
      </c>
      <c r="P37" s="30">
        <f>O37/N37*100</f>
        <v>99.999999999999972</v>
      </c>
      <c r="Q37" s="30">
        <f t="shared" si="25"/>
        <v>11579</v>
      </c>
      <c r="R37" s="30">
        <f t="shared" si="25"/>
        <v>0</v>
      </c>
      <c r="S37" s="30">
        <f>R37/Q37*100</f>
        <v>0</v>
      </c>
      <c r="T37" s="30">
        <f t="shared" si="26"/>
        <v>10411</v>
      </c>
      <c r="U37" s="30">
        <f t="shared" si="26"/>
        <v>0</v>
      </c>
      <c r="V37" s="30">
        <f>U37/T37*100</f>
        <v>0</v>
      </c>
      <c r="W37" s="30">
        <f t="shared" si="27"/>
        <v>12497</v>
      </c>
      <c r="X37" s="30">
        <f t="shared" si="27"/>
        <v>0</v>
      </c>
      <c r="Y37" s="30">
        <f>X37/W37*100</f>
        <v>0</v>
      </c>
      <c r="Z37" s="30">
        <f t="shared" si="28"/>
        <v>12192</v>
      </c>
      <c r="AA37" s="30">
        <f t="shared" si="28"/>
        <v>0</v>
      </c>
      <c r="AB37" s="30">
        <f>AA37/Z37*100</f>
        <v>0</v>
      </c>
      <c r="AC37" s="30">
        <f t="shared" si="29"/>
        <v>8863</v>
      </c>
      <c r="AD37" s="30">
        <f t="shared" si="29"/>
        <v>0</v>
      </c>
      <c r="AE37" s="30">
        <f>AD37/AC37*100</f>
        <v>0</v>
      </c>
      <c r="AF37" s="30">
        <f t="shared" si="30"/>
        <v>7842</v>
      </c>
      <c r="AG37" s="30">
        <f t="shared" si="30"/>
        <v>0</v>
      </c>
      <c r="AH37" s="30">
        <f>AG37/AF37*100</f>
        <v>0</v>
      </c>
      <c r="AI37" s="30">
        <f t="shared" si="31"/>
        <v>10134</v>
      </c>
      <c r="AJ37" s="30">
        <f t="shared" si="31"/>
        <v>0</v>
      </c>
      <c r="AK37" s="30">
        <f>AJ37/AI37*100</f>
        <v>0</v>
      </c>
      <c r="AL37" s="30">
        <f t="shared" si="32"/>
        <v>9317.2000000000007</v>
      </c>
      <c r="AM37" s="30">
        <f t="shared" si="32"/>
        <v>0</v>
      </c>
      <c r="AN37" s="30">
        <f>AM37/AL37*100</f>
        <v>0</v>
      </c>
      <c r="AO37" s="30">
        <f>AO12+AO22+AO27+AO32</f>
        <v>14127.2</v>
      </c>
      <c r="AP37" s="1"/>
      <c r="AQ37" s="30">
        <f>AP37/AO37*100</f>
        <v>0</v>
      </c>
      <c r="AR37" s="25"/>
      <c r="AS37" s="25"/>
    </row>
    <row r="38" spans="1:45" ht="15" hidden="1" customHeight="1" x14ac:dyDescent="0.25">
      <c r="A38" s="104"/>
      <c r="B38" s="104"/>
      <c r="C38" s="104"/>
      <c r="D38" s="29" t="s">
        <v>21</v>
      </c>
      <c r="E38" s="30">
        <f t="shared" si="20"/>
        <v>0</v>
      </c>
      <c r="F38" s="30">
        <f t="shared" si="20"/>
        <v>0</v>
      </c>
      <c r="G38" s="31"/>
      <c r="H38" s="30">
        <f t="shared" si="22"/>
        <v>0</v>
      </c>
      <c r="I38" s="30">
        <f t="shared" si="22"/>
        <v>0</v>
      </c>
      <c r="J38" s="30"/>
      <c r="K38" s="30">
        <f t="shared" si="23"/>
        <v>0</v>
      </c>
      <c r="L38" s="30">
        <f t="shared" si="23"/>
        <v>0</v>
      </c>
      <c r="M38" s="30"/>
      <c r="N38" s="30">
        <f t="shared" si="24"/>
        <v>0</v>
      </c>
      <c r="O38" s="30">
        <f t="shared" si="24"/>
        <v>0</v>
      </c>
      <c r="P38" s="30"/>
      <c r="Q38" s="30">
        <f t="shared" si="25"/>
        <v>0</v>
      </c>
      <c r="R38" s="30">
        <f t="shared" si="25"/>
        <v>0</v>
      </c>
      <c r="S38" s="30"/>
      <c r="T38" s="30">
        <f t="shared" si="26"/>
        <v>0</v>
      </c>
      <c r="U38" s="30">
        <f t="shared" si="26"/>
        <v>0</v>
      </c>
      <c r="V38" s="30"/>
      <c r="W38" s="30">
        <f t="shared" si="27"/>
        <v>0</v>
      </c>
      <c r="X38" s="30">
        <f t="shared" si="27"/>
        <v>0</v>
      </c>
      <c r="Y38" s="30"/>
      <c r="Z38" s="30">
        <f t="shared" si="28"/>
        <v>0</v>
      </c>
      <c r="AA38" s="30">
        <f t="shared" si="28"/>
        <v>0</v>
      </c>
      <c r="AB38" s="30"/>
      <c r="AC38" s="30">
        <f t="shared" si="29"/>
        <v>0</v>
      </c>
      <c r="AD38" s="30">
        <f t="shared" si="29"/>
        <v>0</v>
      </c>
      <c r="AE38" s="30"/>
      <c r="AF38" s="30">
        <f>AF13+AF23+AF28+AF33</f>
        <v>0</v>
      </c>
      <c r="AG38" s="30"/>
      <c r="AH38" s="30"/>
      <c r="AI38" s="30">
        <f>AI13+AI23+AI28+AI33</f>
        <v>0</v>
      </c>
      <c r="AJ38" s="30"/>
      <c r="AK38" s="30"/>
      <c r="AL38" s="30">
        <f>AL13+AL23+AL28+AL33</f>
        <v>0</v>
      </c>
      <c r="AM38" s="30"/>
      <c r="AN38" s="30"/>
      <c r="AO38" s="30">
        <f>AO13+AO23+AO28+AO33</f>
        <v>0</v>
      </c>
      <c r="AP38" s="1"/>
      <c r="AQ38" s="1"/>
      <c r="AR38" s="25"/>
      <c r="AS38" s="25"/>
    </row>
    <row r="39" spans="1:45" ht="15.75" x14ac:dyDescent="0.25">
      <c r="A39" s="94" t="s">
        <v>46</v>
      </c>
      <c r="B39" s="23" t="s">
        <v>6</v>
      </c>
      <c r="C39" s="23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3"/>
      <c r="AQ39" s="23"/>
      <c r="AR39" s="25"/>
      <c r="AS39" s="25"/>
    </row>
    <row r="40" spans="1:45" ht="14.45" customHeight="1" x14ac:dyDescent="0.25">
      <c r="A40" s="101" t="s">
        <v>45</v>
      </c>
      <c r="B40" s="101" t="s">
        <v>84</v>
      </c>
      <c r="C40" s="101" t="s">
        <v>145</v>
      </c>
      <c r="D40" s="26" t="s">
        <v>3</v>
      </c>
      <c r="E40" s="1">
        <f t="shared" ref="E40:F56" si="33">H40+K40+N40+Q40+T40+W40+Z40+AC40+AF40+AI40+AL40+AO40</f>
        <v>0</v>
      </c>
      <c r="F40" s="1">
        <f t="shared" si="33"/>
        <v>0</v>
      </c>
      <c r="G40" s="1"/>
      <c r="H40" s="1">
        <f>H41+H42+H43+H44</f>
        <v>0</v>
      </c>
      <c r="I40" s="1"/>
      <c r="J40" s="1"/>
      <c r="K40" s="1">
        <f t="shared" ref="K40:AO40" si="34">K41+K42+K43+K44</f>
        <v>0</v>
      </c>
      <c r="L40" s="1"/>
      <c r="M40" s="1"/>
      <c r="N40" s="1">
        <f t="shared" si="34"/>
        <v>0</v>
      </c>
      <c r="O40" s="1"/>
      <c r="P40" s="1"/>
      <c r="Q40" s="1">
        <f t="shared" si="34"/>
        <v>0</v>
      </c>
      <c r="R40" s="1"/>
      <c r="S40" s="1"/>
      <c r="T40" s="1">
        <f t="shared" si="34"/>
        <v>0</v>
      </c>
      <c r="U40" s="1"/>
      <c r="V40" s="1"/>
      <c r="W40" s="1">
        <f t="shared" si="34"/>
        <v>0</v>
      </c>
      <c r="X40" s="1"/>
      <c r="Y40" s="1"/>
      <c r="Z40" s="1">
        <f t="shared" si="34"/>
        <v>0</v>
      </c>
      <c r="AA40" s="1"/>
      <c r="AB40" s="1"/>
      <c r="AC40" s="1">
        <f t="shared" si="34"/>
        <v>0</v>
      </c>
      <c r="AD40" s="1">
        <f t="shared" si="34"/>
        <v>0</v>
      </c>
      <c r="AE40" s="1"/>
      <c r="AF40" s="1">
        <f t="shared" si="34"/>
        <v>0</v>
      </c>
      <c r="AG40" s="1"/>
      <c r="AH40" s="1"/>
      <c r="AI40" s="1">
        <f t="shared" si="34"/>
        <v>0</v>
      </c>
      <c r="AJ40" s="1"/>
      <c r="AK40" s="1"/>
      <c r="AL40" s="1">
        <f t="shared" si="34"/>
        <v>0</v>
      </c>
      <c r="AM40" s="1"/>
      <c r="AN40" s="1"/>
      <c r="AO40" s="1">
        <f t="shared" si="34"/>
        <v>0</v>
      </c>
      <c r="AP40" s="1"/>
      <c r="AQ40" s="1"/>
      <c r="AR40" s="25"/>
      <c r="AS40" s="25"/>
    </row>
    <row r="41" spans="1:45" x14ac:dyDescent="0.25">
      <c r="A41" s="101"/>
      <c r="B41" s="101"/>
      <c r="C41" s="101"/>
      <c r="D41" s="26" t="s">
        <v>20</v>
      </c>
      <c r="E41" s="1">
        <f t="shared" si="33"/>
        <v>0</v>
      </c>
      <c r="F41" s="1">
        <f t="shared" si="33"/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25"/>
      <c r="AS41" s="25"/>
    </row>
    <row r="42" spans="1:45" ht="24" x14ac:dyDescent="0.25">
      <c r="A42" s="101"/>
      <c r="B42" s="101"/>
      <c r="C42" s="101"/>
      <c r="D42" s="26" t="s">
        <v>4</v>
      </c>
      <c r="E42" s="1">
        <f t="shared" si="33"/>
        <v>0</v>
      </c>
      <c r="F42" s="1">
        <f t="shared" si="33"/>
        <v>0</v>
      </c>
      <c r="G42" s="1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25"/>
      <c r="AS42" s="25"/>
    </row>
    <row r="43" spans="1:45" x14ac:dyDescent="0.25">
      <c r="A43" s="101"/>
      <c r="B43" s="101"/>
      <c r="C43" s="101"/>
      <c r="D43" s="26" t="s">
        <v>43</v>
      </c>
      <c r="E43" s="1">
        <f t="shared" si="33"/>
        <v>0</v>
      </c>
      <c r="F43" s="1">
        <f t="shared" si="33"/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25"/>
      <c r="AS43" s="25"/>
    </row>
    <row r="44" spans="1:45" x14ac:dyDescent="0.25">
      <c r="A44" s="101"/>
      <c r="B44" s="101"/>
      <c r="C44" s="101"/>
      <c r="D44" s="26" t="s">
        <v>21</v>
      </c>
      <c r="E44" s="1">
        <f t="shared" si="33"/>
        <v>0</v>
      </c>
      <c r="F44" s="1">
        <f t="shared" si="33"/>
        <v>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25"/>
      <c r="AS44" s="25"/>
    </row>
    <row r="45" spans="1:45" ht="14.45" customHeight="1" x14ac:dyDescent="0.25">
      <c r="A45" s="98" t="s">
        <v>47</v>
      </c>
      <c r="B45" s="98" t="s">
        <v>85</v>
      </c>
      <c r="C45" s="98" t="s">
        <v>113</v>
      </c>
      <c r="D45" s="26" t="s">
        <v>3</v>
      </c>
      <c r="E45" s="1">
        <f>H45+K45+N45+Q45+T45+W45+Z45+AC45+AF45+AI45+AL45+AO45</f>
        <v>93287.9</v>
      </c>
      <c r="F45" s="1">
        <f>I45+L45+O45+R45+U45+X45+AA45+AD45+AG45+AJ45+AM45+AP45</f>
        <v>0</v>
      </c>
      <c r="G45" s="1"/>
      <c r="H45" s="1">
        <f>H46+H47+H48+H49</f>
        <v>0</v>
      </c>
      <c r="I45" s="1"/>
      <c r="J45" s="1"/>
      <c r="K45" s="1">
        <f t="shared" ref="K45:AO45" si="35">K46+K47+K48+K49</f>
        <v>0</v>
      </c>
      <c r="L45" s="1"/>
      <c r="M45" s="1"/>
      <c r="N45" s="1">
        <f t="shared" si="35"/>
        <v>0</v>
      </c>
      <c r="O45" s="1">
        <f t="shared" si="35"/>
        <v>0</v>
      </c>
      <c r="P45" s="1"/>
      <c r="Q45" s="1">
        <f t="shared" si="35"/>
        <v>0</v>
      </c>
      <c r="R45" s="1">
        <f t="shared" si="35"/>
        <v>0</v>
      </c>
      <c r="S45" s="1"/>
      <c r="T45" s="1">
        <f t="shared" si="35"/>
        <v>0</v>
      </c>
      <c r="U45" s="1">
        <f t="shared" si="35"/>
        <v>0</v>
      </c>
      <c r="V45" s="1" t="e">
        <f>U45/T45*100</f>
        <v>#DIV/0!</v>
      </c>
      <c r="W45" s="1">
        <f t="shared" si="35"/>
        <v>0</v>
      </c>
      <c r="X45" s="1">
        <f t="shared" si="35"/>
        <v>0</v>
      </c>
      <c r="Y45" s="1" t="e">
        <f>X45/W45*100</f>
        <v>#DIV/0!</v>
      </c>
      <c r="Z45" s="1">
        <f t="shared" si="35"/>
        <v>31185</v>
      </c>
      <c r="AA45" s="1">
        <f t="shared" si="35"/>
        <v>0</v>
      </c>
      <c r="AB45" s="1"/>
      <c r="AC45" s="1">
        <f t="shared" si="35"/>
        <v>0</v>
      </c>
      <c r="AD45" s="1">
        <f t="shared" si="35"/>
        <v>0</v>
      </c>
      <c r="AE45" s="1"/>
      <c r="AF45" s="1">
        <f t="shared" si="35"/>
        <v>0</v>
      </c>
      <c r="AG45" s="1">
        <f t="shared" si="35"/>
        <v>0</v>
      </c>
      <c r="AH45" s="1"/>
      <c r="AI45" s="1">
        <f t="shared" si="35"/>
        <v>0</v>
      </c>
      <c r="AJ45" s="1">
        <f t="shared" si="35"/>
        <v>0</v>
      </c>
      <c r="AK45" s="1"/>
      <c r="AL45" s="1">
        <f t="shared" si="35"/>
        <v>49850</v>
      </c>
      <c r="AM45" s="1">
        <f t="shared" si="35"/>
        <v>0</v>
      </c>
      <c r="AN45" s="1">
        <f>AM45/AL45*100</f>
        <v>0</v>
      </c>
      <c r="AO45" s="1">
        <f t="shared" si="35"/>
        <v>12252.9</v>
      </c>
      <c r="AP45" s="1"/>
      <c r="AQ45" s="1"/>
      <c r="AR45" s="33"/>
      <c r="AS45" s="33"/>
    </row>
    <row r="46" spans="1:45" x14ac:dyDescent="0.25">
      <c r="A46" s="99"/>
      <c r="B46" s="99"/>
      <c r="C46" s="99"/>
      <c r="D46" s="26" t="s">
        <v>20</v>
      </c>
      <c r="E46" s="1">
        <f t="shared" si="33"/>
        <v>0</v>
      </c>
      <c r="F46" s="1">
        <f t="shared" si="33"/>
        <v>0</v>
      </c>
      <c r="G46" s="1"/>
      <c r="H46" s="1"/>
      <c r="I46" s="1"/>
      <c r="J46" s="1"/>
      <c r="K46" s="1"/>
      <c r="L46" s="1"/>
      <c r="M46" s="1"/>
      <c r="N46" s="1"/>
      <c r="O46" s="1"/>
      <c r="P46" s="27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>
        <v>0</v>
      </c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3"/>
      <c r="AS46" s="3"/>
    </row>
    <row r="47" spans="1:45" ht="24" x14ac:dyDescent="0.25">
      <c r="A47" s="99"/>
      <c r="B47" s="99"/>
      <c r="C47" s="99"/>
      <c r="D47" s="26" t="s">
        <v>4</v>
      </c>
      <c r="E47" s="1">
        <f t="shared" si="33"/>
        <v>0</v>
      </c>
      <c r="F47" s="1">
        <f t="shared" si="33"/>
        <v>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3"/>
      <c r="AS47" s="3"/>
    </row>
    <row r="48" spans="1:45" x14ac:dyDescent="0.25">
      <c r="A48" s="99"/>
      <c r="B48" s="99"/>
      <c r="C48" s="99"/>
      <c r="D48" s="26" t="s">
        <v>43</v>
      </c>
      <c r="E48" s="1">
        <f t="shared" si="33"/>
        <v>93287.9</v>
      </c>
      <c r="F48" s="1">
        <f t="shared" si="33"/>
        <v>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 t="e">
        <f>U48/T48*100</f>
        <v>#DIV/0!</v>
      </c>
      <c r="W48" s="1"/>
      <c r="X48" s="1"/>
      <c r="Y48" s="1" t="e">
        <f>X48/W48*100</f>
        <v>#DIV/0!</v>
      </c>
      <c r="Z48" s="1">
        <v>31185</v>
      </c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>
        <v>49850</v>
      </c>
      <c r="AM48" s="1"/>
      <c r="AN48" s="1"/>
      <c r="AO48" s="1">
        <v>12252.9</v>
      </c>
      <c r="AP48" s="1"/>
      <c r="AQ48" s="1"/>
      <c r="AR48" s="3"/>
      <c r="AS48" s="3"/>
    </row>
    <row r="49" spans="1:45" ht="15" customHeight="1" x14ac:dyDescent="0.25">
      <c r="A49" s="99"/>
      <c r="B49" s="99"/>
      <c r="C49" s="99"/>
      <c r="D49" s="26" t="s">
        <v>21</v>
      </c>
      <c r="E49" s="1">
        <f t="shared" si="33"/>
        <v>0</v>
      </c>
      <c r="F49" s="1">
        <f t="shared" si="33"/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33"/>
      <c r="AS49" s="2"/>
    </row>
    <row r="50" spans="1:45" ht="15" hidden="1" customHeight="1" x14ac:dyDescent="0.25">
      <c r="A50" s="100"/>
      <c r="B50" s="100"/>
      <c r="C50" s="100"/>
      <c r="D50" s="29" t="s">
        <v>115</v>
      </c>
      <c r="E50" s="1"/>
      <c r="F50" s="1">
        <f t="shared" si="33"/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2"/>
      <c r="AS50" s="2"/>
    </row>
    <row r="51" spans="1:45" ht="23.25" customHeight="1" x14ac:dyDescent="0.25">
      <c r="A51" s="101" t="s">
        <v>48</v>
      </c>
      <c r="B51" s="101" t="s">
        <v>118</v>
      </c>
      <c r="C51" s="101" t="s">
        <v>160</v>
      </c>
      <c r="D51" s="26" t="s">
        <v>3</v>
      </c>
      <c r="E51" s="1">
        <f t="shared" si="33"/>
        <v>1247990.3999999999</v>
      </c>
      <c r="F51" s="1">
        <f t="shared" si="33"/>
        <v>0</v>
      </c>
      <c r="G51" s="1">
        <f>F51/E51*100</f>
        <v>0</v>
      </c>
      <c r="H51" s="1">
        <f>H52+H53+H54+H55</f>
        <v>0</v>
      </c>
      <c r="I51" s="1">
        <f>I52+I53+I54+I55</f>
        <v>0</v>
      </c>
      <c r="J51" s="1"/>
      <c r="K51" s="1">
        <f>K52+K53+K54+K55</f>
        <v>0</v>
      </c>
      <c r="L51" s="1">
        <f>L52+L53+L54+L55</f>
        <v>0</v>
      </c>
      <c r="M51" s="1"/>
      <c r="N51" s="1">
        <f>N52+N53+N54+N55</f>
        <v>0</v>
      </c>
      <c r="O51" s="1">
        <f>O52+O53+O54+O55</f>
        <v>0</v>
      </c>
      <c r="P51" s="1"/>
      <c r="Q51" s="1">
        <f>Q52+Q53+Q54+Q55</f>
        <v>286186.7</v>
      </c>
      <c r="R51" s="1">
        <f>R52+R53+R54+R55</f>
        <v>0</v>
      </c>
      <c r="S51" s="1"/>
      <c r="T51" s="1">
        <f>T52+T53+T54+T55</f>
        <v>177686.5</v>
      </c>
      <c r="U51" s="1">
        <f>U52+U53+U54+U55</f>
        <v>0</v>
      </c>
      <c r="V51" s="1"/>
      <c r="W51" s="1">
        <f>W52+W53+W54+W55</f>
        <v>164466.70000000001</v>
      </c>
      <c r="X51" s="1">
        <f>X52+X53+X54+X55</f>
        <v>0</v>
      </c>
      <c r="Y51" s="1"/>
      <c r="Z51" s="1">
        <f t="shared" ref="Z51:AA51" si="36">Z52+Z53+Z54+Z55</f>
        <v>185859.20000000001</v>
      </c>
      <c r="AA51" s="1">
        <f t="shared" si="36"/>
        <v>0</v>
      </c>
      <c r="AB51" s="1"/>
      <c r="AC51" s="1">
        <f>AC56+AC61</f>
        <v>126123.7</v>
      </c>
      <c r="AD51" s="1">
        <f>AD56+AD61</f>
        <v>0</v>
      </c>
      <c r="AE51" s="1"/>
      <c r="AF51" s="1">
        <f>AF52+AF53+AF54+AF55</f>
        <v>160023.69999999998</v>
      </c>
      <c r="AG51" s="1">
        <f>AG52+AG53+AG54+AG55</f>
        <v>0</v>
      </c>
      <c r="AH51" s="1">
        <f>AG51/AF51*100</f>
        <v>0</v>
      </c>
      <c r="AI51" s="1">
        <f>AI52+AI53+AI54+AI55</f>
        <v>147643.9</v>
      </c>
      <c r="AJ51" s="1">
        <f>AJ52+AJ53+AJ54+AJ55</f>
        <v>0</v>
      </c>
      <c r="AK51" s="1"/>
      <c r="AL51" s="1">
        <f>AL52+AL53+AL54+AL55</f>
        <v>0</v>
      </c>
      <c r="AM51" s="1">
        <f>AM52+AM53+AM54+AM55</f>
        <v>0</v>
      </c>
      <c r="AN51" s="1" t="e">
        <f>AM51/AL51*100</f>
        <v>#DIV/0!</v>
      </c>
      <c r="AO51" s="1">
        <f>AO52+AO53+AO54+AO55</f>
        <v>0</v>
      </c>
      <c r="AP51" s="1">
        <f>AP52+AP53+AP54+AP55</f>
        <v>0</v>
      </c>
      <c r="AQ51" s="1"/>
      <c r="AR51" s="25"/>
      <c r="AS51" s="25"/>
    </row>
    <row r="52" spans="1:45" ht="23.25" customHeight="1" x14ac:dyDescent="0.25">
      <c r="A52" s="101"/>
      <c r="B52" s="101"/>
      <c r="C52" s="101"/>
      <c r="D52" s="26" t="s">
        <v>20</v>
      </c>
      <c r="E52" s="1">
        <f t="shared" si="33"/>
        <v>107169.29999999999</v>
      </c>
      <c r="F52" s="1">
        <f t="shared" si="33"/>
        <v>0</v>
      </c>
      <c r="G52" s="1">
        <f>F52/E52*100</f>
        <v>0</v>
      </c>
      <c r="H52" s="1">
        <f>H57+H62</f>
        <v>0</v>
      </c>
      <c r="I52" s="1">
        <f>I57+I62</f>
        <v>0</v>
      </c>
      <c r="J52" s="1"/>
      <c r="K52" s="1">
        <f>K57+K62</f>
        <v>0</v>
      </c>
      <c r="L52" s="1">
        <f>L57+L62</f>
        <v>0</v>
      </c>
      <c r="M52" s="27"/>
      <c r="N52" s="1">
        <f>N57+N62</f>
        <v>0</v>
      </c>
      <c r="O52" s="1">
        <f>O57+O62</f>
        <v>0</v>
      </c>
      <c r="P52" s="1"/>
      <c r="Q52" s="1">
        <f>Q57+Q62</f>
        <v>47630.8</v>
      </c>
      <c r="R52" s="1">
        <f>R57+R62</f>
        <v>0</v>
      </c>
      <c r="S52" s="1"/>
      <c r="T52" s="1">
        <f>T57+T62</f>
        <v>35723.1</v>
      </c>
      <c r="U52" s="1">
        <f>U57+U62</f>
        <v>0</v>
      </c>
      <c r="V52" s="1"/>
      <c r="W52" s="1">
        <f>W57+W62</f>
        <v>23815.399999999998</v>
      </c>
      <c r="X52" s="1">
        <f>X57+X62</f>
        <v>0</v>
      </c>
      <c r="Y52" s="1"/>
      <c r="Z52" s="1">
        <f>Z57+Z62</f>
        <v>0</v>
      </c>
      <c r="AA52" s="1">
        <f>AA57+AA62</f>
        <v>0</v>
      </c>
      <c r="AB52" s="1"/>
      <c r="AC52" s="1">
        <f t="shared" ref="AC52:AD55" si="37">AC57+AC62</f>
        <v>0</v>
      </c>
      <c r="AD52" s="1">
        <f t="shared" si="37"/>
        <v>0</v>
      </c>
      <c r="AE52" s="1"/>
      <c r="AF52" s="1">
        <f>AF57+AF62</f>
        <v>0</v>
      </c>
      <c r="AG52" s="1">
        <f>AG57+AG62</f>
        <v>0</v>
      </c>
      <c r="AH52" s="1"/>
      <c r="AI52" s="1">
        <f>AI57+AI62</f>
        <v>0</v>
      </c>
      <c r="AJ52" s="1">
        <f>AJ57+AJ62</f>
        <v>0</v>
      </c>
      <c r="AK52" s="1"/>
      <c r="AL52" s="1">
        <f>AL57+AL62</f>
        <v>0</v>
      </c>
      <c r="AM52" s="1">
        <f>AM57+AM62</f>
        <v>0</v>
      </c>
      <c r="AN52" s="1"/>
      <c r="AO52" s="1">
        <f>AO57+AO62</f>
        <v>0</v>
      </c>
      <c r="AP52" s="1">
        <f>AP57+AP62</f>
        <v>0</v>
      </c>
      <c r="AQ52" s="1"/>
      <c r="AR52" s="25"/>
      <c r="AS52" s="25"/>
    </row>
    <row r="53" spans="1:45" ht="23.25" customHeight="1" x14ac:dyDescent="0.25">
      <c r="A53" s="101"/>
      <c r="B53" s="101"/>
      <c r="C53" s="101"/>
      <c r="D53" s="26" t="s">
        <v>4</v>
      </c>
      <c r="E53" s="1">
        <f t="shared" si="33"/>
        <v>1016022</v>
      </c>
      <c r="F53" s="1">
        <f t="shared" si="33"/>
        <v>0</v>
      </c>
      <c r="G53" s="1">
        <f>F53/E53*100</f>
        <v>0</v>
      </c>
      <c r="H53" s="1">
        <f t="shared" ref="H53:I55" si="38">H58+H63</f>
        <v>0</v>
      </c>
      <c r="I53" s="1">
        <f t="shared" si="38"/>
        <v>0</v>
      </c>
      <c r="J53" s="1"/>
      <c r="K53" s="1">
        <f t="shared" ref="K53:L55" si="39">K58+K63</f>
        <v>0</v>
      </c>
      <c r="L53" s="1">
        <f t="shared" si="39"/>
        <v>0</v>
      </c>
      <c r="M53" s="1"/>
      <c r="N53" s="1">
        <f t="shared" ref="N53:O55" si="40">N58+N63</f>
        <v>0</v>
      </c>
      <c r="O53" s="1">
        <f t="shared" si="40"/>
        <v>0</v>
      </c>
      <c r="P53" s="1"/>
      <c r="Q53" s="1">
        <f t="shared" ref="Q53:R55" si="41">Q58+Q63</f>
        <v>200390.5</v>
      </c>
      <c r="R53" s="1">
        <f t="shared" si="41"/>
        <v>0</v>
      </c>
      <c r="S53" s="1"/>
      <c r="T53" s="1">
        <f t="shared" ref="T53:U55" si="42">T58+T63</f>
        <v>124194.8</v>
      </c>
      <c r="U53" s="1">
        <f t="shared" si="42"/>
        <v>0</v>
      </c>
      <c r="V53" s="1"/>
      <c r="W53" s="1">
        <f t="shared" ref="W53:X55" si="43">W58+W63</f>
        <v>124204.59999999999</v>
      </c>
      <c r="X53" s="1">
        <f t="shared" si="43"/>
        <v>0</v>
      </c>
      <c r="Y53" s="1"/>
      <c r="Z53" s="1">
        <f t="shared" ref="Z53:AA55" si="44">Z58+Z63</f>
        <v>176820</v>
      </c>
      <c r="AA53" s="1">
        <f t="shared" si="44"/>
        <v>0</v>
      </c>
      <c r="AB53" s="1"/>
      <c r="AC53" s="1">
        <f t="shared" si="37"/>
        <v>113511.3</v>
      </c>
      <c r="AD53" s="1">
        <f t="shared" si="37"/>
        <v>0</v>
      </c>
      <c r="AE53" s="1"/>
      <c r="AF53" s="1">
        <f t="shared" ref="AF53:AG55" si="45">AF58+AF63</f>
        <v>144021.29999999999</v>
      </c>
      <c r="AG53" s="1">
        <f t="shared" si="45"/>
        <v>0</v>
      </c>
      <c r="AH53" s="1">
        <f>AG53/AF53*100</f>
        <v>0</v>
      </c>
      <c r="AI53" s="1">
        <f t="shared" ref="AI53:AJ55" si="46">AI58+AI63</f>
        <v>132879.5</v>
      </c>
      <c r="AJ53" s="1">
        <f t="shared" si="46"/>
        <v>0</v>
      </c>
      <c r="AK53" s="1"/>
      <c r="AL53" s="1">
        <f t="shared" ref="AL53:AM55" si="47">AL58+AL63</f>
        <v>0</v>
      </c>
      <c r="AM53" s="1">
        <f t="shared" si="47"/>
        <v>0</v>
      </c>
      <c r="AN53" s="1" t="e">
        <f>AM53/AL53*100</f>
        <v>#DIV/0!</v>
      </c>
      <c r="AO53" s="1">
        <f t="shared" ref="AO53:AP55" si="48">AO58+AO63</f>
        <v>0</v>
      </c>
      <c r="AP53" s="1">
        <f t="shared" si="48"/>
        <v>0</v>
      </c>
      <c r="AQ53" s="1"/>
      <c r="AR53" s="25"/>
      <c r="AS53" s="25"/>
    </row>
    <row r="54" spans="1:45" ht="23.25" customHeight="1" x14ac:dyDescent="0.25">
      <c r="A54" s="101"/>
      <c r="B54" s="101"/>
      <c r="C54" s="101"/>
      <c r="D54" s="26" t="s">
        <v>43</v>
      </c>
      <c r="E54" s="1">
        <f t="shared" si="33"/>
        <v>124799.09999999998</v>
      </c>
      <c r="F54" s="1">
        <f t="shared" si="33"/>
        <v>0</v>
      </c>
      <c r="G54" s="1">
        <f>F54/E54*100</f>
        <v>0</v>
      </c>
      <c r="H54" s="1">
        <f t="shared" si="38"/>
        <v>0</v>
      </c>
      <c r="I54" s="1">
        <f t="shared" si="38"/>
        <v>0</v>
      </c>
      <c r="J54" s="1"/>
      <c r="K54" s="1">
        <f t="shared" si="39"/>
        <v>0</v>
      </c>
      <c r="L54" s="1">
        <f t="shared" si="39"/>
        <v>0</v>
      </c>
      <c r="M54" s="1"/>
      <c r="N54" s="1">
        <f t="shared" si="40"/>
        <v>0</v>
      </c>
      <c r="O54" s="1">
        <f t="shared" si="40"/>
        <v>0</v>
      </c>
      <c r="P54" s="1"/>
      <c r="Q54" s="1">
        <f t="shared" si="41"/>
        <v>38165.4</v>
      </c>
      <c r="R54" s="1">
        <f t="shared" si="41"/>
        <v>0</v>
      </c>
      <c r="S54" s="1"/>
      <c r="T54" s="1">
        <f t="shared" si="42"/>
        <v>17768.599999999999</v>
      </c>
      <c r="U54" s="1">
        <f t="shared" si="42"/>
        <v>0</v>
      </c>
      <c r="V54" s="1"/>
      <c r="W54" s="1">
        <f t="shared" si="43"/>
        <v>16446.7</v>
      </c>
      <c r="X54" s="1">
        <f t="shared" si="43"/>
        <v>0</v>
      </c>
      <c r="Y54" s="1"/>
      <c r="Z54" s="1">
        <f t="shared" si="44"/>
        <v>9039.2000000000007</v>
      </c>
      <c r="AA54" s="1">
        <f t="shared" si="44"/>
        <v>0</v>
      </c>
      <c r="AB54" s="1"/>
      <c r="AC54" s="1">
        <f t="shared" si="37"/>
        <v>12612.4</v>
      </c>
      <c r="AD54" s="1">
        <f t="shared" si="37"/>
        <v>0</v>
      </c>
      <c r="AE54" s="1"/>
      <c r="AF54" s="1">
        <f t="shared" si="45"/>
        <v>16002.4</v>
      </c>
      <c r="AG54" s="1">
        <f t="shared" si="45"/>
        <v>0</v>
      </c>
      <c r="AH54" s="1">
        <f>AG54/AF54*100</f>
        <v>0</v>
      </c>
      <c r="AI54" s="1">
        <f t="shared" si="46"/>
        <v>14764.4</v>
      </c>
      <c r="AJ54" s="1">
        <f t="shared" si="46"/>
        <v>0</v>
      </c>
      <c r="AK54" s="1"/>
      <c r="AL54" s="1">
        <f t="shared" si="47"/>
        <v>0</v>
      </c>
      <c r="AM54" s="1">
        <f t="shared" si="47"/>
        <v>0</v>
      </c>
      <c r="AN54" s="1" t="e">
        <f>AM54/AL54*100</f>
        <v>#DIV/0!</v>
      </c>
      <c r="AO54" s="1">
        <f t="shared" si="48"/>
        <v>0</v>
      </c>
      <c r="AP54" s="1">
        <f t="shared" si="48"/>
        <v>0</v>
      </c>
      <c r="AQ54" s="1"/>
      <c r="AR54" s="94"/>
      <c r="AS54" s="94"/>
    </row>
    <row r="55" spans="1:45" ht="23.25" customHeight="1" x14ac:dyDescent="0.25">
      <c r="A55" s="101"/>
      <c r="B55" s="101"/>
      <c r="C55" s="101"/>
      <c r="D55" s="26" t="s">
        <v>21</v>
      </c>
      <c r="E55" s="1">
        <f t="shared" si="33"/>
        <v>0</v>
      </c>
      <c r="F55" s="1">
        <f t="shared" si="33"/>
        <v>0</v>
      </c>
      <c r="G55" s="27"/>
      <c r="H55" s="1">
        <f t="shared" si="38"/>
        <v>0</v>
      </c>
      <c r="I55" s="1">
        <f t="shared" si="38"/>
        <v>0</v>
      </c>
      <c r="J55" s="1"/>
      <c r="K55" s="1">
        <f t="shared" si="39"/>
        <v>0</v>
      </c>
      <c r="L55" s="1">
        <f t="shared" si="39"/>
        <v>0</v>
      </c>
      <c r="M55" s="27"/>
      <c r="N55" s="1">
        <f t="shared" si="40"/>
        <v>0</v>
      </c>
      <c r="O55" s="1">
        <f t="shared" si="40"/>
        <v>0</v>
      </c>
      <c r="P55" s="1"/>
      <c r="Q55" s="1">
        <f t="shared" si="41"/>
        <v>0</v>
      </c>
      <c r="R55" s="1">
        <f t="shared" si="41"/>
        <v>0</v>
      </c>
      <c r="S55" s="1"/>
      <c r="T55" s="1">
        <f t="shared" si="42"/>
        <v>0</v>
      </c>
      <c r="U55" s="1">
        <f t="shared" si="42"/>
        <v>0</v>
      </c>
      <c r="V55" s="1"/>
      <c r="W55" s="1">
        <f t="shared" si="43"/>
        <v>0</v>
      </c>
      <c r="X55" s="1">
        <f t="shared" si="43"/>
        <v>0</v>
      </c>
      <c r="Y55" s="1"/>
      <c r="Z55" s="1">
        <f t="shared" si="44"/>
        <v>0</v>
      </c>
      <c r="AA55" s="1">
        <f t="shared" si="44"/>
        <v>0</v>
      </c>
      <c r="AB55" s="1"/>
      <c r="AC55" s="1">
        <f t="shared" si="37"/>
        <v>0</v>
      </c>
      <c r="AD55" s="1"/>
      <c r="AE55" s="1"/>
      <c r="AF55" s="1">
        <f t="shared" si="45"/>
        <v>0</v>
      </c>
      <c r="AG55" s="1">
        <f t="shared" si="45"/>
        <v>0</v>
      </c>
      <c r="AH55" s="27"/>
      <c r="AI55" s="1">
        <f t="shared" si="46"/>
        <v>0</v>
      </c>
      <c r="AJ55" s="1">
        <f t="shared" si="46"/>
        <v>0</v>
      </c>
      <c r="AK55" s="1"/>
      <c r="AL55" s="1">
        <f t="shared" si="47"/>
        <v>0</v>
      </c>
      <c r="AM55" s="1">
        <f t="shared" si="47"/>
        <v>0</v>
      </c>
      <c r="AN55" s="27"/>
      <c r="AO55" s="1">
        <f t="shared" si="48"/>
        <v>0</v>
      </c>
      <c r="AP55" s="1">
        <f t="shared" si="48"/>
        <v>0</v>
      </c>
      <c r="AQ55" s="1"/>
      <c r="AR55" s="25"/>
      <c r="AS55" s="25"/>
    </row>
    <row r="56" spans="1:45" ht="16.5" customHeight="1" x14ac:dyDescent="0.25">
      <c r="A56" s="101" t="s">
        <v>116</v>
      </c>
      <c r="B56" s="101" t="s">
        <v>119</v>
      </c>
      <c r="C56" s="101" t="s">
        <v>146</v>
      </c>
      <c r="D56" s="26" t="s">
        <v>3</v>
      </c>
      <c r="E56" s="1">
        <f t="shared" si="33"/>
        <v>1247990.3999999999</v>
      </c>
      <c r="F56" s="1">
        <f t="shared" si="33"/>
        <v>0</v>
      </c>
      <c r="G56" s="1">
        <f>F56/E56*100</f>
        <v>0</v>
      </c>
      <c r="H56" s="1">
        <f>H57+H58+H59+H60</f>
        <v>0</v>
      </c>
      <c r="I56" s="1"/>
      <c r="J56" s="1"/>
      <c r="K56" s="1">
        <f t="shared" ref="K56:AO56" si="49">K57+K58+K59+K60</f>
        <v>0</v>
      </c>
      <c r="L56" s="1">
        <f t="shared" si="49"/>
        <v>0</v>
      </c>
      <c r="M56" s="1"/>
      <c r="N56" s="1">
        <f t="shared" si="49"/>
        <v>0</v>
      </c>
      <c r="O56" s="1"/>
      <c r="P56" s="1"/>
      <c r="Q56" s="1">
        <f t="shared" si="49"/>
        <v>286186.7</v>
      </c>
      <c r="R56" s="1"/>
      <c r="S56" s="1"/>
      <c r="T56" s="1">
        <f t="shared" si="49"/>
        <v>177686.5</v>
      </c>
      <c r="U56" s="1"/>
      <c r="V56" s="1"/>
      <c r="W56" s="1">
        <f t="shared" si="49"/>
        <v>164466.70000000001</v>
      </c>
      <c r="X56" s="1"/>
      <c r="Y56" s="1"/>
      <c r="Z56" s="1">
        <f t="shared" ref="Z56" si="50">Z57+Z58+Z59+Z60</f>
        <v>185859.20000000001</v>
      </c>
      <c r="AA56" s="1">
        <f t="shared" si="49"/>
        <v>0</v>
      </c>
      <c r="AB56" s="1"/>
      <c r="AC56" s="1">
        <f t="shared" si="49"/>
        <v>126123.7</v>
      </c>
      <c r="AD56" s="1">
        <f t="shared" si="49"/>
        <v>0</v>
      </c>
      <c r="AE56" s="1"/>
      <c r="AF56" s="1">
        <f t="shared" si="49"/>
        <v>160023.69999999998</v>
      </c>
      <c r="AG56" s="1"/>
      <c r="AH56" s="1">
        <f>AG56/AF56*100</f>
        <v>0</v>
      </c>
      <c r="AI56" s="1">
        <f t="shared" si="49"/>
        <v>147643.9</v>
      </c>
      <c r="AJ56" s="1">
        <f t="shared" si="49"/>
        <v>0</v>
      </c>
      <c r="AK56" s="1">
        <f>AJ56/AI56*100</f>
        <v>0</v>
      </c>
      <c r="AL56" s="1">
        <f t="shared" si="49"/>
        <v>0</v>
      </c>
      <c r="AM56" s="1">
        <f t="shared" si="49"/>
        <v>0</v>
      </c>
      <c r="AN56" s="1" t="e">
        <f>AM56/AL56*100</f>
        <v>#DIV/0!</v>
      </c>
      <c r="AO56" s="1">
        <f t="shared" si="49"/>
        <v>0</v>
      </c>
      <c r="AP56" s="1"/>
      <c r="AQ56" s="1"/>
      <c r="AR56" s="25"/>
      <c r="AS56" s="25"/>
    </row>
    <row r="57" spans="1:45" ht="15.75" customHeight="1" x14ac:dyDescent="0.25">
      <c r="A57" s="101"/>
      <c r="B57" s="101"/>
      <c r="C57" s="101"/>
      <c r="D57" s="26" t="s">
        <v>20</v>
      </c>
      <c r="E57" s="1">
        <f t="shared" ref="E57:F82" si="51">H57+K57+N57+Q57+T57+W57+Z57+AC57+AF57+AI57+AL57+AO57</f>
        <v>107169.29999999999</v>
      </c>
      <c r="F57" s="1">
        <f t="shared" si="51"/>
        <v>0</v>
      </c>
      <c r="G57" s="1">
        <f>F57/E57*100</f>
        <v>0</v>
      </c>
      <c r="H57" s="1"/>
      <c r="I57" s="1"/>
      <c r="J57" s="1"/>
      <c r="K57" s="1"/>
      <c r="L57" s="1"/>
      <c r="M57" s="27"/>
      <c r="N57" s="1"/>
      <c r="O57" s="1"/>
      <c r="P57" s="27"/>
      <c r="Q57" s="1">
        <v>47630.8</v>
      </c>
      <c r="R57" s="1"/>
      <c r="S57" s="1"/>
      <c r="T57" s="1">
        <v>35723.1</v>
      </c>
      <c r="U57" s="1"/>
      <c r="V57" s="1"/>
      <c r="W57" s="1">
        <f>35723.1-11907.7</f>
        <v>23815.399999999998</v>
      </c>
      <c r="X57" s="1"/>
      <c r="Y57" s="1"/>
      <c r="Z57" s="1">
        <v>0</v>
      </c>
      <c r="AA57" s="1"/>
      <c r="AB57" s="1"/>
      <c r="AC57" s="1">
        <v>0</v>
      </c>
      <c r="AD57" s="1"/>
      <c r="AE57" s="1"/>
      <c r="AF57" s="1">
        <v>0</v>
      </c>
      <c r="AG57" s="1"/>
      <c r="AH57" s="1"/>
      <c r="AI57" s="1">
        <v>0</v>
      </c>
      <c r="AJ57" s="1">
        <v>0</v>
      </c>
      <c r="AK57" s="1"/>
      <c r="AL57" s="1">
        <v>0</v>
      </c>
      <c r="AM57" s="1"/>
      <c r="AN57" s="1"/>
      <c r="AO57" s="1"/>
      <c r="AP57" s="1"/>
      <c r="AQ57" s="1"/>
      <c r="AR57" s="98"/>
      <c r="AS57" s="98"/>
    </row>
    <row r="58" spans="1:45" ht="24.75" customHeight="1" x14ac:dyDescent="0.25">
      <c r="A58" s="101"/>
      <c r="B58" s="101"/>
      <c r="C58" s="101"/>
      <c r="D58" s="26" t="s">
        <v>4</v>
      </c>
      <c r="E58" s="1">
        <f t="shared" si="51"/>
        <v>1016022</v>
      </c>
      <c r="F58" s="1">
        <f t="shared" si="51"/>
        <v>0</v>
      </c>
      <c r="G58" s="1">
        <f>F58/E58*100</f>
        <v>0</v>
      </c>
      <c r="H58" s="1"/>
      <c r="I58" s="1"/>
      <c r="J58" s="1"/>
      <c r="K58" s="1"/>
      <c r="L58" s="1">
        <v>0</v>
      </c>
      <c r="M58" s="1"/>
      <c r="N58" s="1"/>
      <c r="O58" s="1"/>
      <c r="P58" s="1"/>
      <c r="Q58" s="1">
        <v>200390.5</v>
      </c>
      <c r="R58" s="1"/>
      <c r="S58" s="1"/>
      <c r="T58" s="1">
        <v>124194.8</v>
      </c>
      <c r="U58" s="1"/>
      <c r="V58" s="1"/>
      <c r="W58" s="1">
        <f>112296.9+11907.7</f>
        <v>124204.59999999999</v>
      </c>
      <c r="X58" s="1"/>
      <c r="Y58" s="1"/>
      <c r="Z58" s="1">
        <v>176820</v>
      </c>
      <c r="AA58" s="1"/>
      <c r="AB58" s="1"/>
      <c r="AC58" s="1">
        <v>113511.3</v>
      </c>
      <c r="AD58" s="1"/>
      <c r="AE58" s="1"/>
      <c r="AF58" s="1">
        <v>144021.29999999999</v>
      </c>
      <c r="AG58" s="1"/>
      <c r="AH58" s="1">
        <f>AG58/AF58*100</f>
        <v>0</v>
      </c>
      <c r="AI58" s="1">
        <v>132879.5</v>
      </c>
      <c r="AJ58" s="1">
        <v>0</v>
      </c>
      <c r="AK58" s="1">
        <f>AJ58/AI58*100</f>
        <v>0</v>
      </c>
      <c r="AL58" s="1"/>
      <c r="AM58" s="1"/>
      <c r="AN58" s="1" t="e">
        <f>AM58/AL58*100</f>
        <v>#DIV/0!</v>
      </c>
      <c r="AO58" s="1"/>
      <c r="AP58" s="1"/>
      <c r="AQ58" s="1"/>
      <c r="AR58" s="99"/>
      <c r="AS58" s="99"/>
    </row>
    <row r="59" spans="1:45" ht="15.75" customHeight="1" x14ac:dyDescent="0.25">
      <c r="A59" s="101"/>
      <c r="B59" s="101"/>
      <c r="C59" s="101"/>
      <c r="D59" s="26" t="s">
        <v>43</v>
      </c>
      <c r="E59" s="1">
        <f t="shared" si="51"/>
        <v>124799.09999999998</v>
      </c>
      <c r="F59" s="1">
        <f t="shared" si="51"/>
        <v>0</v>
      </c>
      <c r="G59" s="1">
        <f>F59/E59*100</f>
        <v>0</v>
      </c>
      <c r="H59" s="1"/>
      <c r="I59" s="1"/>
      <c r="J59" s="1"/>
      <c r="K59" s="1"/>
      <c r="L59" s="1">
        <v>0</v>
      </c>
      <c r="M59" s="1"/>
      <c r="N59" s="1"/>
      <c r="O59" s="1"/>
      <c r="P59" s="1"/>
      <c r="Q59" s="1">
        <f>41557.9-3392.5</f>
        <v>38165.4</v>
      </c>
      <c r="R59" s="1"/>
      <c r="S59" s="1"/>
      <c r="T59" s="1">
        <v>17768.599999999999</v>
      </c>
      <c r="U59" s="1"/>
      <c r="V59" s="1"/>
      <c r="W59" s="1">
        <v>16446.7</v>
      </c>
      <c r="X59" s="1"/>
      <c r="Y59" s="1"/>
      <c r="Z59" s="1">
        <f>5646.7+3392.5</f>
        <v>9039.2000000000007</v>
      </c>
      <c r="AA59" s="1"/>
      <c r="AB59" s="1"/>
      <c r="AC59" s="1">
        <v>12612.4</v>
      </c>
      <c r="AD59" s="1"/>
      <c r="AE59" s="1"/>
      <c r="AF59" s="1">
        <f>16002.4</f>
        <v>16002.4</v>
      </c>
      <c r="AG59" s="1"/>
      <c r="AH59" s="1">
        <f>AG59/AF59*100</f>
        <v>0</v>
      </c>
      <c r="AI59" s="1">
        <v>14764.4</v>
      </c>
      <c r="AJ59" s="1">
        <v>0</v>
      </c>
      <c r="AK59" s="1">
        <f>AJ59/AI59*100</f>
        <v>0</v>
      </c>
      <c r="AL59" s="1"/>
      <c r="AM59" s="1"/>
      <c r="AN59" s="1" t="e">
        <f>AM59/AL59*100</f>
        <v>#DIV/0!</v>
      </c>
      <c r="AO59" s="1"/>
      <c r="AP59" s="1"/>
      <c r="AQ59" s="1"/>
      <c r="AR59" s="100"/>
      <c r="AS59" s="100"/>
    </row>
    <row r="60" spans="1:45" ht="17.25" customHeight="1" x14ac:dyDescent="0.25">
      <c r="A60" s="101"/>
      <c r="B60" s="101"/>
      <c r="C60" s="101"/>
      <c r="D60" s="26" t="s">
        <v>21</v>
      </c>
      <c r="E60" s="1">
        <f t="shared" si="51"/>
        <v>0</v>
      </c>
      <c r="F60" s="1">
        <f t="shared" si="51"/>
        <v>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25"/>
      <c r="AS60" s="25"/>
    </row>
    <row r="61" spans="1:45" ht="14.45" customHeight="1" x14ac:dyDescent="0.25">
      <c r="A61" s="101" t="s">
        <v>117</v>
      </c>
      <c r="B61" s="101" t="s">
        <v>120</v>
      </c>
      <c r="C61" s="101" t="s">
        <v>147</v>
      </c>
      <c r="D61" s="26" t="s">
        <v>3</v>
      </c>
      <c r="E61" s="1">
        <f t="shared" si="51"/>
        <v>0</v>
      </c>
      <c r="F61" s="1">
        <f t="shared" si="51"/>
        <v>0</v>
      </c>
      <c r="G61" s="1"/>
      <c r="H61" s="1">
        <f>H62+H63+H64+H65</f>
        <v>0</v>
      </c>
      <c r="I61" s="1"/>
      <c r="J61" s="1"/>
      <c r="K61" s="1">
        <f t="shared" ref="K61" si="52">K62+K63+K64+K65</f>
        <v>0</v>
      </c>
      <c r="L61" s="1"/>
      <c r="M61" s="1"/>
      <c r="N61" s="1">
        <f t="shared" ref="N61" si="53">N62+N63+N64+N65</f>
        <v>0</v>
      </c>
      <c r="O61" s="1"/>
      <c r="P61" s="1"/>
      <c r="Q61" s="1">
        <f t="shared" ref="Q61" si="54">Q62+Q63+Q64+Q65</f>
        <v>0</v>
      </c>
      <c r="R61" s="1"/>
      <c r="S61" s="1"/>
      <c r="T61" s="1">
        <f t="shared" ref="T61" si="55">T62+T63+T64+T65</f>
        <v>0</v>
      </c>
      <c r="U61" s="1"/>
      <c r="V61" s="1"/>
      <c r="W61" s="1">
        <f t="shared" ref="W61" si="56">W62+W63+W64+W65</f>
        <v>0</v>
      </c>
      <c r="X61" s="1"/>
      <c r="Y61" s="1"/>
      <c r="Z61" s="1">
        <f t="shared" ref="Z61" si="57">Z62+Z63+Z64+Z65</f>
        <v>0</v>
      </c>
      <c r="AA61" s="1"/>
      <c r="AB61" s="1"/>
      <c r="AC61" s="1">
        <f t="shared" ref="AC61" si="58">AC62+AC63+AC64+AC65</f>
        <v>0</v>
      </c>
      <c r="AD61" s="1"/>
      <c r="AE61" s="1"/>
      <c r="AF61" s="1">
        <f t="shared" ref="AF61" si="59">AF62+AF63+AF64+AF65</f>
        <v>0</v>
      </c>
      <c r="AG61" s="1"/>
      <c r="AH61" s="1"/>
      <c r="AI61" s="1">
        <f t="shared" ref="AI61:AJ61" si="60">AI62+AI63+AI64+AI65</f>
        <v>0</v>
      </c>
      <c r="AJ61" s="1">
        <f t="shared" si="60"/>
        <v>0</v>
      </c>
      <c r="AK61" s="1"/>
      <c r="AL61" s="1">
        <f t="shared" ref="AL61" si="61">AL62+AL63+AL64+AL65</f>
        <v>0</v>
      </c>
      <c r="AM61" s="1"/>
      <c r="AN61" s="1"/>
      <c r="AO61" s="1">
        <f t="shared" ref="AO61" si="62">AO62+AO63+AO64+AO65</f>
        <v>0</v>
      </c>
      <c r="AP61" s="1"/>
      <c r="AQ61" s="1"/>
      <c r="AR61" s="25"/>
      <c r="AS61" s="25"/>
    </row>
    <row r="62" spans="1:45" ht="15" customHeight="1" x14ac:dyDescent="0.25">
      <c r="A62" s="101"/>
      <c r="B62" s="101"/>
      <c r="C62" s="101"/>
      <c r="D62" s="26" t="s">
        <v>20</v>
      </c>
      <c r="E62" s="1">
        <f t="shared" si="51"/>
        <v>0</v>
      </c>
      <c r="F62" s="1">
        <f t="shared" si="51"/>
        <v>0</v>
      </c>
      <c r="G62" s="27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25"/>
      <c r="AS62" s="25"/>
    </row>
    <row r="63" spans="1:45" ht="24" x14ac:dyDescent="0.25">
      <c r="A63" s="101"/>
      <c r="B63" s="101"/>
      <c r="C63" s="101"/>
      <c r="D63" s="26" t="s">
        <v>4</v>
      </c>
      <c r="E63" s="1">
        <f t="shared" si="51"/>
        <v>0</v>
      </c>
      <c r="F63" s="1">
        <f t="shared" si="51"/>
        <v>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25"/>
      <c r="AS63" s="25"/>
    </row>
    <row r="64" spans="1:45" x14ac:dyDescent="0.25">
      <c r="A64" s="101"/>
      <c r="B64" s="101"/>
      <c r="C64" s="101"/>
      <c r="D64" s="26" t="s">
        <v>43</v>
      </c>
      <c r="E64" s="1">
        <f t="shared" si="51"/>
        <v>0</v>
      </c>
      <c r="F64" s="1">
        <f t="shared" si="51"/>
        <v>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94"/>
      <c r="AS64" s="94"/>
    </row>
    <row r="65" spans="1:45" ht="15" customHeight="1" x14ac:dyDescent="0.25">
      <c r="A65" s="101"/>
      <c r="B65" s="101"/>
      <c r="C65" s="101"/>
      <c r="D65" s="26" t="s">
        <v>21</v>
      </c>
      <c r="E65" s="1">
        <f t="shared" si="51"/>
        <v>0</v>
      </c>
      <c r="F65" s="1">
        <f t="shared" si="51"/>
        <v>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25"/>
      <c r="AS65" s="25"/>
    </row>
    <row r="66" spans="1:45" ht="13.15" customHeight="1" x14ac:dyDescent="0.25">
      <c r="A66" s="98" t="s">
        <v>49</v>
      </c>
      <c r="B66" s="98" t="s">
        <v>86</v>
      </c>
      <c r="C66" s="98" t="s">
        <v>147</v>
      </c>
      <c r="D66" s="26" t="s">
        <v>3</v>
      </c>
      <c r="E66" s="1">
        <f t="shared" si="51"/>
        <v>7945.6</v>
      </c>
      <c r="F66" s="1">
        <f t="shared" si="51"/>
        <v>136.80000000000001</v>
      </c>
      <c r="G66" s="1">
        <f>F66/E66*100</f>
        <v>1.7217076117599679</v>
      </c>
      <c r="H66" s="1">
        <f>H67+H68+H69+H70</f>
        <v>0</v>
      </c>
      <c r="I66" s="1"/>
      <c r="J66" s="1"/>
      <c r="K66" s="1">
        <f t="shared" ref="K66:AO66" si="63">K67+K68+K69+K70</f>
        <v>0</v>
      </c>
      <c r="L66" s="1">
        <f t="shared" si="63"/>
        <v>0</v>
      </c>
      <c r="M66" s="1"/>
      <c r="N66" s="1">
        <f t="shared" si="63"/>
        <v>598.80000000000007</v>
      </c>
      <c r="O66" s="1">
        <f t="shared" si="63"/>
        <v>136.80000000000001</v>
      </c>
      <c r="P66" s="1">
        <f>O66/N66*100</f>
        <v>22.84569138276553</v>
      </c>
      <c r="Q66" s="1">
        <f t="shared" si="63"/>
        <v>1573.7</v>
      </c>
      <c r="R66" s="1">
        <f t="shared" si="63"/>
        <v>0</v>
      </c>
      <c r="S66" s="1">
        <f>R66/Q66*100</f>
        <v>0</v>
      </c>
      <c r="T66" s="1">
        <f t="shared" si="63"/>
        <v>355.8</v>
      </c>
      <c r="U66" s="1">
        <f t="shared" si="63"/>
        <v>0</v>
      </c>
      <c r="V66" s="1"/>
      <c r="W66" s="1">
        <f t="shared" si="63"/>
        <v>2341.4</v>
      </c>
      <c r="X66" s="1">
        <f t="shared" si="63"/>
        <v>0</v>
      </c>
      <c r="Y66" s="1">
        <f>X66/W66*100</f>
        <v>0</v>
      </c>
      <c r="Z66" s="1">
        <f t="shared" si="63"/>
        <v>109.6</v>
      </c>
      <c r="AA66" s="1">
        <f t="shared" si="63"/>
        <v>0</v>
      </c>
      <c r="AB66" s="1">
        <f>AA66/Z66*100</f>
        <v>0</v>
      </c>
      <c r="AC66" s="1">
        <f t="shared" si="63"/>
        <v>2966.2999999999997</v>
      </c>
      <c r="AD66" s="1">
        <f t="shared" si="63"/>
        <v>0</v>
      </c>
      <c r="AE66" s="1">
        <f>AD66/AC66*100</f>
        <v>0</v>
      </c>
      <c r="AF66" s="1">
        <f t="shared" si="63"/>
        <v>0</v>
      </c>
      <c r="AG66" s="1">
        <f t="shared" si="63"/>
        <v>0</v>
      </c>
      <c r="AH66" s="1" t="e">
        <f>AG66/AF66*100</f>
        <v>#DIV/0!</v>
      </c>
      <c r="AI66" s="1">
        <f t="shared" si="63"/>
        <v>0</v>
      </c>
      <c r="AJ66" s="1">
        <f t="shared" si="63"/>
        <v>0</v>
      </c>
      <c r="AK66" s="1" t="e">
        <f>AJ66/AI66*100</f>
        <v>#DIV/0!</v>
      </c>
      <c r="AL66" s="1">
        <f t="shared" si="63"/>
        <v>0</v>
      </c>
      <c r="AM66" s="1">
        <f t="shared" si="63"/>
        <v>0</v>
      </c>
      <c r="AN66" s="1"/>
      <c r="AO66" s="1">
        <f t="shared" si="63"/>
        <v>0</v>
      </c>
      <c r="AP66" s="1"/>
      <c r="AQ66" s="27"/>
      <c r="AR66" s="25"/>
      <c r="AS66" s="25"/>
    </row>
    <row r="67" spans="1:45" ht="13.15" customHeight="1" x14ac:dyDescent="0.25">
      <c r="A67" s="99"/>
      <c r="B67" s="99"/>
      <c r="C67" s="99"/>
      <c r="D67" s="26" t="s">
        <v>20</v>
      </c>
      <c r="E67" s="1">
        <f t="shared" si="51"/>
        <v>0</v>
      </c>
      <c r="F67" s="1">
        <f t="shared" si="51"/>
        <v>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27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27"/>
      <c r="AI67" s="1"/>
      <c r="AJ67" s="1"/>
      <c r="AK67" s="1"/>
      <c r="AL67" s="1"/>
      <c r="AM67" s="1"/>
      <c r="AN67" s="27"/>
      <c r="AO67" s="1"/>
      <c r="AP67" s="1"/>
      <c r="AQ67" s="27"/>
      <c r="AR67" s="25"/>
      <c r="AS67" s="25"/>
    </row>
    <row r="68" spans="1:45" ht="24" x14ac:dyDescent="0.25">
      <c r="A68" s="99"/>
      <c r="B68" s="99"/>
      <c r="C68" s="99"/>
      <c r="D68" s="26" t="s">
        <v>4</v>
      </c>
      <c r="E68" s="1">
        <f t="shared" si="51"/>
        <v>0</v>
      </c>
      <c r="F68" s="1">
        <f t="shared" si="51"/>
        <v>0</v>
      </c>
      <c r="G68" s="1"/>
      <c r="H68" s="32"/>
      <c r="I68" s="32"/>
      <c r="J68" s="32"/>
      <c r="K68" s="32"/>
      <c r="L68" s="32"/>
      <c r="M68" s="1"/>
      <c r="N68" s="32"/>
      <c r="O68" s="32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32"/>
      <c r="AM68" s="32"/>
      <c r="AN68" s="1"/>
      <c r="AO68" s="32"/>
      <c r="AP68" s="32"/>
      <c r="AQ68" s="27"/>
      <c r="AR68" s="94"/>
      <c r="AS68" s="25"/>
    </row>
    <row r="69" spans="1:45" ht="73.5" customHeight="1" x14ac:dyDescent="0.25">
      <c r="A69" s="99"/>
      <c r="B69" s="99"/>
      <c r="C69" s="99"/>
      <c r="D69" s="26" t="s">
        <v>43</v>
      </c>
      <c r="E69" s="1">
        <f t="shared" si="51"/>
        <v>7945.6</v>
      </c>
      <c r="F69" s="1">
        <f t="shared" si="51"/>
        <v>136.80000000000001</v>
      </c>
      <c r="G69" s="1">
        <f>F69/E69*100</f>
        <v>1.7217076117599679</v>
      </c>
      <c r="H69" s="1"/>
      <c r="I69" s="1"/>
      <c r="J69" s="1"/>
      <c r="K69" s="1"/>
      <c r="L69" s="1">
        <v>0</v>
      </c>
      <c r="M69" s="1"/>
      <c r="N69" s="1">
        <f>50+551.6-2.8</f>
        <v>598.80000000000007</v>
      </c>
      <c r="O69" s="1">
        <v>136.80000000000001</v>
      </c>
      <c r="P69" s="1">
        <f>O69/N69*100</f>
        <v>22.84569138276553</v>
      </c>
      <c r="Q69" s="1">
        <f>11+437.8+196.6+540+388.3</f>
        <v>1573.7</v>
      </c>
      <c r="R69" s="1"/>
      <c r="S69" s="1">
        <f>R69/Q69*100</f>
        <v>0</v>
      </c>
      <c r="T69" s="1">
        <f>27+328.8</f>
        <v>355.8</v>
      </c>
      <c r="U69" s="1">
        <v>0</v>
      </c>
      <c r="V69" s="1"/>
      <c r="W69" s="1">
        <f>323.1+303.4+132.9+1582</f>
        <v>2341.4</v>
      </c>
      <c r="X69" s="1"/>
      <c r="Y69" s="1">
        <f>X69/W69*100</f>
        <v>0</v>
      </c>
      <c r="Z69" s="1">
        <v>109.6</v>
      </c>
      <c r="AA69" s="1"/>
      <c r="AB69" s="1">
        <f>AA69/Z69*100</f>
        <v>0</v>
      </c>
      <c r="AC69" s="1">
        <f>2779.1+287.2+285.5-385.5</f>
        <v>2966.2999999999997</v>
      </c>
      <c r="AD69" s="1"/>
      <c r="AE69" s="1">
        <f>AD69/AC69*100</f>
        <v>0</v>
      </c>
      <c r="AF69" s="1"/>
      <c r="AG69" s="1"/>
      <c r="AH69" s="1" t="e">
        <f>AG69/AF69*100</f>
        <v>#DIV/0!</v>
      </c>
      <c r="AI69" s="1"/>
      <c r="AJ69" s="1"/>
      <c r="AK69" s="1" t="e">
        <f t="shared" ref="AK69" si="64">AJ69/AI69*100</f>
        <v>#DIV/0!</v>
      </c>
      <c r="AL69" s="1"/>
      <c r="AM69" s="1"/>
      <c r="AN69" s="1"/>
      <c r="AO69" s="1"/>
      <c r="AP69" s="1"/>
      <c r="AQ69" s="27"/>
      <c r="AR69" s="94" t="s">
        <v>196</v>
      </c>
      <c r="AS69" s="94" t="s">
        <v>206</v>
      </c>
    </row>
    <row r="70" spans="1:45" ht="12.6" customHeight="1" x14ac:dyDescent="0.25">
      <c r="A70" s="99"/>
      <c r="B70" s="99"/>
      <c r="C70" s="99"/>
      <c r="D70" s="26" t="s">
        <v>21</v>
      </c>
      <c r="E70" s="1">
        <f t="shared" si="51"/>
        <v>0</v>
      </c>
      <c r="F70" s="1">
        <f t="shared" si="51"/>
        <v>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25"/>
      <c r="AS70" s="25"/>
    </row>
    <row r="71" spans="1:45" ht="15" hidden="1" customHeight="1" x14ac:dyDescent="0.25">
      <c r="A71" s="100"/>
      <c r="B71" s="100"/>
      <c r="C71" s="100"/>
      <c r="D71" s="29" t="s">
        <v>115</v>
      </c>
      <c r="E71" s="1">
        <f t="shared" si="51"/>
        <v>0</v>
      </c>
      <c r="F71" s="1">
        <f t="shared" si="51"/>
        <v>0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94"/>
      <c r="AS71" s="94"/>
    </row>
    <row r="72" spans="1:45" ht="13.15" customHeight="1" x14ac:dyDescent="0.25">
      <c r="A72" s="98" t="s">
        <v>50</v>
      </c>
      <c r="B72" s="101" t="s">
        <v>87</v>
      </c>
      <c r="C72" s="101" t="s">
        <v>145</v>
      </c>
      <c r="D72" s="26" t="s">
        <v>3</v>
      </c>
      <c r="E72" s="1">
        <f t="shared" si="51"/>
        <v>0</v>
      </c>
      <c r="F72" s="1">
        <f t="shared" si="51"/>
        <v>0</v>
      </c>
      <c r="G72" s="1"/>
      <c r="H72" s="1">
        <f>H73+H74+H75+H76</f>
        <v>0</v>
      </c>
      <c r="I72" s="1">
        <f>I73+I74+I75+I76</f>
        <v>0</v>
      </c>
      <c r="J72" s="1"/>
      <c r="K72" s="1">
        <f t="shared" ref="K72:AO72" si="65">K73+K74+K75+K76</f>
        <v>0</v>
      </c>
      <c r="L72" s="1">
        <f t="shared" si="65"/>
        <v>0</v>
      </c>
      <c r="M72" s="1"/>
      <c r="N72" s="1">
        <f t="shared" si="65"/>
        <v>0</v>
      </c>
      <c r="O72" s="1">
        <f t="shared" si="65"/>
        <v>0</v>
      </c>
      <c r="P72" s="1"/>
      <c r="Q72" s="1">
        <f t="shared" si="65"/>
        <v>0</v>
      </c>
      <c r="R72" s="1">
        <f t="shared" si="65"/>
        <v>0</v>
      </c>
      <c r="S72" s="1"/>
      <c r="T72" s="1">
        <f t="shared" si="65"/>
        <v>0</v>
      </c>
      <c r="U72" s="1">
        <f t="shared" si="65"/>
        <v>0</v>
      </c>
      <c r="V72" s="1"/>
      <c r="W72" s="1">
        <f t="shared" si="65"/>
        <v>0</v>
      </c>
      <c r="X72" s="1"/>
      <c r="Y72" s="27"/>
      <c r="Z72" s="1">
        <f t="shared" si="65"/>
        <v>0</v>
      </c>
      <c r="AA72" s="1">
        <f t="shared" si="65"/>
        <v>0</v>
      </c>
      <c r="AB72" s="1"/>
      <c r="AC72" s="1">
        <f t="shared" si="65"/>
        <v>0</v>
      </c>
      <c r="AD72" s="1">
        <f t="shared" si="65"/>
        <v>0</v>
      </c>
      <c r="AE72" s="1"/>
      <c r="AF72" s="1">
        <f t="shared" si="65"/>
        <v>0</v>
      </c>
      <c r="AG72" s="1">
        <f t="shared" si="65"/>
        <v>0</v>
      </c>
      <c r="AH72" s="1"/>
      <c r="AI72" s="1">
        <f t="shared" si="65"/>
        <v>0</v>
      </c>
      <c r="AJ72" s="1">
        <f t="shared" si="65"/>
        <v>0</v>
      </c>
      <c r="AK72" s="1"/>
      <c r="AL72" s="1">
        <f t="shared" si="65"/>
        <v>0</v>
      </c>
      <c r="AM72" s="1"/>
      <c r="AN72" s="1"/>
      <c r="AO72" s="1">
        <f t="shared" si="65"/>
        <v>0</v>
      </c>
      <c r="AP72" s="1"/>
      <c r="AQ72" s="27"/>
      <c r="AR72" s="25"/>
      <c r="AS72" s="25"/>
    </row>
    <row r="73" spans="1:45" x14ac:dyDescent="0.25">
      <c r="A73" s="99"/>
      <c r="B73" s="101"/>
      <c r="C73" s="101"/>
      <c r="D73" s="26" t="s">
        <v>20</v>
      </c>
      <c r="E73" s="1">
        <f t="shared" si="51"/>
        <v>0</v>
      </c>
      <c r="F73" s="1">
        <f t="shared" si="51"/>
        <v>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27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27"/>
      <c r="AR73" s="25"/>
      <c r="AS73" s="25"/>
    </row>
    <row r="74" spans="1:45" ht="24" x14ac:dyDescent="0.25">
      <c r="A74" s="99"/>
      <c r="B74" s="101"/>
      <c r="C74" s="101"/>
      <c r="D74" s="26" t="s">
        <v>4</v>
      </c>
      <c r="E74" s="1">
        <f t="shared" si="51"/>
        <v>0</v>
      </c>
      <c r="F74" s="1">
        <f t="shared" si="51"/>
        <v>0</v>
      </c>
      <c r="G74" s="1"/>
      <c r="H74" s="32"/>
      <c r="I74" s="32"/>
      <c r="J74" s="1"/>
      <c r="K74" s="32"/>
      <c r="L74" s="32"/>
      <c r="M74" s="1"/>
      <c r="N74" s="32"/>
      <c r="O74" s="32"/>
      <c r="P74" s="1"/>
      <c r="Q74" s="32"/>
      <c r="R74" s="32"/>
      <c r="S74" s="1"/>
      <c r="T74" s="32"/>
      <c r="U74" s="32"/>
      <c r="V74" s="1"/>
      <c r="W74" s="32"/>
      <c r="X74" s="32"/>
      <c r="Y74" s="27"/>
      <c r="Z74" s="32"/>
      <c r="AA74" s="32"/>
      <c r="AB74" s="1"/>
      <c r="AC74" s="32"/>
      <c r="AD74" s="32"/>
      <c r="AE74" s="1"/>
      <c r="AF74" s="32"/>
      <c r="AG74" s="32"/>
      <c r="AH74" s="1"/>
      <c r="AI74" s="32"/>
      <c r="AJ74" s="32"/>
      <c r="AK74" s="1"/>
      <c r="AL74" s="32"/>
      <c r="AM74" s="32"/>
      <c r="AN74" s="1"/>
      <c r="AO74" s="32"/>
      <c r="AP74" s="32"/>
      <c r="AQ74" s="27"/>
      <c r="AR74" s="25"/>
      <c r="AS74" s="25"/>
    </row>
    <row r="75" spans="1:45" x14ac:dyDescent="0.25">
      <c r="A75" s="99"/>
      <c r="B75" s="101"/>
      <c r="C75" s="101"/>
      <c r="D75" s="26" t="s">
        <v>43</v>
      </c>
      <c r="E75" s="1">
        <f t="shared" si="51"/>
        <v>0</v>
      </c>
      <c r="F75" s="1">
        <f t="shared" si="51"/>
        <v>0</v>
      </c>
      <c r="G75" s="1"/>
      <c r="H75" s="1"/>
      <c r="I75" s="1">
        <v>0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27"/>
      <c r="Z75" s="1"/>
      <c r="AA75" s="1"/>
      <c r="AB75" s="1"/>
      <c r="AC75" s="1"/>
      <c r="AD75" s="1">
        <v>0</v>
      </c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27"/>
      <c r="AR75" s="94"/>
      <c r="AS75" s="94"/>
    </row>
    <row r="76" spans="1:45" x14ac:dyDescent="0.25">
      <c r="A76" s="100"/>
      <c r="B76" s="101"/>
      <c r="C76" s="101"/>
      <c r="D76" s="26" t="s">
        <v>21</v>
      </c>
      <c r="E76" s="1">
        <f t="shared" si="51"/>
        <v>0</v>
      </c>
      <c r="F76" s="1">
        <f t="shared" si="51"/>
        <v>0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25"/>
      <c r="AS76" s="25"/>
    </row>
    <row r="77" spans="1:45" ht="12.6" customHeight="1" x14ac:dyDescent="0.25">
      <c r="A77" s="110" t="s">
        <v>7</v>
      </c>
      <c r="B77" s="111"/>
      <c r="C77" s="112"/>
      <c r="D77" s="29" t="s">
        <v>3</v>
      </c>
      <c r="E77" s="30">
        <f t="shared" si="51"/>
        <v>1349223.8999999997</v>
      </c>
      <c r="F77" s="30">
        <f t="shared" si="51"/>
        <v>136.80000000000001</v>
      </c>
      <c r="G77" s="30">
        <f>F77/E77*100</f>
        <v>1.0139162225039152E-2</v>
      </c>
      <c r="H77" s="30">
        <f>H79+H78+H80+H81</f>
        <v>0</v>
      </c>
      <c r="I77" s="30">
        <f>I79+I78+I80+I81</f>
        <v>0</v>
      </c>
      <c r="J77" s="30"/>
      <c r="K77" s="30">
        <f>K79+K78+K80+K81</f>
        <v>0</v>
      </c>
      <c r="L77" s="30">
        <f>L79+L78+L80+L81</f>
        <v>0</v>
      </c>
      <c r="M77" s="30"/>
      <c r="N77" s="30">
        <f>N79+N78+N80+N81</f>
        <v>598.80000000000007</v>
      </c>
      <c r="O77" s="30">
        <f>O79+O78+O80+O81</f>
        <v>136.80000000000001</v>
      </c>
      <c r="P77" s="30">
        <f>O77/N77*100</f>
        <v>22.84569138276553</v>
      </c>
      <c r="Q77" s="30">
        <f>Q79+Q78+Q80+Q81</f>
        <v>287760.39999999997</v>
      </c>
      <c r="R77" s="30">
        <f>R79+R78+R80+R81</f>
        <v>0</v>
      </c>
      <c r="S77" s="30">
        <f>R77/Q77*100</f>
        <v>0</v>
      </c>
      <c r="T77" s="30">
        <f>T79+T78+T80+T81</f>
        <v>178042.3</v>
      </c>
      <c r="U77" s="30">
        <f>U79+U78+U80+U81</f>
        <v>0</v>
      </c>
      <c r="V77" s="30">
        <f>U77/T77*100</f>
        <v>0</v>
      </c>
      <c r="W77" s="30">
        <f>W79+W78+W80+W81</f>
        <v>166808.1</v>
      </c>
      <c r="X77" s="30">
        <f>X79+X78+X80+X81</f>
        <v>0</v>
      </c>
      <c r="Y77" s="30">
        <f>X77/W77*100</f>
        <v>0</v>
      </c>
      <c r="Z77" s="30">
        <f>Z79+Z78+Z80+Z81</f>
        <v>217153.8</v>
      </c>
      <c r="AA77" s="30">
        <f>AA79+AA78+AA80+AA81</f>
        <v>0</v>
      </c>
      <c r="AB77" s="30">
        <f>AA77/Z77*100</f>
        <v>0</v>
      </c>
      <c r="AC77" s="30">
        <f>AC79+AC78+AC80+AC81</f>
        <v>129090</v>
      </c>
      <c r="AD77" s="30">
        <f>AD79+AD78+AD80+AD81</f>
        <v>0</v>
      </c>
      <c r="AE77" s="30">
        <f>AD77/AC77*100</f>
        <v>0</v>
      </c>
      <c r="AF77" s="30">
        <f>AF79+AF78+AF80+AF81</f>
        <v>160023.69999999998</v>
      </c>
      <c r="AG77" s="30">
        <f>AG79+AG78+AG80+AG81</f>
        <v>0</v>
      </c>
      <c r="AH77" s="30">
        <f>AG77/AF77*100</f>
        <v>0</v>
      </c>
      <c r="AI77" s="30">
        <f>AI79+AI78+AI80+AI81</f>
        <v>147643.9</v>
      </c>
      <c r="AJ77" s="30">
        <f>AJ79+AJ78+AJ80+AJ81</f>
        <v>0</v>
      </c>
      <c r="AK77" s="30">
        <f>AJ77/AI77*100</f>
        <v>0</v>
      </c>
      <c r="AL77" s="30">
        <f>AL79+AL78+AL80+AL81</f>
        <v>49850</v>
      </c>
      <c r="AM77" s="30">
        <f>AM79+AM78+AM80+AM81</f>
        <v>0</v>
      </c>
      <c r="AN77" s="30">
        <f>AM77/AL77*100</f>
        <v>0</v>
      </c>
      <c r="AO77" s="30">
        <f>AO79+AO78+AO80+AO81</f>
        <v>12252.9</v>
      </c>
      <c r="AP77" s="30">
        <f>AP79+AP78+AP80+AP81</f>
        <v>0</v>
      </c>
      <c r="AQ77" s="31"/>
      <c r="AR77" s="25"/>
      <c r="AS77" s="25"/>
    </row>
    <row r="78" spans="1:45" x14ac:dyDescent="0.25">
      <c r="A78" s="113"/>
      <c r="B78" s="114"/>
      <c r="C78" s="115"/>
      <c r="D78" s="29" t="s">
        <v>20</v>
      </c>
      <c r="E78" s="30">
        <f t="shared" si="51"/>
        <v>107169.29999999999</v>
      </c>
      <c r="F78" s="30">
        <f t="shared" si="51"/>
        <v>0</v>
      </c>
      <c r="G78" s="30">
        <f>F78/E78*100</f>
        <v>0</v>
      </c>
      <c r="H78" s="30">
        <f t="shared" ref="H78:I81" si="66">H41+H46+H67+H73+H52</f>
        <v>0</v>
      </c>
      <c r="I78" s="30">
        <f t="shared" si="66"/>
        <v>0</v>
      </c>
      <c r="J78" s="30"/>
      <c r="K78" s="30">
        <f t="shared" ref="K78:L81" si="67">K41+K46+K67+K73+K52</f>
        <v>0</v>
      </c>
      <c r="L78" s="30">
        <f t="shared" si="67"/>
        <v>0</v>
      </c>
      <c r="M78" s="30"/>
      <c r="N78" s="30">
        <f t="shared" ref="N78:O81" si="68">N41+N46+N67+N73+N52</f>
        <v>0</v>
      </c>
      <c r="O78" s="30">
        <f t="shared" si="68"/>
        <v>0</v>
      </c>
      <c r="P78" s="30"/>
      <c r="Q78" s="30">
        <f t="shared" ref="Q78:R81" si="69">Q41+Q46+Q67+Q73+Q52</f>
        <v>47630.8</v>
      </c>
      <c r="R78" s="30">
        <f t="shared" si="69"/>
        <v>0</v>
      </c>
      <c r="S78" s="30"/>
      <c r="T78" s="30">
        <f t="shared" ref="T78:U81" si="70">T41+T46+T67+T73+T52</f>
        <v>35723.1</v>
      </c>
      <c r="U78" s="30">
        <f t="shared" si="70"/>
        <v>0</v>
      </c>
      <c r="V78" s="30"/>
      <c r="W78" s="30">
        <f t="shared" ref="W78:X81" si="71">W41+W46+W67+W73+W52</f>
        <v>23815.399999999998</v>
      </c>
      <c r="X78" s="30">
        <f t="shared" si="71"/>
        <v>0</v>
      </c>
      <c r="Y78" s="30"/>
      <c r="Z78" s="30">
        <f t="shared" ref="Z78:AA81" si="72">Z41+Z46+Z67+Z73+Z52</f>
        <v>0</v>
      </c>
      <c r="AA78" s="30">
        <f t="shared" si="72"/>
        <v>0</v>
      </c>
      <c r="AB78" s="30" t="e">
        <f t="shared" ref="AB78:AB80" si="73">AA78/Z78*100</f>
        <v>#DIV/0!</v>
      </c>
      <c r="AC78" s="30">
        <f t="shared" ref="AC78:AD81" si="74">AC41+AC46+AC67+AC73+AC52</f>
        <v>0</v>
      </c>
      <c r="AD78" s="30">
        <f t="shared" si="74"/>
        <v>0</v>
      </c>
      <c r="AE78" s="30"/>
      <c r="AF78" s="30">
        <f t="shared" ref="AF78:AG81" si="75">AF41+AF46+AF67+AF73+AF52</f>
        <v>0</v>
      </c>
      <c r="AG78" s="30">
        <f t="shared" si="75"/>
        <v>0</v>
      </c>
      <c r="AH78" s="30"/>
      <c r="AI78" s="30">
        <f t="shared" ref="AI78:AJ81" si="76">AI41+AI46+AI67+AI73+AI52</f>
        <v>0</v>
      </c>
      <c r="AJ78" s="30">
        <f t="shared" si="76"/>
        <v>0</v>
      </c>
      <c r="AK78" s="30"/>
      <c r="AL78" s="30">
        <f t="shared" ref="AL78:AM81" si="77">AL41+AL46+AL67+AL73+AL52</f>
        <v>0</v>
      </c>
      <c r="AM78" s="30">
        <f t="shared" si="77"/>
        <v>0</v>
      </c>
      <c r="AN78" s="30"/>
      <c r="AO78" s="30">
        <f t="shared" ref="AO78:AP81" si="78">AO41+AO46+AO67+AO73+AO52</f>
        <v>0</v>
      </c>
      <c r="AP78" s="30">
        <f t="shared" si="78"/>
        <v>0</v>
      </c>
      <c r="AQ78" s="31"/>
      <c r="AR78" s="25"/>
      <c r="AS78" s="25"/>
    </row>
    <row r="79" spans="1:45" ht="23.45" customHeight="1" x14ac:dyDescent="0.25">
      <c r="A79" s="113"/>
      <c r="B79" s="114"/>
      <c r="C79" s="115"/>
      <c r="D79" s="29" t="s">
        <v>4</v>
      </c>
      <c r="E79" s="30">
        <f t="shared" si="51"/>
        <v>1016022</v>
      </c>
      <c r="F79" s="30">
        <f t="shared" si="51"/>
        <v>0</v>
      </c>
      <c r="G79" s="30">
        <f>F79/E79*100</f>
        <v>0</v>
      </c>
      <c r="H79" s="30">
        <f t="shared" si="66"/>
        <v>0</v>
      </c>
      <c r="I79" s="30">
        <f t="shared" si="66"/>
        <v>0</v>
      </c>
      <c r="J79" s="30"/>
      <c r="K79" s="30">
        <f t="shared" si="67"/>
        <v>0</v>
      </c>
      <c r="L79" s="30">
        <f t="shared" si="67"/>
        <v>0</v>
      </c>
      <c r="M79" s="30"/>
      <c r="N79" s="30">
        <f t="shared" si="68"/>
        <v>0</v>
      </c>
      <c r="O79" s="30">
        <f t="shared" si="68"/>
        <v>0</v>
      </c>
      <c r="P79" s="30"/>
      <c r="Q79" s="30">
        <f t="shared" si="69"/>
        <v>200390.5</v>
      </c>
      <c r="R79" s="30">
        <f t="shared" si="69"/>
        <v>0</v>
      </c>
      <c r="S79" s="30">
        <f t="shared" ref="S79:S80" si="79">R79/Q79*100</f>
        <v>0</v>
      </c>
      <c r="T79" s="30">
        <f t="shared" si="70"/>
        <v>124194.8</v>
      </c>
      <c r="U79" s="30">
        <f t="shared" si="70"/>
        <v>0</v>
      </c>
      <c r="V79" s="30"/>
      <c r="W79" s="30">
        <f t="shared" si="71"/>
        <v>124204.59999999999</v>
      </c>
      <c r="X79" s="30">
        <f t="shared" si="71"/>
        <v>0</v>
      </c>
      <c r="Y79" s="30"/>
      <c r="Z79" s="30">
        <f t="shared" si="72"/>
        <v>176820</v>
      </c>
      <c r="AA79" s="30">
        <f t="shared" si="72"/>
        <v>0</v>
      </c>
      <c r="AB79" s="30">
        <f t="shared" si="73"/>
        <v>0</v>
      </c>
      <c r="AC79" s="30">
        <f t="shared" si="74"/>
        <v>113511.3</v>
      </c>
      <c r="AD79" s="30">
        <f t="shared" si="74"/>
        <v>0</v>
      </c>
      <c r="AE79" s="30"/>
      <c r="AF79" s="30">
        <f t="shared" si="75"/>
        <v>144021.29999999999</v>
      </c>
      <c r="AG79" s="30">
        <f t="shared" si="75"/>
        <v>0</v>
      </c>
      <c r="AH79" s="30">
        <f t="shared" ref="AH79:AH80" si="80">AG79/AF79*100</f>
        <v>0</v>
      </c>
      <c r="AI79" s="30">
        <f t="shared" si="76"/>
        <v>132879.5</v>
      </c>
      <c r="AJ79" s="30">
        <f t="shared" si="76"/>
        <v>0</v>
      </c>
      <c r="AK79" s="30"/>
      <c r="AL79" s="30">
        <f t="shared" si="77"/>
        <v>0</v>
      </c>
      <c r="AM79" s="30">
        <f t="shared" si="77"/>
        <v>0</v>
      </c>
      <c r="AN79" s="30" t="e">
        <f>AM79/AL79*100</f>
        <v>#DIV/0!</v>
      </c>
      <c r="AO79" s="30">
        <f t="shared" si="78"/>
        <v>0</v>
      </c>
      <c r="AP79" s="30">
        <f t="shared" si="78"/>
        <v>0</v>
      </c>
      <c r="AQ79" s="31"/>
      <c r="AR79" s="25"/>
      <c r="AS79" s="25"/>
    </row>
    <row r="80" spans="1:45" x14ac:dyDescent="0.25">
      <c r="A80" s="113"/>
      <c r="B80" s="114"/>
      <c r="C80" s="115"/>
      <c r="D80" s="29" t="s">
        <v>43</v>
      </c>
      <c r="E80" s="30">
        <f t="shared" si="51"/>
        <v>226032.6</v>
      </c>
      <c r="F80" s="30">
        <f t="shared" si="51"/>
        <v>136.80000000000001</v>
      </c>
      <c r="G80" s="30">
        <f t="shared" ref="G80" si="81">F80/E80*100</f>
        <v>6.0522243251637159E-2</v>
      </c>
      <c r="H80" s="30">
        <f t="shared" si="66"/>
        <v>0</v>
      </c>
      <c r="I80" s="30">
        <f t="shared" si="66"/>
        <v>0</v>
      </c>
      <c r="J80" s="30"/>
      <c r="K80" s="30">
        <f t="shared" si="67"/>
        <v>0</v>
      </c>
      <c r="L80" s="30">
        <f t="shared" si="67"/>
        <v>0</v>
      </c>
      <c r="M80" s="30"/>
      <c r="N80" s="30">
        <f t="shared" si="68"/>
        <v>598.80000000000007</v>
      </c>
      <c r="O80" s="30">
        <f t="shared" si="68"/>
        <v>136.80000000000001</v>
      </c>
      <c r="P80" s="30">
        <f t="shared" ref="P80" si="82">O80/N80*100</f>
        <v>22.84569138276553</v>
      </c>
      <c r="Q80" s="30">
        <f t="shared" si="69"/>
        <v>39739.1</v>
      </c>
      <c r="R80" s="30">
        <f t="shared" si="69"/>
        <v>0</v>
      </c>
      <c r="S80" s="30">
        <f t="shared" si="79"/>
        <v>0</v>
      </c>
      <c r="T80" s="30">
        <f t="shared" si="70"/>
        <v>18124.399999999998</v>
      </c>
      <c r="U80" s="30">
        <f t="shared" si="70"/>
        <v>0</v>
      </c>
      <c r="V80" s="30">
        <f t="shared" ref="V80" si="83">U80/T80*100</f>
        <v>0</v>
      </c>
      <c r="W80" s="30">
        <f t="shared" si="71"/>
        <v>18788.100000000002</v>
      </c>
      <c r="X80" s="30">
        <f t="shared" si="71"/>
        <v>0</v>
      </c>
      <c r="Y80" s="30">
        <f t="shared" ref="Y80" si="84">X80/W80*100</f>
        <v>0</v>
      </c>
      <c r="Z80" s="30">
        <f t="shared" si="72"/>
        <v>40333.800000000003</v>
      </c>
      <c r="AA80" s="30">
        <f t="shared" si="72"/>
        <v>0</v>
      </c>
      <c r="AB80" s="30">
        <f t="shared" si="73"/>
        <v>0</v>
      </c>
      <c r="AC80" s="30">
        <f t="shared" si="74"/>
        <v>15578.699999999999</v>
      </c>
      <c r="AD80" s="30">
        <f t="shared" si="74"/>
        <v>0</v>
      </c>
      <c r="AE80" s="30">
        <f t="shared" ref="AE80" si="85">AD80/AC80*100</f>
        <v>0</v>
      </c>
      <c r="AF80" s="30">
        <f t="shared" si="75"/>
        <v>16002.4</v>
      </c>
      <c r="AG80" s="30">
        <f t="shared" si="75"/>
        <v>0</v>
      </c>
      <c r="AH80" s="30">
        <f t="shared" si="80"/>
        <v>0</v>
      </c>
      <c r="AI80" s="30">
        <f t="shared" si="76"/>
        <v>14764.4</v>
      </c>
      <c r="AJ80" s="30">
        <f t="shared" si="76"/>
        <v>0</v>
      </c>
      <c r="AK80" s="30">
        <f t="shared" ref="AK80" si="86">AJ80/AI80*100</f>
        <v>0</v>
      </c>
      <c r="AL80" s="30">
        <f t="shared" si="77"/>
        <v>49850</v>
      </c>
      <c r="AM80" s="30">
        <f t="shared" si="77"/>
        <v>0</v>
      </c>
      <c r="AN80" s="30">
        <f t="shared" ref="AN80" si="87">AM80/AL80*100</f>
        <v>0</v>
      </c>
      <c r="AO80" s="30">
        <f t="shared" si="78"/>
        <v>12252.9</v>
      </c>
      <c r="AP80" s="30">
        <f t="shared" si="78"/>
        <v>0</v>
      </c>
      <c r="AQ80" s="31"/>
      <c r="AR80" s="25"/>
      <c r="AS80" s="25"/>
    </row>
    <row r="81" spans="1:45" x14ac:dyDescent="0.25">
      <c r="A81" s="113"/>
      <c r="B81" s="114"/>
      <c r="C81" s="115"/>
      <c r="D81" s="29" t="s">
        <v>21</v>
      </c>
      <c r="E81" s="30">
        <f t="shared" si="51"/>
        <v>0</v>
      </c>
      <c r="F81" s="30">
        <f t="shared" si="51"/>
        <v>0</v>
      </c>
      <c r="G81" s="30"/>
      <c r="H81" s="30">
        <f t="shared" si="66"/>
        <v>0</v>
      </c>
      <c r="I81" s="30">
        <f t="shared" si="66"/>
        <v>0</v>
      </c>
      <c r="J81" s="30"/>
      <c r="K81" s="30">
        <f t="shared" si="67"/>
        <v>0</v>
      </c>
      <c r="L81" s="30">
        <f t="shared" si="67"/>
        <v>0</v>
      </c>
      <c r="M81" s="30"/>
      <c r="N81" s="30">
        <f t="shared" si="68"/>
        <v>0</v>
      </c>
      <c r="O81" s="30">
        <f t="shared" si="68"/>
        <v>0</v>
      </c>
      <c r="P81" s="30"/>
      <c r="Q81" s="30">
        <f t="shared" si="69"/>
        <v>0</v>
      </c>
      <c r="R81" s="30">
        <f t="shared" si="69"/>
        <v>0</v>
      </c>
      <c r="S81" s="30"/>
      <c r="T81" s="30">
        <f t="shared" si="70"/>
        <v>0</v>
      </c>
      <c r="U81" s="30">
        <f t="shared" si="70"/>
        <v>0</v>
      </c>
      <c r="V81" s="30"/>
      <c r="W81" s="30">
        <f t="shared" si="71"/>
        <v>0</v>
      </c>
      <c r="X81" s="30">
        <f t="shared" si="71"/>
        <v>0</v>
      </c>
      <c r="Y81" s="30"/>
      <c r="Z81" s="30">
        <f t="shared" si="72"/>
        <v>0</v>
      </c>
      <c r="AA81" s="30">
        <f t="shared" si="72"/>
        <v>0</v>
      </c>
      <c r="AB81" s="30"/>
      <c r="AC81" s="30">
        <f t="shared" si="74"/>
        <v>0</v>
      </c>
      <c r="AD81" s="30">
        <f t="shared" si="74"/>
        <v>0</v>
      </c>
      <c r="AE81" s="30"/>
      <c r="AF81" s="30">
        <f t="shared" si="75"/>
        <v>0</v>
      </c>
      <c r="AG81" s="30">
        <f t="shared" si="75"/>
        <v>0</v>
      </c>
      <c r="AH81" s="30"/>
      <c r="AI81" s="30">
        <f t="shared" si="76"/>
        <v>0</v>
      </c>
      <c r="AJ81" s="30">
        <f t="shared" si="76"/>
        <v>0</v>
      </c>
      <c r="AK81" s="30"/>
      <c r="AL81" s="30">
        <f t="shared" si="77"/>
        <v>0</v>
      </c>
      <c r="AM81" s="30">
        <f t="shared" si="77"/>
        <v>0</v>
      </c>
      <c r="AN81" s="30"/>
      <c r="AO81" s="30">
        <f t="shared" si="78"/>
        <v>0</v>
      </c>
      <c r="AP81" s="30">
        <f t="shared" si="78"/>
        <v>0</v>
      </c>
      <c r="AQ81" s="1"/>
      <c r="AR81" s="25"/>
      <c r="AS81" s="25"/>
    </row>
    <row r="82" spans="1:45" ht="12.75" hidden="1" customHeight="1" x14ac:dyDescent="0.25">
      <c r="A82" s="116"/>
      <c r="B82" s="117"/>
      <c r="C82" s="118"/>
      <c r="D82" s="29" t="s">
        <v>115</v>
      </c>
      <c r="E82" s="30">
        <f t="shared" si="51"/>
        <v>0</v>
      </c>
      <c r="F82" s="30">
        <f t="shared" si="51"/>
        <v>0</v>
      </c>
      <c r="G82" s="30"/>
      <c r="H82" s="30"/>
      <c r="I82" s="30"/>
      <c r="J82" s="30"/>
      <c r="K82" s="30"/>
      <c r="L82" s="30"/>
      <c r="M82" s="30"/>
      <c r="N82" s="30"/>
      <c r="O82" s="30">
        <f>O50+O71</f>
        <v>0</v>
      </c>
      <c r="P82" s="30"/>
      <c r="Q82" s="30"/>
      <c r="R82" s="30">
        <f>R50+R71</f>
        <v>0</v>
      </c>
      <c r="S82" s="30"/>
      <c r="T82" s="30"/>
      <c r="U82" s="30">
        <f>U50+U71</f>
        <v>0</v>
      </c>
      <c r="V82" s="30"/>
      <c r="W82" s="30"/>
      <c r="X82" s="30">
        <f>X50+X71</f>
        <v>0</v>
      </c>
      <c r="Y82" s="30"/>
      <c r="Z82" s="30"/>
      <c r="AA82" s="30">
        <f>AA50+AA71</f>
        <v>0</v>
      </c>
      <c r="AB82" s="30"/>
      <c r="AC82" s="30"/>
      <c r="AD82" s="30">
        <f>AD50+AD71</f>
        <v>0</v>
      </c>
      <c r="AE82" s="30"/>
      <c r="AF82" s="30"/>
      <c r="AG82" s="30">
        <f>AG50+AG71</f>
        <v>0</v>
      </c>
      <c r="AH82" s="30"/>
      <c r="AI82" s="30"/>
      <c r="AJ82" s="30">
        <f>AJ50+AJ71</f>
        <v>0</v>
      </c>
      <c r="AK82" s="30"/>
      <c r="AL82" s="30"/>
      <c r="AM82" s="30">
        <f>AM50+AM71</f>
        <v>0</v>
      </c>
      <c r="AN82" s="30"/>
      <c r="AO82" s="30"/>
      <c r="AP82" s="30"/>
      <c r="AQ82" s="1"/>
      <c r="AR82" s="25"/>
      <c r="AS82" s="25"/>
    </row>
    <row r="83" spans="1:45" ht="16.5" customHeight="1" x14ac:dyDescent="0.25">
      <c r="A83" s="26" t="s">
        <v>51</v>
      </c>
      <c r="B83" s="23" t="s">
        <v>8</v>
      </c>
      <c r="C83" s="23"/>
      <c r="D83" s="23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3"/>
      <c r="AQ83" s="23"/>
      <c r="AR83" s="25"/>
      <c r="AS83" s="25"/>
    </row>
    <row r="84" spans="1:45" ht="13.9" customHeight="1" x14ac:dyDescent="0.25">
      <c r="A84" s="101" t="s">
        <v>52</v>
      </c>
      <c r="B84" s="101" t="s">
        <v>164</v>
      </c>
      <c r="C84" s="101" t="s">
        <v>145</v>
      </c>
      <c r="D84" s="26" t="s">
        <v>3</v>
      </c>
      <c r="E84" s="1">
        <f t="shared" ref="E84:F99" si="88">H84+K84+N84+Q84+T84+W84+Z84+AC84+AF84+AI84+AL84+AO84</f>
        <v>45</v>
      </c>
      <c r="F84" s="1">
        <f t="shared" si="88"/>
        <v>0</v>
      </c>
      <c r="G84" s="1">
        <f>F84/E84*100</f>
        <v>0</v>
      </c>
      <c r="H84" s="1">
        <f>H85+H86+H87+H88</f>
        <v>0</v>
      </c>
      <c r="I84" s="1">
        <f>I85+I86+I87+I88</f>
        <v>0</v>
      </c>
      <c r="J84" s="1"/>
      <c r="K84" s="1">
        <f t="shared" ref="K84:AO84" si="89">K85+K86+K87+K88</f>
        <v>0</v>
      </c>
      <c r="L84" s="1">
        <f t="shared" si="89"/>
        <v>0</v>
      </c>
      <c r="M84" s="1"/>
      <c r="N84" s="1">
        <f t="shared" si="89"/>
        <v>0</v>
      </c>
      <c r="O84" s="1">
        <f t="shared" si="89"/>
        <v>0</v>
      </c>
      <c r="P84" s="1"/>
      <c r="Q84" s="1">
        <f t="shared" si="89"/>
        <v>45</v>
      </c>
      <c r="R84" s="1">
        <f t="shared" si="89"/>
        <v>0</v>
      </c>
      <c r="S84" s="1">
        <f>R84/Q84*100</f>
        <v>0</v>
      </c>
      <c r="T84" s="1">
        <f t="shared" si="89"/>
        <v>0</v>
      </c>
      <c r="U84" s="1">
        <f t="shared" si="89"/>
        <v>0</v>
      </c>
      <c r="V84" s="1"/>
      <c r="W84" s="1">
        <f t="shared" si="89"/>
        <v>0</v>
      </c>
      <c r="X84" s="1">
        <f t="shared" si="89"/>
        <v>0</v>
      </c>
      <c r="Y84" s="1"/>
      <c r="Z84" s="1">
        <f t="shared" si="89"/>
        <v>0</v>
      </c>
      <c r="AA84" s="1">
        <f t="shared" si="89"/>
        <v>0</v>
      </c>
      <c r="AB84" s="27"/>
      <c r="AC84" s="1">
        <f t="shared" si="89"/>
        <v>0</v>
      </c>
      <c r="AD84" s="1">
        <f t="shared" si="89"/>
        <v>0</v>
      </c>
      <c r="AE84" s="27"/>
      <c r="AF84" s="1">
        <f t="shared" si="89"/>
        <v>0</v>
      </c>
      <c r="AG84" s="1">
        <f t="shared" si="89"/>
        <v>0</v>
      </c>
      <c r="AH84" s="27"/>
      <c r="AI84" s="1">
        <f t="shared" si="89"/>
        <v>0</v>
      </c>
      <c r="AJ84" s="1">
        <f t="shared" si="89"/>
        <v>0</v>
      </c>
      <c r="AK84" s="1" t="e">
        <f>AJ84/AI84*100</f>
        <v>#DIV/0!</v>
      </c>
      <c r="AL84" s="1">
        <f t="shared" si="89"/>
        <v>0</v>
      </c>
      <c r="AM84" s="1">
        <f t="shared" si="89"/>
        <v>0</v>
      </c>
      <c r="AN84" s="1"/>
      <c r="AO84" s="1">
        <f t="shared" si="89"/>
        <v>0</v>
      </c>
      <c r="AP84" s="1"/>
      <c r="AQ84" s="27"/>
      <c r="AR84" s="25"/>
      <c r="AS84" s="25"/>
    </row>
    <row r="85" spans="1:45" ht="13.5" customHeight="1" x14ac:dyDescent="0.25">
      <c r="A85" s="101"/>
      <c r="B85" s="101"/>
      <c r="C85" s="101"/>
      <c r="D85" s="26" t="s">
        <v>20</v>
      </c>
      <c r="E85" s="1">
        <f t="shared" si="88"/>
        <v>0</v>
      </c>
      <c r="F85" s="1">
        <f t="shared" si="88"/>
        <v>0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27"/>
      <c r="AC85" s="1"/>
      <c r="AD85" s="1"/>
      <c r="AE85" s="27"/>
      <c r="AF85" s="1"/>
      <c r="AG85" s="1"/>
      <c r="AH85" s="27"/>
      <c r="AI85" s="1"/>
      <c r="AJ85" s="1"/>
      <c r="AK85" s="1"/>
      <c r="AL85" s="1"/>
      <c r="AM85" s="1"/>
      <c r="AN85" s="1"/>
      <c r="AO85" s="1"/>
      <c r="AP85" s="1"/>
      <c r="AQ85" s="27"/>
      <c r="AR85" s="25"/>
      <c r="AS85" s="25"/>
    </row>
    <row r="86" spans="1:45" ht="15" customHeight="1" x14ac:dyDescent="0.25">
      <c r="A86" s="101"/>
      <c r="B86" s="101"/>
      <c r="C86" s="101"/>
      <c r="D86" s="26" t="s">
        <v>4</v>
      </c>
      <c r="E86" s="1">
        <f t="shared" si="88"/>
        <v>0</v>
      </c>
      <c r="F86" s="1">
        <f t="shared" si="88"/>
        <v>0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27"/>
      <c r="AC86" s="1"/>
      <c r="AD86" s="1"/>
      <c r="AE86" s="27"/>
      <c r="AF86" s="1"/>
      <c r="AG86" s="1"/>
      <c r="AH86" s="27"/>
      <c r="AI86" s="1"/>
      <c r="AJ86" s="1"/>
      <c r="AK86" s="1"/>
      <c r="AL86" s="1"/>
      <c r="AM86" s="1"/>
      <c r="AN86" s="1"/>
      <c r="AO86" s="1"/>
      <c r="AP86" s="1"/>
      <c r="AQ86" s="27"/>
      <c r="AR86" s="34"/>
      <c r="AS86" s="34"/>
    </row>
    <row r="87" spans="1:45" x14ac:dyDescent="0.25">
      <c r="A87" s="101"/>
      <c r="B87" s="101"/>
      <c r="C87" s="101"/>
      <c r="D87" s="26" t="s">
        <v>43</v>
      </c>
      <c r="E87" s="1">
        <f t="shared" si="88"/>
        <v>45</v>
      </c>
      <c r="F87" s="1">
        <f t="shared" si="88"/>
        <v>0</v>
      </c>
      <c r="G87" s="1">
        <f t="shared" ref="G87" si="90">F87/E87*100</f>
        <v>0</v>
      </c>
      <c r="H87" s="1"/>
      <c r="I87" s="1"/>
      <c r="J87" s="1"/>
      <c r="K87" s="1">
        <f>5-5</f>
        <v>0</v>
      </c>
      <c r="L87" s="1">
        <v>0</v>
      </c>
      <c r="M87" s="1"/>
      <c r="N87" s="1"/>
      <c r="O87" s="1"/>
      <c r="P87" s="1"/>
      <c r="Q87" s="1">
        <v>45</v>
      </c>
      <c r="R87" s="1"/>
      <c r="S87" s="1">
        <f t="shared" ref="S87" si="91">R87/Q87*100</f>
        <v>0</v>
      </c>
      <c r="T87" s="1"/>
      <c r="U87" s="1"/>
      <c r="V87" s="1"/>
      <c r="W87" s="1"/>
      <c r="X87" s="1"/>
      <c r="Y87" s="1"/>
      <c r="Z87" s="1"/>
      <c r="AA87" s="1"/>
      <c r="AB87" s="27"/>
      <c r="AC87" s="1"/>
      <c r="AD87" s="1"/>
      <c r="AE87" s="27"/>
      <c r="AF87" s="1">
        <f>10-10</f>
        <v>0</v>
      </c>
      <c r="AG87" s="1">
        <v>0</v>
      </c>
      <c r="AH87" s="27"/>
      <c r="AI87" s="1"/>
      <c r="AJ87" s="1"/>
      <c r="AK87" s="1" t="e">
        <f t="shared" ref="AK87" si="92">AJ87/AI87*100</f>
        <v>#DIV/0!</v>
      </c>
      <c r="AL87" s="1">
        <f>10-10</f>
        <v>0</v>
      </c>
      <c r="AM87" s="1"/>
      <c r="AN87" s="1"/>
      <c r="AO87" s="1"/>
      <c r="AP87" s="1"/>
      <c r="AQ87" s="27"/>
      <c r="AR87" s="94"/>
      <c r="AS87" s="34"/>
    </row>
    <row r="88" spans="1:45" ht="12" customHeight="1" x14ac:dyDescent="0.25">
      <c r="A88" s="101"/>
      <c r="B88" s="101"/>
      <c r="C88" s="101"/>
      <c r="D88" s="26" t="s">
        <v>21</v>
      </c>
      <c r="E88" s="1">
        <f t="shared" si="88"/>
        <v>0</v>
      </c>
      <c r="F88" s="1">
        <f t="shared" si="88"/>
        <v>0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25"/>
      <c r="AS88" s="25"/>
    </row>
    <row r="89" spans="1:45" ht="18" customHeight="1" x14ac:dyDescent="0.25">
      <c r="A89" s="101" t="s">
        <v>53</v>
      </c>
      <c r="B89" s="101" t="s">
        <v>88</v>
      </c>
      <c r="C89" s="101" t="s">
        <v>145</v>
      </c>
      <c r="D89" s="26" t="s">
        <v>3</v>
      </c>
      <c r="E89" s="1">
        <f t="shared" si="88"/>
        <v>898.2</v>
      </c>
      <c r="F89" s="1">
        <f t="shared" si="88"/>
        <v>341.6</v>
      </c>
      <c r="G89" s="1">
        <f>F89/E89*100</f>
        <v>38.031618793141838</v>
      </c>
      <c r="H89" s="1">
        <f>H90+H91+H92+H93</f>
        <v>152.30000000000001</v>
      </c>
      <c r="I89" s="1">
        <f>I90+I91+I92+I93</f>
        <v>0</v>
      </c>
      <c r="J89" s="1">
        <f>I89/H89*100</f>
        <v>0</v>
      </c>
      <c r="K89" s="1">
        <f t="shared" ref="K89:AO89" si="93">K90+K91+K92+K93</f>
        <v>150</v>
      </c>
      <c r="L89" s="1">
        <f t="shared" si="93"/>
        <v>234</v>
      </c>
      <c r="M89" s="1">
        <f>L89/K89*100</f>
        <v>156</v>
      </c>
      <c r="N89" s="1">
        <f t="shared" si="93"/>
        <v>47.4</v>
      </c>
      <c r="O89" s="1">
        <f t="shared" si="93"/>
        <v>107.6</v>
      </c>
      <c r="P89" s="1">
        <f>O89/N89*100</f>
        <v>227.00421940928268</v>
      </c>
      <c r="Q89" s="1">
        <f t="shared" si="93"/>
        <v>100</v>
      </c>
      <c r="R89" s="1">
        <f t="shared" si="93"/>
        <v>0</v>
      </c>
      <c r="S89" s="1">
        <f>R89/Q89*100</f>
        <v>0</v>
      </c>
      <c r="T89" s="1">
        <f t="shared" si="93"/>
        <v>448.5</v>
      </c>
      <c r="U89" s="1">
        <f t="shared" si="93"/>
        <v>0</v>
      </c>
      <c r="V89" s="1"/>
      <c r="W89" s="1">
        <f t="shared" si="93"/>
        <v>0</v>
      </c>
      <c r="X89" s="1">
        <f t="shared" si="93"/>
        <v>0</v>
      </c>
      <c r="Y89" s="1" t="e">
        <f>X89/W89*100</f>
        <v>#DIV/0!</v>
      </c>
      <c r="Z89" s="1">
        <f t="shared" si="93"/>
        <v>0</v>
      </c>
      <c r="AA89" s="1">
        <f t="shared" si="93"/>
        <v>0</v>
      </c>
      <c r="AB89" s="1"/>
      <c r="AC89" s="1">
        <f t="shared" si="93"/>
        <v>0</v>
      </c>
      <c r="AD89" s="1">
        <f t="shared" si="93"/>
        <v>0</v>
      </c>
      <c r="AE89" s="1" t="e">
        <f>AD89/AC89*100</f>
        <v>#DIV/0!</v>
      </c>
      <c r="AF89" s="1">
        <f t="shared" si="93"/>
        <v>0</v>
      </c>
      <c r="AG89" s="1">
        <f t="shared" si="93"/>
        <v>0</v>
      </c>
      <c r="AH89" s="1" t="e">
        <f>AG89/AF89*100</f>
        <v>#DIV/0!</v>
      </c>
      <c r="AI89" s="1">
        <f t="shared" si="93"/>
        <v>0</v>
      </c>
      <c r="AJ89" s="1">
        <f t="shared" si="93"/>
        <v>0</v>
      </c>
      <c r="AK89" s="1" t="e">
        <f>AJ89/AI89*100</f>
        <v>#DIV/0!</v>
      </c>
      <c r="AL89" s="1">
        <f t="shared" si="93"/>
        <v>0</v>
      </c>
      <c r="AM89" s="1">
        <f t="shared" si="93"/>
        <v>0</v>
      </c>
      <c r="AN89" s="1" t="e">
        <f>AM89/AL89*100</f>
        <v>#DIV/0!</v>
      </c>
      <c r="AO89" s="1">
        <f t="shared" si="93"/>
        <v>0</v>
      </c>
      <c r="AP89" s="1"/>
      <c r="AQ89" s="1" t="e">
        <f>AP89/AO89*100</f>
        <v>#DIV/0!</v>
      </c>
      <c r="AR89" s="25"/>
      <c r="AS89" s="25"/>
    </row>
    <row r="90" spans="1:45" ht="18" customHeight="1" x14ac:dyDescent="0.25">
      <c r="A90" s="101"/>
      <c r="B90" s="101"/>
      <c r="C90" s="101"/>
      <c r="D90" s="26" t="s">
        <v>20</v>
      </c>
      <c r="E90" s="1">
        <f t="shared" si="88"/>
        <v>0</v>
      </c>
      <c r="F90" s="1">
        <f t="shared" si="88"/>
        <v>0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25"/>
      <c r="AS90" s="25"/>
    </row>
    <row r="91" spans="1:45" ht="27" customHeight="1" x14ac:dyDescent="0.25">
      <c r="A91" s="101"/>
      <c r="B91" s="101"/>
      <c r="C91" s="101"/>
      <c r="D91" s="26" t="s">
        <v>4</v>
      </c>
      <c r="E91" s="1">
        <f t="shared" si="88"/>
        <v>0</v>
      </c>
      <c r="F91" s="1">
        <f t="shared" si="88"/>
        <v>0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25"/>
      <c r="AS91" s="25"/>
    </row>
    <row r="92" spans="1:45" ht="123" customHeight="1" x14ac:dyDescent="0.25">
      <c r="A92" s="101"/>
      <c r="B92" s="101"/>
      <c r="C92" s="101"/>
      <c r="D92" s="26" t="s">
        <v>43</v>
      </c>
      <c r="E92" s="1">
        <f t="shared" si="88"/>
        <v>898.2</v>
      </c>
      <c r="F92" s="1">
        <f t="shared" si="88"/>
        <v>341.6</v>
      </c>
      <c r="G92" s="1">
        <f t="shared" ref="G92" si="94">F92/E92*100</f>
        <v>38.031618793141838</v>
      </c>
      <c r="H92" s="1">
        <f>389.7-47.4-150-40</f>
        <v>152.30000000000001</v>
      </c>
      <c r="I92" s="1">
        <v>0</v>
      </c>
      <c r="J92" s="1">
        <f t="shared" ref="J92" si="95">I92/H92*100</f>
        <v>0</v>
      </c>
      <c r="K92" s="1">
        <v>150</v>
      </c>
      <c r="L92" s="1">
        <v>234</v>
      </c>
      <c r="M92" s="1">
        <f t="shared" ref="M92" si="96">L92/K92*100</f>
        <v>156</v>
      </c>
      <c r="N92" s="1">
        <f>47.4</f>
        <v>47.4</v>
      </c>
      <c r="O92" s="1">
        <v>107.6</v>
      </c>
      <c r="P92" s="1">
        <f t="shared" ref="P92" si="97">O92/N92*100</f>
        <v>227.00421940928268</v>
      </c>
      <c r="Q92" s="1">
        <v>100</v>
      </c>
      <c r="R92" s="1"/>
      <c r="S92" s="1">
        <f t="shared" ref="S92" si="98">R92/Q92*100</f>
        <v>0</v>
      </c>
      <c r="T92" s="1">
        <v>448.5</v>
      </c>
      <c r="U92" s="1"/>
      <c r="V92" s="1"/>
      <c r="W92" s="1"/>
      <c r="X92" s="1"/>
      <c r="Y92" s="1" t="e">
        <f t="shared" ref="Y92" si="99">X92/W92*100</f>
        <v>#DIV/0!</v>
      </c>
      <c r="Z92" s="1"/>
      <c r="AA92" s="1"/>
      <c r="AB92" s="1"/>
      <c r="AC92" s="1"/>
      <c r="AD92" s="1"/>
      <c r="AE92" s="1" t="e">
        <f t="shared" ref="AE92" si="100">AD92/AC92*100</f>
        <v>#DIV/0!</v>
      </c>
      <c r="AF92" s="1"/>
      <c r="AG92" s="1"/>
      <c r="AH92" s="1" t="e">
        <f t="shared" ref="AH92" si="101">AG92/AF92*100</f>
        <v>#DIV/0!</v>
      </c>
      <c r="AI92" s="1"/>
      <c r="AJ92" s="1"/>
      <c r="AK92" s="1" t="e">
        <f t="shared" ref="AK92" si="102">AJ92/AI92*100</f>
        <v>#DIV/0!</v>
      </c>
      <c r="AL92" s="1"/>
      <c r="AM92" s="1"/>
      <c r="AN92" s="1" t="e">
        <f t="shared" ref="AN92" si="103">AM92/AL92*100</f>
        <v>#DIV/0!</v>
      </c>
      <c r="AO92" s="1"/>
      <c r="AP92" s="1"/>
      <c r="AQ92" s="1" t="e">
        <f t="shared" ref="AQ92" si="104">AP92/AO92*100</f>
        <v>#DIV/0!</v>
      </c>
      <c r="AR92" s="2" t="s">
        <v>197</v>
      </c>
      <c r="AS92" s="94" t="s">
        <v>171</v>
      </c>
    </row>
    <row r="93" spans="1:45" ht="18.75" customHeight="1" x14ac:dyDescent="0.25">
      <c r="A93" s="101"/>
      <c r="B93" s="101"/>
      <c r="C93" s="101"/>
      <c r="D93" s="26" t="s">
        <v>21</v>
      </c>
      <c r="E93" s="1">
        <f t="shared" si="88"/>
        <v>0</v>
      </c>
      <c r="F93" s="1">
        <f t="shared" si="88"/>
        <v>0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25"/>
      <c r="AS93" s="25"/>
    </row>
    <row r="94" spans="1:45" ht="13.15" customHeight="1" x14ac:dyDescent="0.25">
      <c r="A94" s="101" t="s">
        <v>54</v>
      </c>
      <c r="B94" s="101" t="s">
        <v>89</v>
      </c>
      <c r="C94" s="101" t="s">
        <v>145</v>
      </c>
      <c r="D94" s="26" t="s">
        <v>3</v>
      </c>
      <c r="E94" s="1">
        <f t="shared" si="88"/>
        <v>24</v>
      </c>
      <c r="F94" s="1">
        <f t="shared" si="88"/>
        <v>0</v>
      </c>
      <c r="G94" s="1">
        <f>F94/E94*100</f>
        <v>0</v>
      </c>
      <c r="H94" s="1">
        <f>H95+H96+H97+H98</f>
        <v>0</v>
      </c>
      <c r="I94" s="1"/>
      <c r="J94" s="1"/>
      <c r="K94" s="1">
        <f t="shared" ref="K94:AO94" si="105">K95+K96+K97+K98</f>
        <v>0</v>
      </c>
      <c r="L94" s="1"/>
      <c r="M94" s="1"/>
      <c r="N94" s="1">
        <f t="shared" si="105"/>
        <v>0</v>
      </c>
      <c r="O94" s="1"/>
      <c r="P94" s="1"/>
      <c r="Q94" s="1">
        <f t="shared" si="105"/>
        <v>0</v>
      </c>
      <c r="R94" s="1"/>
      <c r="S94" s="1"/>
      <c r="T94" s="1">
        <f t="shared" si="105"/>
        <v>0</v>
      </c>
      <c r="U94" s="1"/>
      <c r="V94" s="1"/>
      <c r="W94" s="1">
        <f t="shared" si="105"/>
        <v>0</v>
      </c>
      <c r="X94" s="1">
        <f t="shared" si="105"/>
        <v>0</v>
      </c>
      <c r="Y94" s="1"/>
      <c r="Z94" s="1">
        <f t="shared" si="105"/>
        <v>24</v>
      </c>
      <c r="AA94" s="1">
        <f t="shared" si="105"/>
        <v>0</v>
      </c>
      <c r="AB94" s="1">
        <f>AA94/Z94*100</f>
        <v>0</v>
      </c>
      <c r="AC94" s="1">
        <f t="shared" si="105"/>
        <v>0</v>
      </c>
      <c r="AD94" s="1"/>
      <c r="AE94" s="1"/>
      <c r="AF94" s="1">
        <f t="shared" si="105"/>
        <v>0</v>
      </c>
      <c r="AG94" s="1"/>
      <c r="AH94" s="1"/>
      <c r="AI94" s="1">
        <f t="shared" si="105"/>
        <v>0</v>
      </c>
      <c r="AJ94" s="1"/>
      <c r="AK94" s="1"/>
      <c r="AL94" s="1">
        <f t="shared" si="105"/>
        <v>0</v>
      </c>
      <c r="AM94" s="1"/>
      <c r="AN94" s="1"/>
      <c r="AO94" s="1">
        <f t="shared" si="105"/>
        <v>0</v>
      </c>
      <c r="AP94" s="1"/>
      <c r="AQ94" s="1"/>
      <c r="AR94" s="25"/>
      <c r="AS94" s="25"/>
    </row>
    <row r="95" spans="1:45" ht="12.6" customHeight="1" x14ac:dyDescent="0.25">
      <c r="A95" s="101"/>
      <c r="B95" s="101"/>
      <c r="C95" s="101"/>
      <c r="D95" s="26" t="s">
        <v>20</v>
      </c>
      <c r="E95" s="1">
        <f t="shared" si="88"/>
        <v>0</v>
      </c>
      <c r="F95" s="1">
        <f t="shared" si="88"/>
        <v>0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25"/>
      <c r="AS95" s="25"/>
    </row>
    <row r="96" spans="1:45" ht="24" x14ac:dyDescent="0.25">
      <c r="A96" s="101"/>
      <c r="B96" s="101"/>
      <c r="C96" s="101"/>
      <c r="D96" s="26" t="s">
        <v>4</v>
      </c>
      <c r="E96" s="1">
        <f t="shared" si="88"/>
        <v>0</v>
      </c>
      <c r="F96" s="1">
        <f t="shared" si="88"/>
        <v>0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25"/>
      <c r="AS96" s="25"/>
    </row>
    <row r="97" spans="1:45" x14ac:dyDescent="0.25">
      <c r="A97" s="101"/>
      <c r="B97" s="101"/>
      <c r="C97" s="101"/>
      <c r="D97" s="26" t="s">
        <v>43</v>
      </c>
      <c r="E97" s="1">
        <f t="shared" si="88"/>
        <v>24</v>
      </c>
      <c r="F97" s="1">
        <f t="shared" si="88"/>
        <v>0</v>
      </c>
      <c r="G97" s="1">
        <f t="shared" ref="G97" si="106">F97/E97*100</f>
        <v>0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>
        <f>24-24</f>
        <v>0</v>
      </c>
      <c r="X97" s="1">
        <v>0</v>
      </c>
      <c r="Y97" s="1"/>
      <c r="Z97" s="1">
        <v>24</v>
      </c>
      <c r="AA97" s="1"/>
      <c r="AB97" s="1">
        <f t="shared" ref="AB97" si="107">AA97/Z97*100</f>
        <v>0</v>
      </c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94"/>
      <c r="AS97" s="94"/>
    </row>
    <row r="98" spans="1:45" ht="15.75" customHeight="1" x14ac:dyDescent="0.25">
      <c r="A98" s="101"/>
      <c r="B98" s="101"/>
      <c r="C98" s="101"/>
      <c r="D98" s="26" t="s">
        <v>21</v>
      </c>
      <c r="E98" s="1">
        <f t="shared" si="88"/>
        <v>0</v>
      </c>
      <c r="F98" s="1">
        <f t="shared" si="88"/>
        <v>0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25"/>
      <c r="AS98" s="25"/>
    </row>
    <row r="99" spans="1:45" ht="12" customHeight="1" x14ac:dyDescent="0.25">
      <c r="A99" s="101" t="s">
        <v>55</v>
      </c>
      <c r="B99" s="101" t="s">
        <v>90</v>
      </c>
      <c r="C99" s="101" t="s">
        <v>145</v>
      </c>
      <c r="D99" s="26" t="s">
        <v>3</v>
      </c>
      <c r="E99" s="1">
        <f t="shared" si="88"/>
        <v>379.4</v>
      </c>
      <c r="F99" s="1">
        <f t="shared" si="88"/>
        <v>100</v>
      </c>
      <c r="G99" s="1">
        <f>F99/E99*100</f>
        <v>26.357406431207171</v>
      </c>
      <c r="H99" s="1">
        <f>H100+H101+H102+H103</f>
        <v>0</v>
      </c>
      <c r="I99" s="1"/>
      <c r="J99" s="27"/>
      <c r="K99" s="1">
        <f t="shared" ref="K99:AO99" si="108">K100+K101+K102+K103</f>
        <v>0</v>
      </c>
      <c r="L99" s="1">
        <f t="shared" si="108"/>
        <v>0</v>
      </c>
      <c r="M99" s="1"/>
      <c r="N99" s="1">
        <f t="shared" si="108"/>
        <v>100</v>
      </c>
      <c r="O99" s="1">
        <f t="shared" si="108"/>
        <v>100</v>
      </c>
      <c r="P99" s="1">
        <f>O99/N99*100</f>
        <v>100</v>
      </c>
      <c r="Q99" s="1">
        <f t="shared" si="108"/>
        <v>16.7</v>
      </c>
      <c r="R99" s="1">
        <f t="shared" si="108"/>
        <v>0</v>
      </c>
      <c r="S99" s="1">
        <f>R99/Q99*100</f>
        <v>0</v>
      </c>
      <c r="T99" s="1">
        <f t="shared" si="108"/>
        <v>250.7</v>
      </c>
      <c r="U99" s="1">
        <f t="shared" si="108"/>
        <v>0</v>
      </c>
      <c r="V99" s="1">
        <f>U99/T99*100</f>
        <v>0</v>
      </c>
      <c r="W99" s="1">
        <f t="shared" si="108"/>
        <v>0</v>
      </c>
      <c r="X99" s="1">
        <f t="shared" si="108"/>
        <v>0</v>
      </c>
      <c r="Y99" s="1"/>
      <c r="Z99" s="1">
        <f t="shared" si="108"/>
        <v>12</v>
      </c>
      <c r="AA99" s="1">
        <f t="shared" si="108"/>
        <v>0</v>
      </c>
      <c r="AB99" s="1">
        <f>AA99/Z99*100</f>
        <v>0</v>
      </c>
      <c r="AC99" s="1">
        <f t="shared" si="108"/>
        <v>0</v>
      </c>
      <c r="AD99" s="1">
        <f t="shared" si="108"/>
        <v>0</v>
      </c>
      <c r="AE99" s="1"/>
      <c r="AF99" s="1">
        <f t="shared" si="108"/>
        <v>0</v>
      </c>
      <c r="AG99" s="1">
        <f t="shared" si="108"/>
        <v>0</v>
      </c>
      <c r="AH99" s="1"/>
      <c r="AI99" s="1">
        <f t="shared" si="108"/>
        <v>0</v>
      </c>
      <c r="AJ99" s="1">
        <f t="shared" si="108"/>
        <v>0</v>
      </c>
      <c r="AK99" s="1"/>
      <c r="AL99" s="1">
        <f t="shared" si="108"/>
        <v>0</v>
      </c>
      <c r="AM99" s="1">
        <f t="shared" si="108"/>
        <v>0</v>
      </c>
      <c r="AN99" s="1"/>
      <c r="AO99" s="1">
        <f t="shared" si="108"/>
        <v>0</v>
      </c>
      <c r="AP99" s="1"/>
      <c r="AQ99" s="27"/>
      <c r="AR99" s="25"/>
      <c r="AS99" s="25"/>
    </row>
    <row r="100" spans="1:45" x14ac:dyDescent="0.25">
      <c r="A100" s="101"/>
      <c r="B100" s="101"/>
      <c r="C100" s="101"/>
      <c r="D100" s="26" t="s">
        <v>20</v>
      </c>
      <c r="E100" s="1">
        <f t="shared" ref="E100:F138" si="109">H100+K100+N100+Q100+T100+W100+Z100+AC100+AF100+AI100+AL100+AO100</f>
        <v>0</v>
      </c>
      <c r="F100" s="1">
        <f t="shared" si="109"/>
        <v>0</v>
      </c>
      <c r="G100" s="1"/>
      <c r="H100" s="1"/>
      <c r="I100" s="1"/>
      <c r="J100" s="27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27"/>
      <c r="AR100" s="25"/>
      <c r="AS100" s="25"/>
    </row>
    <row r="101" spans="1:45" ht="24" x14ac:dyDescent="0.25">
      <c r="A101" s="101"/>
      <c r="B101" s="101"/>
      <c r="C101" s="101"/>
      <c r="D101" s="26" t="s">
        <v>4</v>
      </c>
      <c r="E101" s="1">
        <f t="shared" si="109"/>
        <v>0</v>
      </c>
      <c r="F101" s="1">
        <f t="shared" si="109"/>
        <v>0</v>
      </c>
      <c r="G101" s="1"/>
      <c r="H101" s="35"/>
      <c r="I101" s="35"/>
      <c r="J101" s="27"/>
      <c r="K101" s="1"/>
      <c r="L101" s="35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35"/>
      <c r="AH101" s="1"/>
      <c r="AI101" s="35"/>
      <c r="AJ101" s="1">
        <v>0</v>
      </c>
      <c r="AK101" s="1"/>
      <c r="AL101" s="1"/>
      <c r="AM101" s="35"/>
      <c r="AN101" s="1"/>
      <c r="AO101" s="35"/>
      <c r="AP101" s="35"/>
      <c r="AQ101" s="27"/>
      <c r="AR101" s="34"/>
      <c r="AS101" s="34"/>
    </row>
    <row r="102" spans="1:45" ht="50.25" customHeight="1" x14ac:dyDescent="0.25">
      <c r="A102" s="101"/>
      <c r="B102" s="101"/>
      <c r="C102" s="101"/>
      <c r="D102" s="26" t="s">
        <v>43</v>
      </c>
      <c r="E102" s="1">
        <f t="shared" si="109"/>
        <v>379.4</v>
      </c>
      <c r="F102" s="1">
        <f t="shared" si="109"/>
        <v>100</v>
      </c>
      <c r="G102" s="1">
        <f t="shared" ref="G102" si="110">F102/E102*100</f>
        <v>26.357406431207171</v>
      </c>
      <c r="H102" s="1"/>
      <c r="I102" s="1"/>
      <c r="J102" s="27"/>
      <c r="K102" s="1"/>
      <c r="L102" s="1"/>
      <c r="M102" s="1"/>
      <c r="N102" s="1">
        <v>100</v>
      </c>
      <c r="O102" s="1">
        <v>100</v>
      </c>
      <c r="P102" s="1">
        <f t="shared" ref="P102" si="111">O102/N102*100</f>
        <v>100</v>
      </c>
      <c r="Q102" s="1">
        <v>16.7</v>
      </c>
      <c r="R102" s="1"/>
      <c r="S102" s="1">
        <f t="shared" ref="S102" si="112">R102/Q102*100</f>
        <v>0</v>
      </c>
      <c r="T102" s="1">
        <v>250.7</v>
      </c>
      <c r="U102" s="1"/>
      <c r="V102" s="1">
        <f t="shared" ref="V102" si="113">U102/T102*100</f>
        <v>0</v>
      </c>
      <c r="W102" s="1"/>
      <c r="X102" s="1"/>
      <c r="Y102" s="1"/>
      <c r="Z102" s="1">
        <v>12</v>
      </c>
      <c r="AA102" s="1"/>
      <c r="AB102" s="1">
        <f t="shared" ref="AB102" si="114">AA102/Z102*100</f>
        <v>0</v>
      </c>
      <c r="AC102" s="1"/>
      <c r="AD102" s="1"/>
      <c r="AE102" s="1"/>
      <c r="AF102" s="1"/>
      <c r="AG102" s="1"/>
      <c r="AH102" s="1"/>
      <c r="AI102" s="1"/>
      <c r="AJ102" s="1">
        <v>0</v>
      </c>
      <c r="AK102" s="1"/>
      <c r="AL102" s="1"/>
      <c r="AM102" s="1"/>
      <c r="AN102" s="1"/>
      <c r="AO102" s="1"/>
      <c r="AP102" s="1"/>
      <c r="AQ102" s="27"/>
      <c r="AR102" s="94" t="s">
        <v>198</v>
      </c>
      <c r="AS102" s="94"/>
    </row>
    <row r="103" spans="1:45" ht="15.75" customHeight="1" x14ac:dyDescent="0.25">
      <c r="A103" s="101"/>
      <c r="B103" s="101"/>
      <c r="C103" s="101"/>
      <c r="D103" s="26" t="s">
        <v>21</v>
      </c>
      <c r="E103" s="1">
        <f t="shared" si="109"/>
        <v>0</v>
      </c>
      <c r="F103" s="1">
        <f t="shared" si="109"/>
        <v>0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25"/>
      <c r="AS103" s="25"/>
    </row>
    <row r="104" spans="1:45" ht="15" customHeight="1" x14ac:dyDescent="0.25">
      <c r="A104" s="101" t="s">
        <v>56</v>
      </c>
      <c r="B104" s="101" t="s">
        <v>91</v>
      </c>
      <c r="C104" s="101" t="s">
        <v>145</v>
      </c>
      <c r="D104" s="26" t="s">
        <v>3</v>
      </c>
      <c r="E104" s="1">
        <f>H104+K104+N104+Q104+T104+W104+Z104+AC104+AF104+AI104+AL104+AO104</f>
        <v>39.700000000000003</v>
      </c>
      <c r="F104" s="1">
        <f>I104+L104+O104+R104+U104+X104+AA104+AD104+AG104+AJ104+AM104+AP104</f>
        <v>0</v>
      </c>
      <c r="G104" s="1">
        <f>F104/E104*100</f>
        <v>0</v>
      </c>
      <c r="H104" s="1">
        <f>H105+H106+H107+H108</f>
        <v>0</v>
      </c>
      <c r="I104" s="1"/>
      <c r="J104" s="27"/>
      <c r="K104" s="1">
        <f t="shared" ref="K104:AO104" si="115">K105+K106+K107+K108</f>
        <v>0</v>
      </c>
      <c r="L104" s="1"/>
      <c r="M104" s="27"/>
      <c r="N104" s="1">
        <f t="shared" si="115"/>
        <v>0</v>
      </c>
      <c r="O104" s="1"/>
      <c r="P104" s="27"/>
      <c r="Q104" s="1">
        <f t="shared" si="115"/>
        <v>39.700000000000003</v>
      </c>
      <c r="R104" s="1">
        <f t="shared" si="115"/>
        <v>0</v>
      </c>
      <c r="S104" s="27"/>
      <c r="T104" s="1">
        <f t="shared" si="115"/>
        <v>0</v>
      </c>
      <c r="U104" s="1">
        <f t="shared" si="115"/>
        <v>0</v>
      </c>
      <c r="V104" s="1" t="e">
        <f>U104/T104*100</f>
        <v>#DIV/0!</v>
      </c>
      <c r="W104" s="1">
        <f t="shared" si="115"/>
        <v>0</v>
      </c>
      <c r="X104" s="1">
        <f t="shared" si="115"/>
        <v>0</v>
      </c>
      <c r="Y104" s="27"/>
      <c r="Z104" s="1">
        <f t="shared" si="115"/>
        <v>0</v>
      </c>
      <c r="AA104" s="1">
        <f t="shared" si="115"/>
        <v>0</v>
      </c>
      <c r="AB104" s="27"/>
      <c r="AC104" s="1">
        <f t="shared" si="115"/>
        <v>0</v>
      </c>
      <c r="AD104" s="1"/>
      <c r="AE104" s="27"/>
      <c r="AF104" s="1">
        <f>AF105+AF106+AF107+AF108</f>
        <v>0</v>
      </c>
      <c r="AG104" s="1">
        <f>AG105+AG106+AG107+AG108</f>
        <v>0</v>
      </c>
      <c r="AH104" s="1"/>
      <c r="AI104" s="1">
        <f t="shared" si="115"/>
        <v>0</v>
      </c>
      <c r="AJ104" s="1"/>
      <c r="AK104" s="27"/>
      <c r="AL104" s="1">
        <f t="shared" si="115"/>
        <v>0</v>
      </c>
      <c r="AM104" s="1">
        <f t="shared" si="115"/>
        <v>0</v>
      </c>
      <c r="AN104" s="1"/>
      <c r="AO104" s="1">
        <f t="shared" si="115"/>
        <v>0</v>
      </c>
      <c r="AP104" s="1"/>
      <c r="AQ104" s="27"/>
      <c r="AR104" s="25"/>
      <c r="AS104" s="25"/>
    </row>
    <row r="105" spans="1:45" x14ac:dyDescent="0.25">
      <c r="A105" s="101"/>
      <c r="B105" s="101"/>
      <c r="C105" s="101"/>
      <c r="D105" s="26" t="s">
        <v>20</v>
      </c>
      <c r="E105" s="1">
        <f t="shared" si="109"/>
        <v>0</v>
      </c>
      <c r="F105" s="1">
        <f t="shared" si="109"/>
        <v>0</v>
      </c>
      <c r="G105" s="1"/>
      <c r="H105" s="1"/>
      <c r="I105" s="1"/>
      <c r="J105" s="27"/>
      <c r="K105" s="1"/>
      <c r="L105" s="1"/>
      <c r="M105" s="27"/>
      <c r="N105" s="1"/>
      <c r="O105" s="1"/>
      <c r="P105" s="27"/>
      <c r="Q105" s="1"/>
      <c r="R105" s="1"/>
      <c r="S105" s="27"/>
      <c r="T105" s="1"/>
      <c r="U105" s="1"/>
      <c r="V105" s="1"/>
      <c r="W105" s="1"/>
      <c r="X105" s="1"/>
      <c r="Y105" s="27"/>
      <c r="Z105" s="1"/>
      <c r="AA105" s="1"/>
      <c r="AB105" s="27"/>
      <c r="AC105" s="1"/>
      <c r="AD105" s="1"/>
      <c r="AE105" s="27"/>
      <c r="AF105" s="1"/>
      <c r="AG105" s="1"/>
      <c r="AH105" s="1"/>
      <c r="AI105" s="1"/>
      <c r="AJ105" s="1"/>
      <c r="AK105" s="27"/>
      <c r="AL105" s="1"/>
      <c r="AM105" s="1"/>
      <c r="AN105" s="1"/>
      <c r="AO105" s="1"/>
      <c r="AP105" s="1"/>
      <c r="AQ105" s="27"/>
      <c r="AR105" s="25"/>
      <c r="AS105" s="25"/>
    </row>
    <row r="106" spans="1:45" ht="24" x14ac:dyDescent="0.25">
      <c r="A106" s="101"/>
      <c r="B106" s="101"/>
      <c r="C106" s="101"/>
      <c r="D106" s="26" t="s">
        <v>4</v>
      </c>
      <c r="E106" s="1">
        <f t="shared" si="109"/>
        <v>0</v>
      </c>
      <c r="F106" s="1">
        <f t="shared" si="109"/>
        <v>0</v>
      </c>
      <c r="G106" s="1"/>
      <c r="H106" s="1"/>
      <c r="I106" s="1"/>
      <c r="J106" s="27"/>
      <c r="K106" s="1"/>
      <c r="L106" s="1"/>
      <c r="M106" s="27"/>
      <c r="N106" s="1"/>
      <c r="O106" s="1"/>
      <c r="P106" s="27"/>
      <c r="Q106" s="1"/>
      <c r="R106" s="1"/>
      <c r="S106" s="27"/>
      <c r="T106" s="1"/>
      <c r="U106" s="1"/>
      <c r="V106" s="1"/>
      <c r="W106" s="1"/>
      <c r="X106" s="1"/>
      <c r="Y106" s="27"/>
      <c r="Z106" s="1"/>
      <c r="AA106" s="1"/>
      <c r="AB106" s="27"/>
      <c r="AC106" s="1"/>
      <c r="AD106" s="1"/>
      <c r="AE106" s="27"/>
      <c r="AF106" s="1"/>
      <c r="AG106" s="1"/>
      <c r="AH106" s="1"/>
      <c r="AI106" s="1"/>
      <c r="AJ106" s="1"/>
      <c r="AK106" s="27"/>
      <c r="AL106" s="1"/>
      <c r="AM106" s="1"/>
      <c r="AN106" s="1"/>
      <c r="AO106" s="1"/>
      <c r="AP106" s="1"/>
      <c r="AQ106" s="27"/>
      <c r="AR106" s="25"/>
      <c r="AS106" s="25"/>
    </row>
    <row r="107" spans="1:45" x14ac:dyDescent="0.25">
      <c r="A107" s="101"/>
      <c r="B107" s="101"/>
      <c r="C107" s="101"/>
      <c r="D107" s="26" t="s">
        <v>43</v>
      </c>
      <c r="E107" s="1">
        <f t="shared" si="109"/>
        <v>39.700000000000003</v>
      </c>
      <c r="F107" s="1">
        <f t="shared" si="109"/>
        <v>0</v>
      </c>
      <c r="G107" s="1">
        <f t="shared" ref="G107" si="116">F107/E107*100</f>
        <v>0</v>
      </c>
      <c r="H107" s="1"/>
      <c r="I107" s="1"/>
      <c r="J107" s="27"/>
      <c r="K107" s="1"/>
      <c r="L107" s="1"/>
      <c r="M107" s="27"/>
      <c r="N107" s="1"/>
      <c r="O107" s="1"/>
      <c r="P107" s="27"/>
      <c r="Q107" s="1">
        <v>39.700000000000003</v>
      </c>
      <c r="R107" s="1"/>
      <c r="S107" s="27"/>
      <c r="T107" s="1"/>
      <c r="U107" s="1"/>
      <c r="V107" s="1" t="e">
        <f t="shared" ref="V107" si="117">U107/T107*100</f>
        <v>#DIV/0!</v>
      </c>
      <c r="W107" s="1"/>
      <c r="X107" s="1"/>
      <c r="Y107" s="27"/>
      <c r="Z107" s="1"/>
      <c r="AA107" s="1"/>
      <c r="AB107" s="27"/>
      <c r="AC107" s="1"/>
      <c r="AD107" s="1"/>
      <c r="AE107" s="27"/>
      <c r="AF107" s="1"/>
      <c r="AG107" s="1"/>
      <c r="AH107" s="1"/>
      <c r="AI107" s="1"/>
      <c r="AJ107" s="1"/>
      <c r="AK107" s="27"/>
      <c r="AL107" s="1"/>
      <c r="AM107" s="1">
        <v>0</v>
      </c>
      <c r="AN107" s="1"/>
      <c r="AO107" s="1"/>
      <c r="AP107" s="1"/>
      <c r="AQ107" s="27"/>
      <c r="AR107" s="94"/>
      <c r="AS107" s="94"/>
    </row>
    <row r="108" spans="1:45" ht="15.75" customHeight="1" x14ac:dyDescent="0.25">
      <c r="A108" s="101"/>
      <c r="B108" s="101"/>
      <c r="C108" s="101"/>
      <c r="D108" s="26" t="s">
        <v>21</v>
      </c>
      <c r="E108" s="1">
        <f t="shared" si="109"/>
        <v>0</v>
      </c>
      <c r="F108" s="1">
        <f t="shared" si="109"/>
        <v>0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25"/>
      <c r="AS108" s="25"/>
    </row>
    <row r="109" spans="1:45" ht="12.6" customHeight="1" x14ac:dyDescent="0.25">
      <c r="A109" s="101" t="s">
        <v>57</v>
      </c>
      <c r="B109" s="101" t="s">
        <v>92</v>
      </c>
      <c r="C109" s="101" t="s">
        <v>145</v>
      </c>
      <c r="D109" s="26" t="s">
        <v>3</v>
      </c>
      <c r="E109" s="1">
        <f t="shared" si="109"/>
        <v>100</v>
      </c>
      <c r="F109" s="1">
        <f t="shared" si="109"/>
        <v>0</v>
      </c>
      <c r="G109" s="1">
        <f>F109/E109*100</f>
        <v>0</v>
      </c>
      <c r="H109" s="1">
        <f>H110+H111+H112+H113</f>
        <v>0</v>
      </c>
      <c r="I109" s="1"/>
      <c r="J109" s="27"/>
      <c r="K109" s="1">
        <f t="shared" ref="K109:AO109" si="118">K110+K111+K112+K113</f>
        <v>0</v>
      </c>
      <c r="L109" s="1"/>
      <c r="M109" s="27"/>
      <c r="N109" s="1">
        <f t="shared" si="118"/>
        <v>100</v>
      </c>
      <c r="O109" s="1">
        <f t="shared" si="118"/>
        <v>0</v>
      </c>
      <c r="P109" s="1"/>
      <c r="Q109" s="1">
        <f t="shared" si="118"/>
        <v>0</v>
      </c>
      <c r="R109" s="1">
        <f t="shared" si="118"/>
        <v>0</v>
      </c>
      <c r="S109" s="1"/>
      <c r="T109" s="1">
        <f t="shared" si="118"/>
        <v>0</v>
      </c>
      <c r="U109" s="1">
        <f t="shared" si="118"/>
        <v>0</v>
      </c>
      <c r="V109" s="1"/>
      <c r="W109" s="1">
        <f t="shared" si="118"/>
        <v>0</v>
      </c>
      <c r="X109" s="1">
        <f t="shared" si="118"/>
        <v>0</v>
      </c>
      <c r="Y109" s="27"/>
      <c r="Z109" s="1">
        <f t="shared" si="118"/>
        <v>0</v>
      </c>
      <c r="AA109" s="1">
        <f t="shared" si="118"/>
        <v>0</v>
      </c>
      <c r="AB109" s="27"/>
      <c r="AC109" s="1">
        <f t="shared" si="118"/>
        <v>0</v>
      </c>
      <c r="AD109" s="1">
        <f t="shared" si="118"/>
        <v>0</v>
      </c>
      <c r="AE109" s="27"/>
      <c r="AF109" s="1">
        <f t="shared" si="118"/>
        <v>0</v>
      </c>
      <c r="AG109" s="1">
        <f t="shared" si="118"/>
        <v>0</v>
      </c>
      <c r="AH109" s="1"/>
      <c r="AI109" s="1">
        <f t="shared" si="118"/>
        <v>0</v>
      </c>
      <c r="AJ109" s="1">
        <f t="shared" si="118"/>
        <v>0</v>
      </c>
      <c r="AK109" s="27"/>
      <c r="AL109" s="1">
        <f t="shared" si="118"/>
        <v>0</v>
      </c>
      <c r="AM109" s="1"/>
      <c r="AN109" s="27"/>
      <c r="AO109" s="1">
        <f t="shared" si="118"/>
        <v>0</v>
      </c>
      <c r="AP109" s="1"/>
      <c r="AQ109" s="27"/>
      <c r="AR109" s="25"/>
      <c r="AS109" s="25"/>
    </row>
    <row r="110" spans="1:45" x14ac:dyDescent="0.25">
      <c r="A110" s="101"/>
      <c r="B110" s="101"/>
      <c r="C110" s="101"/>
      <c r="D110" s="26" t="s">
        <v>20</v>
      </c>
      <c r="E110" s="1">
        <f t="shared" si="109"/>
        <v>0</v>
      </c>
      <c r="F110" s="1">
        <f t="shared" si="109"/>
        <v>0</v>
      </c>
      <c r="G110" s="1"/>
      <c r="H110" s="1"/>
      <c r="I110" s="1"/>
      <c r="J110" s="27"/>
      <c r="K110" s="1"/>
      <c r="L110" s="1"/>
      <c r="M110" s="27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27"/>
      <c r="Z110" s="1"/>
      <c r="AA110" s="1"/>
      <c r="AB110" s="27"/>
      <c r="AC110" s="1"/>
      <c r="AD110" s="1"/>
      <c r="AE110" s="27"/>
      <c r="AF110" s="1"/>
      <c r="AG110" s="1"/>
      <c r="AH110" s="1"/>
      <c r="AI110" s="1"/>
      <c r="AJ110" s="1"/>
      <c r="AK110" s="27"/>
      <c r="AL110" s="1"/>
      <c r="AM110" s="1"/>
      <c r="AN110" s="27"/>
      <c r="AO110" s="1"/>
      <c r="AP110" s="1"/>
      <c r="AQ110" s="27"/>
      <c r="AR110" s="25"/>
      <c r="AS110" s="25"/>
    </row>
    <row r="111" spans="1:45" ht="24" x14ac:dyDescent="0.25">
      <c r="A111" s="101"/>
      <c r="B111" s="101"/>
      <c r="C111" s="101"/>
      <c r="D111" s="26" t="s">
        <v>4</v>
      </c>
      <c r="E111" s="1">
        <f t="shared" si="109"/>
        <v>0</v>
      </c>
      <c r="F111" s="1">
        <f t="shared" si="109"/>
        <v>0</v>
      </c>
      <c r="G111" s="1"/>
      <c r="H111" s="1"/>
      <c r="I111" s="1"/>
      <c r="J111" s="27"/>
      <c r="K111" s="1"/>
      <c r="L111" s="1"/>
      <c r="M111" s="27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27"/>
      <c r="Z111" s="1"/>
      <c r="AA111" s="1"/>
      <c r="AB111" s="27"/>
      <c r="AC111" s="1"/>
      <c r="AD111" s="1"/>
      <c r="AE111" s="27"/>
      <c r="AF111" s="1"/>
      <c r="AG111" s="1"/>
      <c r="AH111" s="1"/>
      <c r="AI111" s="1"/>
      <c r="AJ111" s="1"/>
      <c r="AK111" s="27"/>
      <c r="AL111" s="1"/>
      <c r="AM111" s="1"/>
      <c r="AN111" s="27"/>
      <c r="AO111" s="1"/>
      <c r="AP111" s="1"/>
      <c r="AQ111" s="27"/>
      <c r="AR111" s="25"/>
      <c r="AS111" s="25"/>
    </row>
    <row r="112" spans="1:45" ht="36" x14ac:dyDescent="0.25">
      <c r="A112" s="101"/>
      <c r="B112" s="101"/>
      <c r="C112" s="101"/>
      <c r="D112" s="26" t="s">
        <v>43</v>
      </c>
      <c r="E112" s="1">
        <f t="shared" si="109"/>
        <v>100</v>
      </c>
      <c r="F112" s="1">
        <f t="shared" si="109"/>
        <v>0</v>
      </c>
      <c r="G112" s="1">
        <f t="shared" ref="G112" si="119">F112/E112*100</f>
        <v>0</v>
      </c>
      <c r="H112" s="1"/>
      <c r="I112" s="1"/>
      <c r="J112" s="27"/>
      <c r="K112" s="1"/>
      <c r="L112" s="1"/>
      <c r="M112" s="27"/>
      <c r="N112" s="1">
        <v>100</v>
      </c>
      <c r="O112" s="1">
        <v>0</v>
      </c>
      <c r="P112" s="1"/>
      <c r="Q112" s="1"/>
      <c r="R112" s="1"/>
      <c r="S112" s="1"/>
      <c r="T112" s="1">
        <f>42.5-42.5</f>
        <v>0</v>
      </c>
      <c r="U112" s="1">
        <v>0</v>
      </c>
      <c r="V112" s="1"/>
      <c r="W112" s="1"/>
      <c r="X112" s="1"/>
      <c r="Y112" s="27"/>
      <c r="Z112" s="1"/>
      <c r="AA112" s="1"/>
      <c r="AB112" s="27"/>
      <c r="AC112" s="1"/>
      <c r="AD112" s="1"/>
      <c r="AE112" s="27"/>
      <c r="AF112" s="1"/>
      <c r="AG112" s="1"/>
      <c r="AH112" s="1"/>
      <c r="AI112" s="1">
        <f>17.8-17.8</f>
        <v>0</v>
      </c>
      <c r="AJ112" s="1">
        <v>0</v>
      </c>
      <c r="AK112" s="27"/>
      <c r="AL112" s="1"/>
      <c r="AM112" s="1"/>
      <c r="AN112" s="27"/>
      <c r="AO112" s="1"/>
      <c r="AP112" s="1"/>
      <c r="AQ112" s="27"/>
      <c r="AR112" s="94"/>
      <c r="AS112" s="94" t="s">
        <v>207</v>
      </c>
    </row>
    <row r="113" spans="1:45" ht="15.75" customHeight="1" x14ac:dyDescent="0.25">
      <c r="A113" s="101"/>
      <c r="B113" s="101"/>
      <c r="C113" s="101"/>
      <c r="D113" s="26" t="s">
        <v>21</v>
      </c>
      <c r="E113" s="1">
        <f t="shared" si="109"/>
        <v>0</v>
      </c>
      <c r="F113" s="1">
        <f t="shared" si="109"/>
        <v>0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25"/>
      <c r="AS113" s="25"/>
    </row>
    <row r="114" spans="1:45" ht="13.9" customHeight="1" x14ac:dyDescent="0.25">
      <c r="A114" s="101" t="s">
        <v>58</v>
      </c>
      <c r="B114" s="101" t="s">
        <v>128</v>
      </c>
      <c r="C114" s="101" t="s">
        <v>145</v>
      </c>
      <c r="D114" s="26" t="s">
        <v>3</v>
      </c>
      <c r="E114" s="1">
        <f t="shared" si="109"/>
        <v>849284.50000000012</v>
      </c>
      <c r="F114" s="1">
        <f t="shared" si="109"/>
        <v>147424.4</v>
      </c>
      <c r="G114" s="1">
        <f>F114/E114*100</f>
        <v>17.358658965281947</v>
      </c>
      <c r="H114" s="1">
        <f>H115+H116+H117+H118</f>
        <v>24411.200000000001</v>
      </c>
      <c r="I114" s="1">
        <f>I115+I116+I117+I118</f>
        <v>24373</v>
      </c>
      <c r="J114" s="1">
        <f>I114/H114*100</f>
        <v>99.843514452382507</v>
      </c>
      <c r="K114" s="1">
        <f t="shared" ref="K114:AO114" si="120">K115+K116+K117+K118</f>
        <v>68917.399999999994</v>
      </c>
      <c r="L114" s="1">
        <f t="shared" si="120"/>
        <v>68882.3</v>
      </c>
      <c r="M114" s="1">
        <f>L114/K114*100</f>
        <v>99.949069465766286</v>
      </c>
      <c r="N114" s="1">
        <f t="shared" si="120"/>
        <v>54188.1</v>
      </c>
      <c r="O114" s="1">
        <f t="shared" si="120"/>
        <v>54169.1</v>
      </c>
      <c r="P114" s="1">
        <f>O114/N114*100</f>
        <v>99.964936951101819</v>
      </c>
      <c r="Q114" s="1">
        <f t="shared" si="120"/>
        <v>75263.3</v>
      </c>
      <c r="R114" s="1">
        <f t="shared" si="120"/>
        <v>0</v>
      </c>
      <c r="S114" s="1">
        <f>R114/Q114*100</f>
        <v>0</v>
      </c>
      <c r="T114" s="1">
        <f t="shared" si="120"/>
        <v>102908.90000000001</v>
      </c>
      <c r="U114" s="1">
        <f t="shared" si="120"/>
        <v>0</v>
      </c>
      <c r="V114" s="1">
        <f>U114/T114*100</f>
        <v>0</v>
      </c>
      <c r="W114" s="1">
        <f t="shared" si="120"/>
        <v>181615.40000000002</v>
      </c>
      <c r="X114" s="1">
        <f t="shared" si="120"/>
        <v>0</v>
      </c>
      <c r="Y114" s="1">
        <f>X114/W114*100</f>
        <v>0</v>
      </c>
      <c r="Z114" s="1">
        <f t="shared" si="120"/>
        <v>77290.600000000006</v>
      </c>
      <c r="AA114" s="1">
        <f t="shared" si="120"/>
        <v>0</v>
      </c>
      <c r="AB114" s="1">
        <f>AA114/Z114*100</f>
        <v>0</v>
      </c>
      <c r="AC114" s="1">
        <f t="shared" si="120"/>
        <v>48671.1</v>
      </c>
      <c r="AD114" s="1">
        <f t="shared" si="120"/>
        <v>0</v>
      </c>
      <c r="AE114" s="1">
        <f>AD114/AC114*100</f>
        <v>0</v>
      </c>
      <c r="AF114" s="1">
        <f>AF115+AF116+AF117+AF118</f>
        <v>40545.300000000003</v>
      </c>
      <c r="AG114" s="1">
        <f t="shared" si="120"/>
        <v>0</v>
      </c>
      <c r="AH114" s="1">
        <f>AG114/AF114*100</f>
        <v>0</v>
      </c>
      <c r="AI114" s="1">
        <f t="shared" si="120"/>
        <v>77649.399999999994</v>
      </c>
      <c r="AJ114" s="1">
        <f t="shared" si="120"/>
        <v>0</v>
      </c>
      <c r="AK114" s="1">
        <f>AJ114/AI114*100</f>
        <v>0</v>
      </c>
      <c r="AL114" s="1">
        <f t="shared" si="120"/>
        <v>48615.3</v>
      </c>
      <c r="AM114" s="1">
        <f t="shared" si="120"/>
        <v>0</v>
      </c>
      <c r="AN114" s="1">
        <f>AM114/AL114*100</f>
        <v>0</v>
      </c>
      <c r="AO114" s="1">
        <f t="shared" si="120"/>
        <v>49208.5</v>
      </c>
      <c r="AP114" s="1"/>
      <c r="AQ114" s="1">
        <f>AP114/AO114*100</f>
        <v>0</v>
      </c>
      <c r="AR114" s="25"/>
      <c r="AS114" s="25"/>
    </row>
    <row r="115" spans="1:45" ht="84" x14ac:dyDescent="0.25">
      <c r="A115" s="101"/>
      <c r="B115" s="101"/>
      <c r="C115" s="101"/>
      <c r="D115" s="26" t="s">
        <v>20</v>
      </c>
      <c r="E115" s="1">
        <f t="shared" si="109"/>
        <v>34372.800000000003</v>
      </c>
      <c r="F115" s="1">
        <f t="shared" si="109"/>
        <v>8344.5</v>
      </c>
      <c r="G115" s="1">
        <f>F115/E115*100</f>
        <v>24.276462784527297</v>
      </c>
      <c r="H115" s="1">
        <f>H120</f>
        <v>2809.2</v>
      </c>
      <c r="I115" s="1">
        <v>2771</v>
      </c>
      <c r="J115" s="1">
        <f>I115/H115*100</f>
        <v>98.640182258294189</v>
      </c>
      <c r="K115" s="1">
        <f>K120</f>
        <v>2776.2</v>
      </c>
      <c r="L115" s="1">
        <v>2741.1</v>
      </c>
      <c r="M115" s="1">
        <f>L115/K115*100</f>
        <v>98.735681867300627</v>
      </c>
      <c r="N115" s="1">
        <f>N120</f>
        <v>2851.4</v>
      </c>
      <c r="O115" s="1">
        <v>2832.4</v>
      </c>
      <c r="P115" s="1">
        <f>O115/N115*100</f>
        <v>99.333660657922422</v>
      </c>
      <c r="Q115" s="1">
        <f>Q120</f>
        <v>2813.2</v>
      </c>
      <c r="R115" s="1"/>
      <c r="S115" s="1">
        <f>R115/Q115*100</f>
        <v>0</v>
      </c>
      <c r="T115" s="1">
        <f>T120</f>
        <v>4676.1000000000004</v>
      </c>
      <c r="U115" s="1"/>
      <c r="V115" s="1">
        <f>U115/T115*100</f>
        <v>0</v>
      </c>
      <c r="W115" s="1">
        <f>W120</f>
        <v>5299.6</v>
      </c>
      <c r="X115" s="1"/>
      <c r="Y115" s="1">
        <f t="shared" ref="Y115:Y117" si="121">X115/W115*100</f>
        <v>0</v>
      </c>
      <c r="Z115" s="1">
        <f>Z120</f>
        <v>0</v>
      </c>
      <c r="AA115" s="1"/>
      <c r="AB115" s="1"/>
      <c r="AC115" s="1">
        <f>AC120</f>
        <v>819.1</v>
      </c>
      <c r="AD115" s="1"/>
      <c r="AE115" s="1">
        <f>AD115/AC115*100</f>
        <v>0</v>
      </c>
      <c r="AF115" s="1">
        <f>AF120</f>
        <v>2908.8</v>
      </c>
      <c r="AG115" s="1"/>
      <c r="AH115" s="1">
        <f t="shared" ref="AH115:AH116" si="122">AG115/AF115*100</f>
        <v>0</v>
      </c>
      <c r="AI115" s="1">
        <f>AI120</f>
        <v>2817.2</v>
      </c>
      <c r="AJ115" s="1"/>
      <c r="AK115" s="1">
        <f>AJ115/AI115*100</f>
        <v>0</v>
      </c>
      <c r="AL115" s="1">
        <f>AL120</f>
        <v>2809.2</v>
      </c>
      <c r="AM115" s="1"/>
      <c r="AN115" s="1">
        <f>AM115/AL115*100</f>
        <v>0</v>
      </c>
      <c r="AO115" s="1">
        <f>AO120</f>
        <v>3792.8</v>
      </c>
      <c r="AP115" s="1"/>
      <c r="AQ115" s="1">
        <f>AP115/AO115*100</f>
        <v>0</v>
      </c>
      <c r="AR115" s="94" t="s">
        <v>172</v>
      </c>
      <c r="AS115" s="94" t="s">
        <v>192</v>
      </c>
    </row>
    <row r="116" spans="1:45" ht="85.5" customHeight="1" x14ac:dyDescent="0.25">
      <c r="A116" s="101"/>
      <c r="B116" s="101"/>
      <c r="C116" s="101"/>
      <c r="D116" s="26" t="s">
        <v>4</v>
      </c>
      <c r="E116" s="1">
        <f t="shared" si="109"/>
        <v>751844.6</v>
      </c>
      <c r="F116" s="1">
        <f t="shared" si="109"/>
        <v>124888</v>
      </c>
      <c r="G116" s="1">
        <f t="shared" ref="G116:G117" si="123">F116/E116*100</f>
        <v>16.610879429073506</v>
      </c>
      <c r="H116" s="1">
        <v>19452</v>
      </c>
      <c r="I116" s="1">
        <v>19452</v>
      </c>
      <c r="J116" s="1">
        <f t="shared" ref="J116:J117" si="124">I116/H116*100</f>
        <v>100</v>
      </c>
      <c r="K116" s="1">
        <v>59633</v>
      </c>
      <c r="L116" s="1">
        <v>59633</v>
      </c>
      <c r="M116" s="1">
        <f t="shared" ref="M116:M129" si="125">L116/K116*100</f>
        <v>100</v>
      </c>
      <c r="N116" s="1">
        <f>62059-16256</f>
        <v>45803</v>
      </c>
      <c r="O116" s="1">
        <v>45803</v>
      </c>
      <c r="P116" s="1">
        <f t="shared" ref="P116:P117" si="126">O116/N116*100</f>
        <v>100</v>
      </c>
      <c r="Q116" s="1">
        <v>65354.3</v>
      </c>
      <c r="R116" s="1"/>
      <c r="S116" s="1">
        <f t="shared" ref="S116:S117" si="127">R116/Q116*100</f>
        <v>0</v>
      </c>
      <c r="T116" s="1">
        <v>93284</v>
      </c>
      <c r="U116" s="1"/>
      <c r="V116" s="1">
        <f t="shared" ref="V116:V117" si="128">U116/T116*100</f>
        <v>0</v>
      </c>
      <c r="W116" s="1">
        <f>162559+9672.6</f>
        <v>172231.6</v>
      </c>
      <c r="X116" s="1"/>
      <c r="Y116" s="1">
        <f t="shared" si="121"/>
        <v>0</v>
      </c>
      <c r="Z116" s="1">
        <v>72333.100000000006</v>
      </c>
      <c r="AA116" s="1"/>
      <c r="AB116" s="1">
        <f t="shared" ref="AB116:AB117" si="129">AA116/Z116*100</f>
        <v>0</v>
      </c>
      <c r="AC116" s="1">
        <v>43157.5</v>
      </c>
      <c r="AD116" s="1"/>
      <c r="AE116" s="1">
        <f t="shared" ref="AE116:AE117" si="130">AD116/AC116*100</f>
        <v>0</v>
      </c>
      <c r="AF116" s="1">
        <v>35077.199999999997</v>
      </c>
      <c r="AG116" s="1"/>
      <c r="AH116" s="1">
        <f t="shared" si="122"/>
        <v>0</v>
      </c>
      <c r="AI116" s="1">
        <f>62515.2+6583.4</f>
        <v>69098.599999999991</v>
      </c>
      <c r="AJ116" s="1"/>
      <c r="AK116" s="1">
        <f t="shared" ref="AK116:AK117" si="131">AJ116/AI116*100</f>
        <v>0</v>
      </c>
      <c r="AL116" s="1">
        <v>39607.800000000003</v>
      </c>
      <c r="AM116" s="1"/>
      <c r="AN116" s="1">
        <f t="shared" ref="AN116:AN117" si="132">AM116/AL116*100</f>
        <v>0</v>
      </c>
      <c r="AO116" s="1">
        <f>20673.7+16138.8</f>
        <v>36812.5</v>
      </c>
      <c r="AP116" s="1"/>
      <c r="AQ116" s="1">
        <f t="shared" ref="AQ116:AQ117" si="133">AP116/AO116*100</f>
        <v>0</v>
      </c>
      <c r="AR116" s="94" t="s">
        <v>193</v>
      </c>
      <c r="AS116" s="94"/>
    </row>
    <row r="117" spans="1:45" x14ac:dyDescent="0.25">
      <c r="A117" s="101"/>
      <c r="B117" s="101"/>
      <c r="C117" s="101"/>
      <c r="D117" s="26" t="s">
        <v>43</v>
      </c>
      <c r="E117" s="1">
        <f t="shared" si="109"/>
        <v>63067.100000000006</v>
      </c>
      <c r="F117" s="1">
        <f t="shared" si="109"/>
        <v>14191.9</v>
      </c>
      <c r="G117" s="1">
        <f t="shared" si="123"/>
        <v>22.502858067042876</v>
      </c>
      <c r="H117" s="1">
        <v>2150</v>
      </c>
      <c r="I117" s="1">
        <v>2150</v>
      </c>
      <c r="J117" s="1">
        <f t="shared" si="124"/>
        <v>100</v>
      </c>
      <c r="K117" s="1">
        <v>6508.2</v>
      </c>
      <c r="L117" s="1">
        <v>6508.2000000000007</v>
      </c>
      <c r="M117" s="1">
        <f t="shared" si="125"/>
        <v>100.00000000000003</v>
      </c>
      <c r="N117" s="1">
        <v>5533.7</v>
      </c>
      <c r="O117" s="1">
        <v>5533.6999999999989</v>
      </c>
      <c r="P117" s="1">
        <f t="shared" si="126"/>
        <v>99.999999999999986</v>
      </c>
      <c r="Q117" s="1">
        <v>7095.8</v>
      </c>
      <c r="R117" s="1"/>
      <c r="S117" s="1">
        <f t="shared" si="127"/>
        <v>0</v>
      </c>
      <c r="T117" s="1">
        <v>4948.8</v>
      </c>
      <c r="U117" s="1"/>
      <c r="V117" s="1">
        <f t="shared" si="128"/>
        <v>0</v>
      </c>
      <c r="W117" s="1">
        <v>4084.2</v>
      </c>
      <c r="X117" s="1"/>
      <c r="Y117" s="1">
        <f t="shared" si="121"/>
        <v>0</v>
      </c>
      <c r="Z117" s="1">
        <v>4957.5</v>
      </c>
      <c r="AA117" s="1"/>
      <c r="AB117" s="1">
        <f t="shared" si="129"/>
        <v>0</v>
      </c>
      <c r="AC117" s="1">
        <v>4694.5</v>
      </c>
      <c r="AD117" s="1"/>
      <c r="AE117" s="1">
        <f t="shared" si="130"/>
        <v>0</v>
      </c>
      <c r="AF117" s="1">
        <v>2559.3000000000002</v>
      </c>
      <c r="AG117" s="1"/>
      <c r="AH117" s="1">
        <f>AG117/AF117*100</f>
        <v>0</v>
      </c>
      <c r="AI117" s="1">
        <v>5733.6</v>
      </c>
      <c r="AJ117" s="1"/>
      <c r="AK117" s="1">
        <f t="shared" si="131"/>
        <v>0</v>
      </c>
      <c r="AL117" s="1">
        <v>6198.3</v>
      </c>
      <c r="AM117" s="1"/>
      <c r="AN117" s="1">
        <f t="shared" si="132"/>
        <v>0</v>
      </c>
      <c r="AO117" s="1">
        <v>8603.2000000000007</v>
      </c>
      <c r="AP117" s="1"/>
      <c r="AQ117" s="1">
        <f t="shared" si="133"/>
        <v>0</v>
      </c>
      <c r="AR117" s="94"/>
      <c r="AS117" s="94"/>
    </row>
    <row r="118" spans="1:45" ht="15.75" customHeight="1" x14ac:dyDescent="0.25">
      <c r="A118" s="101"/>
      <c r="B118" s="101"/>
      <c r="C118" s="101"/>
      <c r="D118" s="26" t="s">
        <v>21</v>
      </c>
      <c r="E118" s="1">
        <f t="shared" si="109"/>
        <v>0</v>
      </c>
      <c r="F118" s="36">
        <f t="shared" si="109"/>
        <v>0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25"/>
      <c r="AS118" s="25"/>
    </row>
    <row r="119" spans="1:45" ht="17.25" customHeight="1" x14ac:dyDescent="0.25">
      <c r="A119" s="103" t="s">
        <v>127</v>
      </c>
      <c r="B119" s="101" t="s">
        <v>129</v>
      </c>
      <c r="C119" s="101" t="s">
        <v>145</v>
      </c>
      <c r="D119" s="26" t="s">
        <v>3</v>
      </c>
      <c r="E119" s="1">
        <f t="shared" si="109"/>
        <v>34372.800000000003</v>
      </c>
      <c r="F119" s="1">
        <f t="shared" si="109"/>
        <v>8344.5</v>
      </c>
      <c r="G119" s="1">
        <f>F119/E119*100</f>
        <v>24.276462784527297</v>
      </c>
      <c r="H119" s="1">
        <f>H120+H121+H122+H123</f>
        <v>2809.2</v>
      </c>
      <c r="I119" s="1">
        <f>I120+I121+I122+I123</f>
        <v>2771</v>
      </c>
      <c r="J119" s="1">
        <f>I119/H119*100</f>
        <v>98.640182258294189</v>
      </c>
      <c r="K119" s="1">
        <f t="shared" ref="K119:L119" si="134">K120+K121+K122+K123</f>
        <v>2776.2</v>
      </c>
      <c r="L119" s="1">
        <f t="shared" si="134"/>
        <v>2741.1</v>
      </c>
      <c r="M119" s="1">
        <f>L119/K119*100</f>
        <v>98.735681867300627</v>
      </c>
      <c r="N119" s="1">
        <f t="shared" ref="N119:O119" si="135">N120+N121+N122+N123</f>
        <v>2851.4</v>
      </c>
      <c r="O119" s="1">
        <f t="shared" si="135"/>
        <v>2832.4</v>
      </c>
      <c r="P119" s="1">
        <f>O119/N119*100</f>
        <v>99.333660657922422</v>
      </c>
      <c r="Q119" s="1">
        <f t="shared" ref="Q119:R119" si="136">Q120+Q121+Q122+Q123</f>
        <v>2813.2</v>
      </c>
      <c r="R119" s="1">
        <f t="shared" si="136"/>
        <v>0</v>
      </c>
      <c r="S119" s="1">
        <f>R119/Q119*100</f>
        <v>0</v>
      </c>
      <c r="T119" s="1">
        <f t="shared" ref="T119:U119" si="137">T120+T121+T122+T123</f>
        <v>4676.1000000000004</v>
      </c>
      <c r="U119" s="1">
        <f t="shared" si="137"/>
        <v>0</v>
      </c>
      <c r="V119" s="1">
        <f>U119/T119*100</f>
        <v>0</v>
      </c>
      <c r="W119" s="1">
        <f t="shared" ref="W119:X119" si="138">W120+W121+W122+W123</f>
        <v>5299.6</v>
      </c>
      <c r="X119" s="1">
        <f t="shared" si="138"/>
        <v>0</v>
      </c>
      <c r="Y119" s="1">
        <f>X119/W119*100</f>
        <v>0</v>
      </c>
      <c r="Z119" s="1">
        <f t="shared" ref="Z119:AA119" si="139">Z120+Z121+Z122+Z123</f>
        <v>0</v>
      </c>
      <c r="AA119" s="1">
        <f t="shared" si="139"/>
        <v>0</v>
      </c>
      <c r="AB119" s="1"/>
      <c r="AC119" s="1">
        <f t="shared" ref="AC119:AD119" si="140">AC120+AC121+AC122+AC123</f>
        <v>819.1</v>
      </c>
      <c r="AD119" s="1">
        <f t="shared" si="140"/>
        <v>0</v>
      </c>
      <c r="AE119" s="1">
        <f>AD119/AC119*100</f>
        <v>0</v>
      </c>
      <c r="AF119" s="1">
        <f>AF120+AF121+AF122+AF123</f>
        <v>2908.8</v>
      </c>
      <c r="AG119" s="1">
        <f t="shared" ref="AG119" si="141">AG120+AG121+AG122+AG123</f>
        <v>0</v>
      </c>
      <c r="AH119" s="1">
        <f>AG119/AF119*100</f>
        <v>0</v>
      </c>
      <c r="AI119" s="1">
        <f t="shared" ref="AI119:AJ119" si="142">AI120+AI121+AI122+AI123</f>
        <v>2817.2</v>
      </c>
      <c r="AJ119" s="1">
        <f t="shared" si="142"/>
        <v>0</v>
      </c>
      <c r="AK119" s="1">
        <f>AJ119/AI119*100</f>
        <v>0</v>
      </c>
      <c r="AL119" s="1">
        <f t="shared" ref="AL119:AM119" si="143">AL120+AL121+AL122+AL123</f>
        <v>2809.2</v>
      </c>
      <c r="AM119" s="1">
        <f t="shared" si="143"/>
        <v>0</v>
      </c>
      <c r="AN119" s="1">
        <f>AM119/AL119*100</f>
        <v>0</v>
      </c>
      <c r="AO119" s="1">
        <f t="shared" ref="AO119" si="144">AO120+AO121+AO122+AO123</f>
        <v>3792.8</v>
      </c>
      <c r="AP119" s="1"/>
      <c r="AQ119" s="1">
        <f>AP119/AO119*100</f>
        <v>0</v>
      </c>
      <c r="AR119" s="25"/>
      <c r="AS119" s="25"/>
    </row>
    <row r="120" spans="1:45" ht="87.75" customHeight="1" x14ac:dyDescent="0.25">
      <c r="A120" s="101"/>
      <c r="B120" s="101"/>
      <c r="C120" s="101"/>
      <c r="D120" s="26" t="s">
        <v>20</v>
      </c>
      <c r="E120" s="1">
        <f t="shared" si="109"/>
        <v>34372.800000000003</v>
      </c>
      <c r="F120" s="1">
        <f t="shared" si="109"/>
        <v>8344.5</v>
      </c>
      <c r="G120" s="1">
        <f>F120/E120*100</f>
        <v>24.276462784527297</v>
      </c>
      <c r="H120" s="1">
        <v>2809.2</v>
      </c>
      <c r="I120" s="1">
        <v>2771</v>
      </c>
      <c r="J120" s="1">
        <f>I120/H120*100</f>
        <v>98.640182258294189</v>
      </c>
      <c r="K120" s="1">
        <v>2776.2</v>
      </c>
      <c r="L120" s="1">
        <v>2741.1</v>
      </c>
      <c r="M120" s="1">
        <f>L120/K120*100</f>
        <v>98.735681867300627</v>
      </c>
      <c r="N120" s="1">
        <v>2851.4</v>
      </c>
      <c r="O120" s="1">
        <v>2832.4</v>
      </c>
      <c r="P120" s="1">
        <f>O120/N120*100</f>
        <v>99.333660657922422</v>
      </c>
      <c r="Q120" s="1">
        <v>2813.2</v>
      </c>
      <c r="R120" s="1"/>
      <c r="S120" s="1">
        <f>R120/Q120*100</f>
        <v>0</v>
      </c>
      <c r="T120" s="1">
        <v>4676.1000000000004</v>
      </c>
      <c r="U120" s="1"/>
      <c r="V120" s="1">
        <f>U120/T120*100</f>
        <v>0</v>
      </c>
      <c r="W120" s="1">
        <v>5299.6</v>
      </c>
      <c r="X120" s="1"/>
      <c r="Y120" s="1">
        <f t="shared" ref="Y120" si="145">X120/W120*100</f>
        <v>0</v>
      </c>
      <c r="Z120" s="1"/>
      <c r="AA120" s="1"/>
      <c r="AB120" s="1"/>
      <c r="AC120" s="1">
        <v>819.1</v>
      </c>
      <c r="AD120" s="1"/>
      <c r="AE120" s="1">
        <f>AD120/AC120*100</f>
        <v>0</v>
      </c>
      <c r="AF120" s="1">
        <v>2908.8</v>
      </c>
      <c r="AG120" s="1"/>
      <c r="AH120" s="1">
        <f t="shared" ref="AH120" si="146">AG120/AF120*100</f>
        <v>0</v>
      </c>
      <c r="AI120" s="1">
        <v>2817.2</v>
      </c>
      <c r="AJ120" s="1"/>
      <c r="AK120" s="1">
        <f>AJ120/AI120*100</f>
        <v>0</v>
      </c>
      <c r="AL120" s="1">
        <v>2809.2</v>
      </c>
      <c r="AM120" s="1"/>
      <c r="AN120" s="1">
        <f>AM120/AL120*100</f>
        <v>0</v>
      </c>
      <c r="AO120" s="1">
        <f>3480.4+312.4</f>
        <v>3792.8</v>
      </c>
      <c r="AP120" s="1"/>
      <c r="AQ120" s="1">
        <f>AP120/AO120*100</f>
        <v>0</v>
      </c>
      <c r="AR120" s="94" t="s">
        <v>172</v>
      </c>
      <c r="AS120" s="94" t="s">
        <v>192</v>
      </c>
    </row>
    <row r="121" spans="1:45" ht="24" x14ac:dyDescent="0.25">
      <c r="A121" s="101"/>
      <c r="B121" s="101"/>
      <c r="C121" s="101"/>
      <c r="D121" s="26" t="s">
        <v>4</v>
      </c>
      <c r="E121" s="1">
        <f t="shared" si="109"/>
        <v>0</v>
      </c>
      <c r="F121" s="1">
        <f t="shared" si="109"/>
        <v>0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94"/>
      <c r="AS121" s="25"/>
    </row>
    <row r="122" spans="1:45" ht="17.25" customHeight="1" x14ac:dyDescent="0.25">
      <c r="A122" s="101"/>
      <c r="B122" s="101"/>
      <c r="C122" s="101"/>
      <c r="D122" s="26" t="s">
        <v>43</v>
      </c>
      <c r="E122" s="1">
        <f t="shared" si="109"/>
        <v>0</v>
      </c>
      <c r="F122" s="1">
        <f t="shared" si="109"/>
        <v>0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94"/>
      <c r="AS122" s="94"/>
    </row>
    <row r="123" spans="1:45" ht="17.25" customHeight="1" x14ac:dyDescent="0.25">
      <c r="A123" s="101"/>
      <c r="B123" s="101"/>
      <c r="C123" s="101"/>
      <c r="D123" s="26" t="s">
        <v>21</v>
      </c>
      <c r="E123" s="1">
        <f t="shared" si="109"/>
        <v>0</v>
      </c>
      <c r="F123" s="36">
        <f t="shared" si="109"/>
        <v>0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25"/>
      <c r="AS123" s="25"/>
    </row>
    <row r="124" spans="1:45" ht="15.75" customHeight="1" x14ac:dyDescent="0.25">
      <c r="A124" s="101" t="s">
        <v>59</v>
      </c>
      <c r="B124" s="101" t="s">
        <v>107</v>
      </c>
      <c r="C124" s="101" t="s">
        <v>145</v>
      </c>
      <c r="D124" s="26" t="s">
        <v>3</v>
      </c>
      <c r="E124" s="1">
        <f t="shared" si="109"/>
        <v>45081</v>
      </c>
      <c r="F124" s="1">
        <f t="shared" si="109"/>
        <v>7233</v>
      </c>
      <c r="G124" s="1">
        <f>F124/E124*100</f>
        <v>16.04445331736208</v>
      </c>
      <c r="H124" s="1">
        <f>H125+H126+H127+H128</f>
        <v>2000</v>
      </c>
      <c r="I124" s="1">
        <f>I125+I126+I127+I128</f>
        <v>2000</v>
      </c>
      <c r="J124" s="1">
        <f>I124/H124*100</f>
        <v>100</v>
      </c>
      <c r="K124" s="1">
        <f t="shared" ref="K124:AO124" si="147">K125+K126+K127+K128</f>
        <v>3133</v>
      </c>
      <c r="L124" s="1">
        <f t="shared" si="147"/>
        <v>3133</v>
      </c>
      <c r="M124" s="1">
        <f t="shared" si="125"/>
        <v>100</v>
      </c>
      <c r="N124" s="1">
        <f t="shared" si="147"/>
        <v>2100</v>
      </c>
      <c r="O124" s="1">
        <f t="shared" si="147"/>
        <v>2100</v>
      </c>
      <c r="P124" s="1">
        <f>O124/N124*100</f>
        <v>100</v>
      </c>
      <c r="Q124" s="1">
        <f t="shared" si="147"/>
        <v>4681</v>
      </c>
      <c r="R124" s="1">
        <f t="shared" si="147"/>
        <v>0</v>
      </c>
      <c r="S124" s="1">
        <f>R124/Q124*100</f>
        <v>0</v>
      </c>
      <c r="T124" s="1">
        <f t="shared" si="147"/>
        <v>4192</v>
      </c>
      <c r="U124" s="1">
        <f t="shared" si="147"/>
        <v>0</v>
      </c>
      <c r="V124" s="1">
        <f>U124/T124*100</f>
        <v>0</v>
      </c>
      <c r="W124" s="1">
        <f t="shared" si="147"/>
        <v>4412</v>
      </c>
      <c r="X124" s="1">
        <f t="shared" si="147"/>
        <v>0</v>
      </c>
      <c r="Y124" s="1">
        <f>X124/W124*100</f>
        <v>0</v>
      </c>
      <c r="Z124" s="1">
        <f t="shared" si="147"/>
        <v>5206</v>
      </c>
      <c r="AA124" s="1">
        <f t="shared" si="147"/>
        <v>0</v>
      </c>
      <c r="AB124" s="1">
        <f>AA124/Z124*100</f>
        <v>0</v>
      </c>
      <c r="AC124" s="1">
        <f t="shared" si="147"/>
        <v>2916</v>
      </c>
      <c r="AD124" s="1">
        <f t="shared" si="147"/>
        <v>0</v>
      </c>
      <c r="AE124" s="1">
        <f>AD124/AC124*100</f>
        <v>0</v>
      </c>
      <c r="AF124" s="1">
        <f t="shared" si="147"/>
        <v>2622</v>
      </c>
      <c r="AG124" s="1">
        <f t="shared" si="147"/>
        <v>0</v>
      </c>
      <c r="AH124" s="1">
        <f>AG124/AF124*100</f>
        <v>0</v>
      </c>
      <c r="AI124" s="1">
        <f t="shared" si="147"/>
        <v>3526</v>
      </c>
      <c r="AJ124" s="1">
        <f t="shared" si="147"/>
        <v>0</v>
      </c>
      <c r="AK124" s="1">
        <f>AJ124/AI124*100</f>
        <v>0</v>
      </c>
      <c r="AL124" s="1">
        <f t="shared" si="147"/>
        <v>3000</v>
      </c>
      <c r="AM124" s="1">
        <f t="shared" si="147"/>
        <v>0</v>
      </c>
      <c r="AN124" s="1">
        <f>AM124/AL124*100</f>
        <v>0</v>
      </c>
      <c r="AO124" s="1">
        <f t="shared" si="147"/>
        <v>7293</v>
      </c>
      <c r="AP124" s="1"/>
      <c r="AQ124" s="1">
        <f>AP124/AO124*100</f>
        <v>0</v>
      </c>
      <c r="AR124" s="25"/>
      <c r="AS124" s="25"/>
    </row>
    <row r="125" spans="1:45" ht="14.25" customHeight="1" x14ac:dyDescent="0.25">
      <c r="A125" s="101"/>
      <c r="B125" s="101"/>
      <c r="C125" s="101"/>
      <c r="D125" s="26" t="s">
        <v>20</v>
      </c>
      <c r="E125" s="1">
        <f t="shared" si="109"/>
        <v>0</v>
      </c>
      <c r="F125" s="37">
        <f t="shared" si="109"/>
        <v>0</v>
      </c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25"/>
      <c r="AS125" s="25"/>
    </row>
    <row r="126" spans="1:45" ht="25.9" customHeight="1" x14ac:dyDescent="0.25">
      <c r="A126" s="101"/>
      <c r="B126" s="101"/>
      <c r="C126" s="101"/>
      <c r="D126" s="26" t="s">
        <v>4</v>
      </c>
      <c r="E126" s="1">
        <f t="shared" si="109"/>
        <v>0</v>
      </c>
      <c r="F126" s="1">
        <f t="shared" si="109"/>
        <v>0</v>
      </c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94"/>
      <c r="AS126" s="25"/>
    </row>
    <row r="127" spans="1:45" ht="84" customHeight="1" x14ac:dyDescent="0.25">
      <c r="A127" s="101"/>
      <c r="B127" s="101"/>
      <c r="C127" s="101"/>
      <c r="D127" s="26" t="s">
        <v>43</v>
      </c>
      <c r="E127" s="1">
        <f t="shared" si="109"/>
        <v>45081</v>
      </c>
      <c r="F127" s="1">
        <f t="shared" si="109"/>
        <v>7233</v>
      </c>
      <c r="G127" s="1">
        <f>F127/E127*100</f>
        <v>16.04445331736208</v>
      </c>
      <c r="H127" s="1">
        <v>2000</v>
      </c>
      <c r="I127" s="1">
        <v>2000</v>
      </c>
      <c r="J127" s="1">
        <f t="shared" ref="J127" si="148">I127/H127*100</f>
        <v>100</v>
      </c>
      <c r="K127" s="1">
        <v>3133</v>
      </c>
      <c r="L127" s="1">
        <v>3133</v>
      </c>
      <c r="M127" s="1">
        <f t="shared" si="125"/>
        <v>100</v>
      </c>
      <c r="N127" s="1">
        <f>3175-1075</f>
        <v>2100</v>
      </c>
      <c r="O127" s="1">
        <v>2100</v>
      </c>
      <c r="P127" s="1">
        <f t="shared" ref="P127" si="149">O127/N127*100</f>
        <v>100</v>
      </c>
      <c r="Q127" s="1">
        <f>3606+1075</f>
        <v>4681</v>
      </c>
      <c r="R127" s="1"/>
      <c r="S127" s="1">
        <f t="shared" ref="S127" si="150">R127/Q127*100</f>
        <v>0</v>
      </c>
      <c r="T127" s="1">
        <v>4192</v>
      </c>
      <c r="U127" s="1"/>
      <c r="V127" s="1">
        <f t="shared" ref="V127" si="151">U127/T127*100</f>
        <v>0</v>
      </c>
      <c r="W127" s="1">
        <v>4412</v>
      </c>
      <c r="X127" s="1"/>
      <c r="Y127" s="1">
        <f t="shared" ref="Y127" si="152">X127/W127*100</f>
        <v>0</v>
      </c>
      <c r="Z127" s="1">
        <v>5206</v>
      </c>
      <c r="AA127" s="1"/>
      <c r="AB127" s="1">
        <f t="shared" ref="AB127" si="153">AA127/Z127*100</f>
        <v>0</v>
      </c>
      <c r="AC127" s="1">
        <v>2916</v>
      </c>
      <c r="AD127" s="1"/>
      <c r="AE127" s="1">
        <f>AD127/AC127*100</f>
        <v>0</v>
      </c>
      <c r="AF127" s="1">
        <v>2622</v>
      </c>
      <c r="AG127" s="1"/>
      <c r="AH127" s="1">
        <f t="shared" ref="AH127" si="154">AG127/AF127*100</f>
        <v>0</v>
      </c>
      <c r="AI127" s="1">
        <v>3526</v>
      </c>
      <c r="AJ127" s="1"/>
      <c r="AK127" s="1">
        <f t="shared" ref="AK127" si="155">AJ127/AI127*100</f>
        <v>0</v>
      </c>
      <c r="AL127" s="1">
        <v>3000</v>
      </c>
      <c r="AM127" s="1"/>
      <c r="AN127" s="1">
        <f>AM127/AL127*100</f>
        <v>0</v>
      </c>
      <c r="AO127" s="1">
        <f>5952.6+1340.4</f>
        <v>7293</v>
      </c>
      <c r="AP127" s="1"/>
      <c r="AQ127" s="1">
        <f>AP127/AO127*100</f>
        <v>0</v>
      </c>
      <c r="AR127" s="94" t="s">
        <v>173</v>
      </c>
      <c r="AS127" s="94"/>
    </row>
    <row r="128" spans="1:45" ht="15.75" customHeight="1" x14ac:dyDescent="0.25">
      <c r="A128" s="101"/>
      <c r="B128" s="101"/>
      <c r="C128" s="101"/>
      <c r="D128" s="26" t="s">
        <v>21</v>
      </c>
      <c r="E128" s="1">
        <f t="shared" si="109"/>
        <v>0</v>
      </c>
      <c r="F128" s="1">
        <f t="shared" si="109"/>
        <v>0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25"/>
      <c r="AS128" s="25"/>
    </row>
    <row r="129" spans="1:45" ht="12.6" customHeight="1" x14ac:dyDescent="0.25">
      <c r="A129" s="101" t="s">
        <v>60</v>
      </c>
      <c r="B129" s="101" t="s">
        <v>165</v>
      </c>
      <c r="C129" s="101" t="s">
        <v>145</v>
      </c>
      <c r="D129" s="26" t="s">
        <v>3</v>
      </c>
      <c r="E129" s="1">
        <f t="shared" si="109"/>
        <v>28142.5</v>
      </c>
      <c r="F129" s="1">
        <f t="shared" si="109"/>
        <v>7512.2999999999993</v>
      </c>
      <c r="G129" s="1">
        <f>F129/E129*100</f>
        <v>26.693790530336674</v>
      </c>
      <c r="H129" s="1">
        <f>H130+H131+H132+H133</f>
        <v>2076</v>
      </c>
      <c r="I129" s="1">
        <f>I130+I131+I132+I133</f>
        <v>0</v>
      </c>
      <c r="J129" s="1">
        <f>I129/H129*100</f>
        <v>0</v>
      </c>
      <c r="K129" s="1">
        <f t="shared" ref="K129:AO129" si="156">K130+K131+K132+K133</f>
        <v>4362</v>
      </c>
      <c r="L129" s="1">
        <f t="shared" si="156"/>
        <v>3595.2</v>
      </c>
      <c r="M129" s="1">
        <f t="shared" si="125"/>
        <v>82.420907840440165</v>
      </c>
      <c r="N129" s="1">
        <f t="shared" si="156"/>
        <v>5474.3</v>
      </c>
      <c r="O129" s="1">
        <f t="shared" si="156"/>
        <v>3917.1</v>
      </c>
      <c r="P129" s="1">
        <f>O129/N129*100</f>
        <v>71.554353981330948</v>
      </c>
      <c r="Q129" s="1">
        <f t="shared" si="156"/>
        <v>3821</v>
      </c>
      <c r="R129" s="1">
        <f t="shared" si="156"/>
        <v>0</v>
      </c>
      <c r="S129" s="1">
        <f>R129/Q129*100</f>
        <v>0</v>
      </c>
      <c r="T129" s="1">
        <f t="shared" si="156"/>
        <v>3307</v>
      </c>
      <c r="U129" s="1">
        <f t="shared" si="156"/>
        <v>0</v>
      </c>
      <c r="V129" s="1">
        <f>U129/T129*100</f>
        <v>0</v>
      </c>
      <c r="W129" s="1">
        <f t="shared" si="156"/>
        <v>701</v>
      </c>
      <c r="X129" s="1">
        <f t="shared" si="156"/>
        <v>0</v>
      </c>
      <c r="Y129" s="1">
        <f>X129/W129*100</f>
        <v>0</v>
      </c>
      <c r="Z129" s="1">
        <f t="shared" si="156"/>
        <v>335</v>
      </c>
      <c r="AA129" s="1">
        <f t="shared" si="156"/>
        <v>0</v>
      </c>
      <c r="AB129" s="1">
        <f>AA129/Z129*100</f>
        <v>0</v>
      </c>
      <c r="AC129" s="1">
        <f t="shared" si="156"/>
        <v>100</v>
      </c>
      <c r="AD129" s="1">
        <f t="shared" si="156"/>
        <v>0</v>
      </c>
      <c r="AE129" s="1"/>
      <c r="AF129" s="1">
        <f t="shared" si="156"/>
        <v>235</v>
      </c>
      <c r="AG129" s="1">
        <f t="shared" si="156"/>
        <v>0</v>
      </c>
      <c r="AH129" s="1"/>
      <c r="AI129" s="1">
        <f t="shared" si="156"/>
        <v>3882</v>
      </c>
      <c r="AJ129" s="1">
        <f t="shared" si="156"/>
        <v>0</v>
      </c>
      <c r="AK129" s="1">
        <f>AJ129/AI129*100</f>
        <v>0</v>
      </c>
      <c r="AL129" s="1">
        <f t="shared" si="156"/>
        <v>2295.3000000000002</v>
      </c>
      <c r="AM129" s="1">
        <f t="shared" si="156"/>
        <v>0</v>
      </c>
      <c r="AN129" s="1">
        <f>AM129/AL129*100</f>
        <v>0</v>
      </c>
      <c r="AO129" s="1">
        <f t="shared" si="156"/>
        <v>1553.9</v>
      </c>
      <c r="AP129" s="1"/>
      <c r="AQ129" s="1">
        <f>AP129/AO129*100</f>
        <v>0</v>
      </c>
      <c r="AR129" s="25"/>
      <c r="AS129" s="25"/>
    </row>
    <row r="130" spans="1:45" x14ac:dyDescent="0.25">
      <c r="A130" s="101"/>
      <c r="B130" s="101"/>
      <c r="C130" s="101"/>
      <c r="D130" s="26" t="s">
        <v>20</v>
      </c>
      <c r="E130" s="1">
        <f t="shared" si="109"/>
        <v>0</v>
      </c>
      <c r="F130" s="1">
        <f t="shared" si="109"/>
        <v>0</v>
      </c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25"/>
      <c r="AS130" s="25"/>
    </row>
    <row r="131" spans="1:45" ht="24" x14ac:dyDescent="0.25">
      <c r="A131" s="101"/>
      <c r="B131" s="101"/>
      <c r="C131" s="101"/>
      <c r="D131" s="26" t="s">
        <v>4</v>
      </c>
      <c r="E131" s="1">
        <f t="shared" si="109"/>
        <v>0</v>
      </c>
      <c r="F131" s="1">
        <f t="shared" si="109"/>
        <v>0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25"/>
      <c r="AS131" s="25"/>
    </row>
    <row r="132" spans="1:45" ht="75.75" customHeight="1" x14ac:dyDescent="0.25">
      <c r="A132" s="101"/>
      <c r="B132" s="101"/>
      <c r="C132" s="101"/>
      <c r="D132" s="26" t="s">
        <v>43</v>
      </c>
      <c r="E132" s="1">
        <f t="shared" si="109"/>
        <v>28142.5</v>
      </c>
      <c r="F132" s="1">
        <f t="shared" si="109"/>
        <v>7512.2999999999993</v>
      </c>
      <c r="G132" s="1">
        <f t="shared" ref="G132" si="157">F132/E132*100</f>
        <v>26.693790530336674</v>
      </c>
      <c r="H132" s="1">
        <v>2076</v>
      </c>
      <c r="I132" s="1">
        <v>0</v>
      </c>
      <c r="J132" s="1">
        <f t="shared" ref="J132" si="158">I132/H132*100</f>
        <v>0</v>
      </c>
      <c r="K132" s="1">
        <f>2262+2100</f>
        <v>4362</v>
      </c>
      <c r="L132" s="1">
        <v>3595.2</v>
      </c>
      <c r="M132" s="1">
        <f t="shared" ref="M132" si="159">L132/K132*100</f>
        <v>82.420907840440165</v>
      </c>
      <c r="N132" s="1">
        <f>2262+1050+2162.3</f>
        <v>5474.3</v>
      </c>
      <c r="O132" s="1">
        <v>3917.1</v>
      </c>
      <c r="P132" s="1">
        <f t="shared" ref="P132" si="160">O132/N132*100</f>
        <v>71.554353981330948</v>
      </c>
      <c r="Q132" s="1">
        <f>2261+1050+510</f>
        <v>3821</v>
      </c>
      <c r="R132" s="1"/>
      <c r="S132" s="1">
        <f t="shared" ref="S132" si="161">R132/Q132*100</f>
        <v>0</v>
      </c>
      <c r="T132" s="1">
        <f>2257+1050</f>
        <v>3307</v>
      </c>
      <c r="U132" s="1"/>
      <c r="V132" s="1">
        <f t="shared" ref="V132" si="162">U132/T132*100</f>
        <v>0</v>
      </c>
      <c r="W132" s="1">
        <v>701</v>
      </c>
      <c r="X132" s="1"/>
      <c r="Y132" s="1">
        <f t="shared" ref="Y132" si="163">X132/W132*100</f>
        <v>0</v>
      </c>
      <c r="Z132" s="1">
        <v>335</v>
      </c>
      <c r="AA132" s="1"/>
      <c r="AB132" s="1">
        <f>AA132/Z132*100</f>
        <v>0</v>
      </c>
      <c r="AC132" s="1">
        <v>100</v>
      </c>
      <c r="AD132" s="1"/>
      <c r="AE132" s="1"/>
      <c r="AF132" s="1">
        <f>1820-1585</f>
        <v>235</v>
      </c>
      <c r="AG132" s="1"/>
      <c r="AH132" s="1"/>
      <c r="AI132" s="1">
        <f>1782+2100</f>
        <v>3882</v>
      </c>
      <c r="AJ132" s="1"/>
      <c r="AK132" s="1">
        <f t="shared" ref="AK132" si="164">AJ132/AI132*100</f>
        <v>0</v>
      </c>
      <c r="AL132" s="1">
        <f>1771+1611.6-1087.3</f>
        <v>2295.3000000000002</v>
      </c>
      <c r="AM132" s="1"/>
      <c r="AN132" s="1">
        <f t="shared" ref="AN132" si="165">AM132/AL132*100</f>
        <v>0</v>
      </c>
      <c r="AO132" s="1">
        <v>1553.9</v>
      </c>
      <c r="AP132" s="1"/>
      <c r="AQ132" s="1">
        <f t="shared" ref="AQ132" si="166">AP132/AO132*100</f>
        <v>0</v>
      </c>
      <c r="AR132" s="94" t="s">
        <v>174</v>
      </c>
      <c r="AS132" s="94" t="s">
        <v>199</v>
      </c>
    </row>
    <row r="133" spans="1:45" ht="15.75" customHeight="1" x14ac:dyDescent="0.25">
      <c r="A133" s="101"/>
      <c r="B133" s="101"/>
      <c r="C133" s="101"/>
      <c r="D133" s="26" t="s">
        <v>21</v>
      </c>
      <c r="E133" s="1">
        <f t="shared" si="109"/>
        <v>0</v>
      </c>
      <c r="F133" s="1">
        <f t="shared" si="109"/>
        <v>0</v>
      </c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25"/>
      <c r="AS133" s="25"/>
    </row>
    <row r="134" spans="1:45" ht="13.15" customHeight="1" x14ac:dyDescent="0.25">
      <c r="A134" s="101" t="s">
        <v>61</v>
      </c>
      <c r="B134" s="101" t="s">
        <v>93</v>
      </c>
      <c r="C134" s="101" t="s">
        <v>145</v>
      </c>
      <c r="D134" s="26" t="s">
        <v>3</v>
      </c>
      <c r="E134" s="1">
        <f t="shared" si="109"/>
        <v>3583.4</v>
      </c>
      <c r="F134" s="1">
        <f t="shared" si="109"/>
        <v>268.3</v>
      </c>
      <c r="G134" s="1">
        <f>F134/E134*100</f>
        <v>7.4873025618128031</v>
      </c>
      <c r="H134" s="1">
        <f>H135+H136+H137+H138</f>
        <v>0</v>
      </c>
      <c r="I134" s="1"/>
      <c r="J134" s="1"/>
      <c r="K134" s="1">
        <f t="shared" ref="K134:AO134" si="167">K135+K136+K137+K138</f>
        <v>0</v>
      </c>
      <c r="L134" s="1">
        <f t="shared" si="167"/>
        <v>0</v>
      </c>
      <c r="M134" s="1"/>
      <c r="N134" s="1">
        <f t="shared" si="167"/>
        <v>493.4</v>
      </c>
      <c r="O134" s="1">
        <f t="shared" si="167"/>
        <v>268.3</v>
      </c>
      <c r="P134" s="1">
        <f>O134/N134*100</f>
        <v>54.377786785569526</v>
      </c>
      <c r="Q134" s="1">
        <f t="shared" si="167"/>
        <v>0</v>
      </c>
      <c r="R134" s="1">
        <f t="shared" si="167"/>
        <v>0</v>
      </c>
      <c r="S134" s="1" t="e">
        <f>R134/Q134*100</f>
        <v>#DIV/0!</v>
      </c>
      <c r="T134" s="1">
        <f t="shared" si="167"/>
        <v>0</v>
      </c>
      <c r="U134" s="1">
        <f t="shared" si="167"/>
        <v>0</v>
      </c>
      <c r="V134" s="1" t="e">
        <f>U134/T134*100</f>
        <v>#DIV/0!</v>
      </c>
      <c r="W134" s="1">
        <f t="shared" si="167"/>
        <v>2090</v>
      </c>
      <c r="X134" s="1">
        <f t="shared" si="167"/>
        <v>0</v>
      </c>
      <c r="Y134" s="1">
        <f>X134/W134*100</f>
        <v>0</v>
      </c>
      <c r="Z134" s="1">
        <f t="shared" si="167"/>
        <v>1000</v>
      </c>
      <c r="AA134" s="1">
        <f t="shared" si="167"/>
        <v>0</v>
      </c>
      <c r="AB134" s="1">
        <f>AA134/Z134*100</f>
        <v>0</v>
      </c>
      <c r="AC134" s="1">
        <f t="shared" si="167"/>
        <v>0</v>
      </c>
      <c r="AD134" s="1">
        <f t="shared" si="167"/>
        <v>0</v>
      </c>
      <c r="AE134" s="1"/>
      <c r="AF134" s="1">
        <f t="shared" si="167"/>
        <v>0</v>
      </c>
      <c r="AG134" s="1">
        <f t="shared" si="167"/>
        <v>0</v>
      </c>
      <c r="AH134" s="1"/>
      <c r="AI134" s="1">
        <f t="shared" si="167"/>
        <v>0</v>
      </c>
      <c r="AJ134" s="1">
        <f t="shared" si="167"/>
        <v>0</v>
      </c>
      <c r="AK134" s="1"/>
      <c r="AL134" s="1">
        <f t="shared" si="167"/>
        <v>0</v>
      </c>
      <c r="AM134" s="1">
        <f t="shared" si="167"/>
        <v>0</v>
      </c>
      <c r="AN134" s="1"/>
      <c r="AO134" s="1">
        <f t="shared" si="167"/>
        <v>0</v>
      </c>
      <c r="AP134" s="1"/>
      <c r="AQ134" s="1" t="e">
        <f>AP134/AO134*100</f>
        <v>#DIV/0!</v>
      </c>
      <c r="AR134" s="25"/>
      <c r="AS134" s="25"/>
    </row>
    <row r="135" spans="1:45" x14ac:dyDescent="0.25">
      <c r="A135" s="101"/>
      <c r="B135" s="101"/>
      <c r="C135" s="101"/>
      <c r="D135" s="26" t="s">
        <v>20</v>
      </c>
      <c r="E135" s="1">
        <f t="shared" si="109"/>
        <v>0</v>
      </c>
      <c r="F135" s="1">
        <f t="shared" si="109"/>
        <v>0</v>
      </c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25"/>
      <c r="AS135" s="25"/>
    </row>
    <row r="136" spans="1:45" ht="88.5" customHeight="1" x14ac:dyDescent="0.25">
      <c r="A136" s="101"/>
      <c r="B136" s="101"/>
      <c r="C136" s="101"/>
      <c r="D136" s="26" t="s">
        <v>4</v>
      </c>
      <c r="E136" s="1">
        <f t="shared" si="109"/>
        <v>3583.4</v>
      </c>
      <c r="F136" s="1">
        <f t="shared" si="109"/>
        <v>268.3</v>
      </c>
      <c r="G136" s="1">
        <f>F136/E136*100</f>
        <v>7.4873025618128031</v>
      </c>
      <c r="H136" s="1"/>
      <c r="I136" s="1"/>
      <c r="J136" s="1"/>
      <c r="K136" s="1">
        <f>642-642</f>
        <v>0</v>
      </c>
      <c r="L136" s="1">
        <v>0</v>
      </c>
      <c r="M136" s="1"/>
      <c r="N136" s="1">
        <v>493.4</v>
      </c>
      <c r="O136" s="1">
        <v>268.3</v>
      </c>
      <c r="P136" s="1">
        <f>O136/N136*100</f>
        <v>54.377786785569526</v>
      </c>
      <c r="Q136" s="1"/>
      <c r="R136" s="1"/>
      <c r="S136" s="1" t="e">
        <f>R136/Q136*100</f>
        <v>#DIV/0!</v>
      </c>
      <c r="T136" s="1"/>
      <c r="U136" s="1"/>
      <c r="V136" s="1" t="e">
        <f>U136/T136*100</f>
        <v>#DIV/0!</v>
      </c>
      <c r="W136" s="1">
        <f>2090</f>
        <v>2090</v>
      </c>
      <c r="X136" s="1"/>
      <c r="Y136" s="1">
        <f>X136/W136*100</f>
        <v>0</v>
      </c>
      <c r="Z136" s="1">
        <f>1000</f>
        <v>1000</v>
      </c>
      <c r="AA136" s="1"/>
      <c r="AB136" s="1">
        <f>AA136/Z136*100</f>
        <v>0</v>
      </c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38"/>
      <c r="AQ136" s="1" t="e">
        <f>AP136/AO136*100</f>
        <v>#DIV/0!</v>
      </c>
      <c r="AR136" s="94" t="s">
        <v>175</v>
      </c>
      <c r="AS136" s="3" t="s">
        <v>201</v>
      </c>
    </row>
    <row r="137" spans="1:45" ht="12.6" customHeight="1" x14ac:dyDescent="0.25">
      <c r="A137" s="101"/>
      <c r="B137" s="101"/>
      <c r="C137" s="101"/>
      <c r="D137" s="26" t="s">
        <v>43</v>
      </c>
      <c r="E137" s="1">
        <f t="shared" si="109"/>
        <v>0</v>
      </c>
      <c r="F137" s="1">
        <f t="shared" si="109"/>
        <v>0</v>
      </c>
      <c r="G137" s="1"/>
      <c r="H137" s="1"/>
      <c r="I137" s="1"/>
      <c r="J137" s="27"/>
      <c r="K137" s="1"/>
      <c r="L137" s="1"/>
      <c r="M137" s="1"/>
      <c r="N137" s="1"/>
      <c r="O137" s="1"/>
      <c r="P137" s="1"/>
      <c r="Q137" s="1"/>
      <c r="R137" s="1"/>
      <c r="S137" s="27"/>
      <c r="T137" s="1"/>
      <c r="U137" s="1"/>
      <c r="V137" s="1"/>
      <c r="W137" s="1"/>
      <c r="X137" s="1"/>
      <c r="Y137" s="27"/>
      <c r="Z137" s="1"/>
      <c r="AA137" s="1"/>
      <c r="AB137" s="27"/>
      <c r="AC137" s="1"/>
      <c r="AD137" s="1"/>
      <c r="AE137" s="27"/>
      <c r="AF137" s="1"/>
      <c r="AG137" s="1"/>
      <c r="AH137" s="1">
        <v>0</v>
      </c>
      <c r="AI137" s="1"/>
      <c r="AJ137" s="1"/>
      <c r="AK137" s="27"/>
      <c r="AL137" s="1"/>
      <c r="AM137" s="1"/>
      <c r="AN137" s="27"/>
      <c r="AO137" s="1"/>
      <c r="AP137" s="38"/>
      <c r="AQ137" s="27"/>
      <c r="AR137" s="25"/>
      <c r="AS137" s="25"/>
    </row>
    <row r="138" spans="1:45" ht="12.6" customHeight="1" x14ac:dyDescent="0.25">
      <c r="A138" s="101"/>
      <c r="B138" s="101"/>
      <c r="C138" s="101"/>
      <c r="D138" s="26" t="s">
        <v>21</v>
      </c>
      <c r="E138" s="1">
        <f t="shared" si="109"/>
        <v>0</v>
      </c>
      <c r="F138" s="1">
        <f t="shared" si="109"/>
        <v>0</v>
      </c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38"/>
      <c r="AQ138" s="38"/>
      <c r="AR138" s="25"/>
      <c r="AS138" s="25"/>
    </row>
    <row r="139" spans="1:45" ht="13.15" customHeight="1" x14ac:dyDescent="0.25">
      <c r="A139" s="101" t="s">
        <v>121</v>
      </c>
      <c r="B139" s="101" t="s">
        <v>123</v>
      </c>
      <c r="C139" s="101" t="s">
        <v>145</v>
      </c>
      <c r="D139" s="26" t="s">
        <v>3</v>
      </c>
      <c r="E139" s="1">
        <f t="shared" ref="E139:F158" si="168">H139+K139+N139+Q139+T139+W139+Z139+AC139+AF139+AI139+AL139+AO139</f>
        <v>0</v>
      </c>
      <c r="F139" s="1">
        <f t="shared" si="168"/>
        <v>0</v>
      </c>
      <c r="G139" s="1"/>
      <c r="H139" s="1">
        <f>H140+H141+H142+H143</f>
        <v>0</v>
      </c>
      <c r="I139" s="1"/>
      <c r="J139" s="27"/>
      <c r="K139" s="1">
        <f t="shared" ref="K139:L139" si="169">K140+K141+K142+K143</f>
        <v>0</v>
      </c>
      <c r="L139" s="1">
        <f t="shared" si="169"/>
        <v>0</v>
      </c>
      <c r="M139" s="1"/>
      <c r="N139" s="1">
        <f t="shared" ref="N139:O139" si="170">N140+N141+N142+N143</f>
        <v>0</v>
      </c>
      <c r="O139" s="1">
        <f t="shared" si="170"/>
        <v>0</v>
      </c>
      <c r="P139" s="1"/>
      <c r="Q139" s="1">
        <f t="shared" ref="Q139:R139" si="171">Q140+Q141+Q142+Q143</f>
        <v>0</v>
      </c>
      <c r="R139" s="1">
        <f t="shared" si="171"/>
        <v>0</v>
      </c>
      <c r="S139" s="1"/>
      <c r="T139" s="1">
        <f t="shared" ref="T139:U139" si="172">T140+T141+T142+T143</f>
        <v>0</v>
      </c>
      <c r="U139" s="1">
        <f t="shared" si="172"/>
        <v>0</v>
      </c>
      <c r="V139" s="1"/>
      <c r="W139" s="1">
        <f t="shared" ref="W139:X139" si="173">W140+W141+W142+W143</f>
        <v>0</v>
      </c>
      <c r="X139" s="1">
        <f t="shared" si="173"/>
        <v>0</v>
      </c>
      <c r="Y139" s="1"/>
      <c r="Z139" s="1">
        <f t="shared" ref="Z139:AA139" si="174">Z140+Z141+Z142+Z143</f>
        <v>0</v>
      </c>
      <c r="AA139" s="1">
        <f t="shared" si="174"/>
        <v>0</v>
      </c>
      <c r="AB139" s="1"/>
      <c r="AC139" s="1">
        <f t="shared" ref="AC139:AD139" si="175">AC140+AC141+AC142+AC143</f>
        <v>0</v>
      </c>
      <c r="AD139" s="1">
        <f t="shared" si="175"/>
        <v>0</v>
      </c>
      <c r="AE139" s="1"/>
      <c r="AF139" s="1">
        <f t="shared" ref="AF139" si="176">AF140+AF141+AF142+AF143</f>
        <v>0</v>
      </c>
      <c r="AG139" s="1"/>
      <c r="AH139" s="27"/>
      <c r="AI139" s="1">
        <f t="shared" ref="AI139:AJ139" si="177">AI140+AI141+AI142+AI143</f>
        <v>0</v>
      </c>
      <c r="AJ139" s="1">
        <f t="shared" si="177"/>
        <v>0</v>
      </c>
      <c r="AK139" s="1"/>
      <c r="AL139" s="1">
        <f t="shared" ref="AL139:AM139" si="178">AL140+AL141+AL142+AL143</f>
        <v>0</v>
      </c>
      <c r="AM139" s="1">
        <f t="shared" si="178"/>
        <v>0</v>
      </c>
      <c r="AN139" s="1"/>
      <c r="AO139" s="1">
        <f t="shared" ref="AO139" si="179">AO140+AO141+AO142+AO143</f>
        <v>0</v>
      </c>
      <c r="AP139" s="1"/>
      <c r="AQ139" s="27"/>
      <c r="AR139" s="25"/>
      <c r="AS139" s="25"/>
    </row>
    <row r="140" spans="1:45" ht="15" customHeight="1" x14ac:dyDescent="0.25">
      <c r="A140" s="101"/>
      <c r="B140" s="101"/>
      <c r="C140" s="101"/>
      <c r="D140" s="26" t="s">
        <v>20</v>
      </c>
      <c r="E140" s="1">
        <f t="shared" si="168"/>
        <v>0</v>
      </c>
      <c r="F140" s="1">
        <f t="shared" si="168"/>
        <v>0</v>
      </c>
      <c r="G140" s="1"/>
      <c r="H140" s="1"/>
      <c r="I140" s="1"/>
      <c r="J140" s="27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27"/>
      <c r="AI140" s="1"/>
      <c r="AJ140" s="1"/>
      <c r="AK140" s="1"/>
      <c r="AL140" s="1"/>
      <c r="AM140" s="1"/>
      <c r="AN140" s="1"/>
      <c r="AO140" s="1"/>
      <c r="AP140" s="1"/>
      <c r="AQ140" s="27"/>
      <c r="AR140" s="25"/>
      <c r="AS140" s="25"/>
    </row>
    <row r="141" spans="1:45" ht="25.5" customHeight="1" x14ac:dyDescent="0.25">
      <c r="A141" s="101"/>
      <c r="B141" s="101"/>
      <c r="C141" s="101"/>
      <c r="D141" s="26" t="s">
        <v>4</v>
      </c>
      <c r="E141" s="1">
        <f t="shared" si="168"/>
        <v>0</v>
      </c>
      <c r="F141" s="1">
        <f t="shared" si="168"/>
        <v>0</v>
      </c>
      <c r="G141" s="1"/>
      <c r="H141" s="1"/>
      <c r="I141" s="1"/>
      <c r="J141" s="27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27"/>
      <c r="AI141" s="1"/>
      <c r="AJ141" s="1"/>
      <c r="AK141" s="1"/>
      <c r="AL141" s="1"/>
      <c r="AM141" s="1"/>
      <c r="AN141" s="1"/>
      <c r="AO141" s="1"/>
      <c r="AP141" s="38"/>
      <c r="AQ141" s="27"/>
      <c r="AR141" s="94"/>
      <c r="AS141" s="3"/>
    </row>
    <row r="142" spans="1:45" x14ac:dyDescent="0.25">
      <c r="A142" s="101"/>
      <c r="B142" s="101"/>
      <c r="C142" s="101"/>
      <c r="D142" s="26" t="s">
        <v>43</v>
      </c>
      <c r="E142" s="1">
        <f t="shared" si="168"/>
        <v>0</v>
      </c>
      <c r="F142" s="1">
        <f t="shared" si="168"/>
        <v>0</v>
      </c>
      <c r="G142" s="1"/>
      <c r="H142" s="1"/>
      <c r="I142" s="1"/>
      <c r="J142" s="27"/>
      <c r="K142" s="1"/>
      <c r="L142" s="1"/>
      <c r="M142" s="1"/>
      <c r="N142" s="1"/>
      <c r="O142" s="1"/>
      <c r="P142" s="1"/>
      <c r="Q142" s="1"/>
      <c r="R142" s="1"/>
      <c r="S142" s="27"/>
      <c r="T142" s="1"/>
      <c r="U142" s="1"/>
      <c r="V142" s="1"/>
      <c r="W142" s="1"/>
      <c r="X142" s="1"/>
      <c r="Y142" s="27"/>
      <c r="Z142" s="1"/>
      <c r="AA142" s="1"/>
      <c r="AB142" s="27"/>
      <c r="AC142" s="1"/>
      <c r="AD142" s="1"/>
      <c r="AE142" s="1"/>
      <c r="AF142" s="1"/>
      <c r="AG142" s="1"/>
      <c r="AH142" s="27"/>
      <c r="AI142" s="1"/>
      <c r="AJ142" s="1"/>
      <c r="AK142" s="27"/>
      <c r="AL142" s="1"/>
      <c r="AM142" s="1"/>
      <c r="AN142" s="27"/>
      <c r="AO142" s="1"/>
      <c r="AP142" s="38"/>
      <c r="AQ142" s="27"/>
      <c r="AR142" s="94"/>
      <c r="AS142" s="25"/>
    </row>
    <row r="143" spans="1:45" ht="15.75" customHeight="1" x14ac:dyDescent="0.25">
      <c r="A143" s="101"/>
      <c r="B143" s="101"/>
      <c r="C143" s="101"/>
      <c r="D143" s="26" t="s">
        <v>21</v>
      </c>
      <c r="E143" s="1">
        <f t="shared" si="168"/>
        <v>0</v>
      </c>
      <c r="F143" s="1">
        <f t="shared" si="168"/>
        <v>0</v>
      </c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38"/>
      <c r="AQ143" s="38"/>
      <c r="AR143" s="25"/>
      <c r="AS143" s="25"/>
    </row>
    <row r="144" spans="1:45" ht="13.15" customHeight="1" x14ac:dyDescent="0.25">
      <c r="A144" s="101" t="s">
        <v>122</v>
      </c>
      <c r="B144" s="101" t="s">
        <v>124</v>
      </c>
      <c r="C144" s="101" t="s">
        <v>145</v>
      </c>
      <c r="D144" s="26" t="s">
        <v>3</v>
      </c>
      <c r="E144" s="1">
        <f t="shared" si="168"/>
        <v>0</v>
      </c>
      <c r="F144" s="1">
        <f t="shared" si="168"/>
        <v>0</v>
      </c>
      <c r="G144" s="1"/>
      <c r="H144" s="1">
        <f>H145+H146+H147+H148</f>
        <v>0</v>
      </c>
      <c r="I144" s="1"/>
      <c r="J144" s="27"/>
      <c r="K144" s="1">
        <f t="shared" ref="K144:L144" si="180">K145+K146+K147+K148</f>
        <v>0</v>
      </c>
      <c r="L144" s="1">
        <f t="shared" si="180"/>
        <v>0</v>
      </c>
      <c r="M144" s="1"/>
      <c r="N144" s="1">
        <f t="shared" ref="N144:O144" si="181">N145+N146+N147+N148</f>
        <v>0</v>
      </c>
      <c r="O144" s="1">
        <f t="shared" si="181"/>
        <v>0</v>
      </c>
      <c r="P144" s="1"/>
      <c r="Q144" s="1">
        <f t="shared" ref="Q144:R144" si="182">Q145+Q146+Q147+Q148</f>
        <v>0</v>
      </c>
      <c r="R144" s="1">
        <f t="shared" si="182"/>
        <v>0</v>
      </c>
      <c r="S144" s="1"/>
      <c r="T144" s="1">
        <f t="shared" ref="T144:U144" si="183">T145+T146+T147+T148</f>
        <v>0</v>
      </c>
      <c r="U144" s="1">
        <f t="shared" si="183"/>
        <v>0</v>
      </c>
      <c r="V144" s="1"/>
      <c r="W144" s="1">
        <f t="shared" ref="W144:X144" si="184">W145+W146+W147+W148</f>
        <v>0</v>
      </c>
      <c r="X144" s="1">
        <f t="shared" si="184"/>
        <v>0</v>
      </c>
      <c r="Y144" s="1"/>
      <c r="Z144" s="1">
        <f t="shared" ref="Z144:AA144" si="185">Z145+Z146+Z147+Z148</f>
        <v>0</v>
      </c>
      <c r="AA144" s="1">
        <f t="shared" si="185"/>
        <v>0</v>
      </c>
      <c r="AB144" s="1"/>
      <c r="AC144" s="1">
        <f t="shared" ref="AC144:AD144" si="186">AC145+AC146+AC147+AC148</f>
        <v>0</v>
      </c>
      <c r="AD144" s="1">
        <f t="shared" si="186"/>
        <v>0</v>
      </c>
      <c r="AE144" s="1"/>
      <c r="AF144" s="1">
        <f t="shared" ref="AF144:AG144" si="187">AF145+AF146+AF147+AF148</f>
        <v>0</v>
      </c>
      <c r="AG144" s="1">
        <f t="shared" si="187"/>
        <v>0</v>
      </c>
      <c r="AH144" s="1"/>
      <c r="AI144" s="1">
        <f t="shared" ref="AI144:AJ144" si="188">AI145+AI146+AI147+AI148</f>
        <v>0</v>
      </c>
      <c r="AJ144" s="1">
        <f t="shared" si="188"/>
        <v>0</v>
      </c>
      <c r="AK144" s="1"/>
      <c r="AL144" s="1">
        <f t="shared" ref="AL144:AM144" si="189">AL145+AL146+AL147+AL148</f>
        <v>0</v>
      </c>
      <c r="AM144" s="1">
        <f t="shared" si="189"/>
        <v>0</v>
      </c>
      <c r="AN144" s="1"/>
      <c r="AO144" s="1">
        <f t="shared" ref="AO144" si="190">AO145+AO146+AO147+AO148</f>
        <v>0</v>
      </c>
      <c r="AP144" s="1"/>
      <c r="AQ144" s="27"/>
      <c r="AR144" s="25"/>
      <c r="AS144" s="25"/>
    </row>
    <row r="145" spans="1:45" ht="14.45" customHeight="1" x14ac:dyDescent="0.25">
      <c r="A145" s="101"/>
      <c r="B145" s="101"/>
      <c r="C145" s="101"/>
      <c r="D145" s="26" t="s">
        <v>20</v>
      </c>
      <c r="E145" s="1">
        <f t="shared" si="168"/>
        <v>0</v>
      </c>
      <c r="F145" s="1">
        <f t="shared" si="168"/>
        <v>0</v>
      </c>
      <c r="G145" s="1"/>
      <c r="H145" s="1"/>
      <c r="I145" s="1"/>
      <c r="J145" s="27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27"/>
      <c r="AR145" s="3"/>
      <c r="AS145" s="25"/>
    </row>
    <row r="146" spans="1:45" ht="27" customHeight="1" x14ac:dyDescent="0.25">
      <c r="A146" s="101"/>
      <c r="B146" s="101"/>
      <c r="C146" s="101"/>
      <c r="D146" s="26" t="s">
        <v>4</v>
      </c>
      <c r="E146" s="1">
        <f t="shared" si="168"/>
        <v>0</v>
      </c>
      <c r="F146" s="1">
        <f t="shared" si="168"/>
        <v>0</v>
      </c>
      <c r="G146" s="1"/>
      <c r="H146" s="1"/>
      <c r="I146" s="1"/>
      <c r="J146" s="27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38"/>
      <c r="AQ146" s="27"/>
      <c r="AR146" s="3"/>
      <c r="AS146" s="3"/>
    </row>
    <row r="147" spans="1:45" ht="14.45" customHeight="1" x14ac:dyDescent="0.25">
      <c r="A147" s="101"/>
      <c r="B147" s="101"/>
      <c r="C147" s="101"/>
      <c r="D147" s="26" t="s">
        <v>43</v>
      </c>
      <c r="E147" s="1">
        <f t="shared" si="168"/>
        <v>0</v>
      </c>
      <c r="F147" s="1">
        <f t="shared" si="168"/>
        <v>0</v>
      </c>
      <c r="G147" s="1"/>
      <c r="H147" s="1"/>
      <c r="I147" s="1"/>
      <c r="J147" s="27"/>
      <c r="K147" s="1"/>
      <c r="L147" s="1"/>
      <c r="M147" s="1"/>
      <c r="N147" s="1"/>
      <c r="O147" s="1"/>
      <c r="P147" s="1"/>
      <c r="Q147" s="1"/>
      <c r="R147" s="1"/>
      <c r="S147" s="27"/>
      <c r="T147" s="1">
        <f>477-477</f>
        <v>0</v>
      </c>
      <c r="U147" s="1"/>
      <c r="V147" s="1"/>
      <c r="W147" s="1"/>
      <c r="X147" s="1"/>
      <c r="Y147" s="27"/>
      <c r="Z147" s="1"/>
      <c r="AA147" s="1"/>
      <c r="AB147" s="27"/>
      <c r="AC147" s="1"/>
      <c r="AD147" s="1"/>
      <c r="AE147" s="27"/>
      <c r="AF147" s="1"/>
      <c r="AG147" s="1"/>
      <c r="AH147" s="1"/>
      <c r="AI147" s="1"/>
      <c r="AJ147" s="1"/>
      <c r="AK147" s="1"/>
      <c r="AL147" s="1"/>
      <c r="AM147" s="1"/>
      <c r="AN147" s="27"/>
      <c r="AO147" s="1"/>
      <c r="AP147" s="38"/>
      <c r="AQ147" s="27"/>
      <c r="AR147" s="3"/>
      <c r="AS147" s="25"/>
    </row>
    <row r="148" spans="1:45" ht="12" customHeight="1" x14ac:dyDescent="0.25">
      <c r="A148" s="98"/>
      <c r="B148" s="98"/>
      <c r="C148" s="98"/>
      <c r="D148" s="26" t="s">
        <v>21</v>
      </c>
      <c r="E148" s="1">
        <f t="shared" si="168"/>
        <v>0</v>
      </c>
      <c r="F148" s="1">
        <f t="shared" si="168"/>
        <v>0</v>
      </c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38"/>
      <c r="AQ148" s="38"/>
      <c r="AR148" s="25"/>
      <c r="AS148" s="25"/>
    </row>
    <row r="149" spans="1:45" ht="13.15" customHeight="1" x14ac:dyDescent="0.25">
      <c r="A149" s="101" t="s">
        <v>155</v>
      </c>
      <c r="B149" s="101" t="s">
        <v>156</v>
      </c>
      <c r="C149" s="101" t="s">
        <v>145</v>
      </c>
      <c r="D149" s="26" t="s">
        <v>3</v>
      </c>
      <c r="E149" s="1">
        <f t="shared" si="168"/>
        <v>2946.6000000000004</v>
      </c>
      <c r="F149" s="1">
        <f t="shared" si="168"/>
        <v>459.2</v>
      </c>
      <c r="G149" s="1">
        <f>F149/E149*100</f>
        <v>15.584062987850404</v>
      </c>
      <c r="H149" s="1">
        <f>H150+H151+H152+H153</f>
        <v>0</v>
      </c>
      <c r="I149" s="1">
        <f>I150+I151+I152+I153</f>
        <v>0</v>
      </c>
      <c r="J149" s="27"/>
      <c r="K149" s="1">
        <f t="shared" ref="K149:L149" si="191">K150+K151+K152+K153</f>
        <v>217.29999999999998</v>
      </c>
      <c r="L149" s="1">
        <f t="shared" si="191"/>
        <v>188</v>
      </c>
      <c r="M149" s="1">
        <f>L149/K149*100</f>
        <v>86.516336861481818</v>
      </c>
      <c r="N149" s="1">
        <f t="shared" ref="N149:O149" si="192">N150+N151+N152+N153</f>
        <v>252.8</v>
      </c>
      <c r="O149" s="1">
        <f t="shared" si="192"/>
        <v>271.2</v>
      </c>
      <c r="P149" s="1">
        <f>O149/N149*100</f>
        <v>107.27848101265822</v>
      </c>
      <c r="Q149" s="1">
        <f t="shared" ref="Q149:R149" si="193">Q150+Q151+Q152+Q153</f>
        <v>252.8</v>
      </c>
      <c r="R149" s="1">
        <f t="shared" si="193"/>
        <v>0</v>
      </c>
      <c r="S149" s="1">
        <f>R149/Q149*100</f>
        <v>0</v>
      </c>
      <c r="T149" s="1">
        <f t="shared" ref="T149:U149" si="194">T150+T151+T152+T153</f>
        <v>252.8</v>
      </c>
      <c r="U149" s="1">
        <f t="shared" si="194"/>
        <v>0</v>
      </c>
      <c r="V149" s="1">
        <f>U149/T149*100</f>
        <v>0</v>
      </c>
      <c r="W149" s="1">
        <f t="shared" ref="W149:X149" si="195">W150+W151+W152+W153</f>
        <v>613.10000000000014</v>
      </c>
      <c r="X149" s="1">
        <f t="shared" si="195"/>
        <v>0</v>
      </c>
      <c r="Y149" s="1">
        <f>X149/W149*100</f>
        <v>0</v>
      </c>
      <c r="Z149" s="1">
        <f t="shared" ref="Z149:AA149" si="196">Z150+Z151+Z152+Z153</f>
        <v>188.8</v>
      </c>
      <c r="AA149" s="1">
        <f t="shared" si="196"/>
        <v>0</v>
      </c>
      <c r="AB149" s="1">
        <f>AA149/Z149*100</f>
        <v>0</v>
      </c>
      <c r="AC149" s="1">
        <f t="shared" ref="AC149:AD149" si="197">AC150+AC151+AC152+AC153</f>
        <v>6.6</v>
      </c>
      <c r="AD149" s="1">
        <f t="shared" si="197"/>
        <v>0</v>
      </c>
      <c r="AE149" s="1"/>
      <c r="AF149" s="1">
        <f t="shared" ref="AF149:AG149" si="198">AF150+AF151+AF152+AF153</f>
        <v>81.599999999999994</v>
      </c>
      <c r="AG149" s="1">
        <f t="shared" si="198"/>
        <v>0</v>
      </c>
      <c r="AH149" s="1">
        <f>AG149/AF149*100</f>
        <v>0</v>
      </c>
      <c r="AI149" s="1">
        <f t="shared" ref="AI149:AJ149" si="199">AI150+AI151+AI152+AI153</f>
        <v>251.5</v>
      </c>
      <c r="AJ149" s="1">
        <f t="shared" si="199"/>
        <v>0</v>
      </c>
      <c r="AK149" s="1">
        <f>AJ149/AI149*100</f>
        <v>0</v>
      </c>
      <c r="AL149" s="1">
        <f t="shared" ref="AL149:AM149" si="200">AL150+AL151+AL152+AL153</f>
        <v>251.5</v>
      </c>
      <c r="AM149" s="1">
        <f t="shared" si="200"/>
        <v>0</v>
      </c>
      <c r="AN149" s="1">
        <f>AM149/AL149*100</f>
        <v>0</v>
      </c>
      <c r="AO149" s="1">
        <f t="shared" ref="AO149" si="201">AO150+AO151+AO152+AO153</f>
        <v>577.79999999999995</v>
      </c>
      <c r="AP149" s="1"/>
      <c r="AQ149" s="27"/>
      <c r="AR149" s="25"/>
      <c r="AS149" s="25"/>
    </row>
    <row r="150" spans="1:45" ht="18.75" customHeight="1" x14ac:dyDescent="0.25">
      <c r="A150" s="101"/>
      <c r="B150" s="101"/>
      <c r="C150" s="101"/>
      <c r="D150" s="26" t="s">
        <v>20</v>
      </c>
      <c r="E150" s="1">
        <f t="shared" si="168"/>
        <v>1137.7000000000003</v>
      </c>
      <c r="F150" s="1">
        <f t="shared" si="168"/>
        <v>177.3</v>
      </c>
      <c r="G150" s="1">
        <f>F150/E150*100</f>
        <v>15.584073129999117</v>
      </c>
      <c r="H150" s="1"/>
      <c r="I150" s="1"/>
      <c r="J150" s="27"/>
      <c r="K150" s="1">
        <v>83.9</v>
      </c>
      <c r="L150" s="1">
        <v>72.599999999999994</v>
      </c>
      <c r="M150" s="1">
        <f>L150/K150*100</f>
        <v>86.531585220500588</v>
      </c>
      <c r="N150" s="1">
        <v>98</v>
      </c>
      <c r="O150" s="1">
        <v>104.7</v>
      </c>
      <c r="P150" s="1">
        <f>O150/N150*100</f>
        <v>106.83673469387756</v>
      </c>
      <c r="Q150" s="1">
        <v>98</v>
      </c>
      <c r="R150" s="1"/>
      <c r="S150" s="1">
        <f>R150/Q150*100</f>
        <v>0</v>
      </c>
      <c r="T150" s="1">
        <v>98</v>
      </c>
      <c r="U150" s="1"/>
      <c r="V150" s="1">
        <f>U150/T150*100</f>
        <v>0</v>
      </c>
      <c r="W150" s="1">
        <v>236.8</v>
      </c>
      <c r="X150" s="1"/>
      <c r="Y150" s="1">
        <f>X150/W150*100</f>
        <v>0</v>
      </c>
      <c r="Z150" s="1">
        <v>68.2</v>
      </c>
      <c r="AA150" s="1"/>
      <c r="AB150" s="1">
        <f>AA150/Z150*100</f>
        <v>0</v>
      </c>
      <c r="AC150" s="1">
        <v>2.5</v>
      </c>
      <c r="AD150" s="1"/>
      <c r="AE150" s="1"/>
      <c r="AF150" s="1">
        <v>31.2</v>
      </c>
      <c r="AG150" s="1"/>
      <c r="AH150" s="1">
        <f>AG150/AF150*100</f>
        <v>0</v>
      </c>
      <c r="AI150" s="1">
        <v>96.7</v>
      </c>
      <c r="AJ150" s="1"/>
      <c r="AK150" s="1">
        <f>AJ150/AI150*100</f>
        <v>0</v>
      </c>
      <c r="AL150" s="1">
        <v>96.7</v>
      </c>
      <c r="AM150" s="1"/>
      <c r="AN150" s="1">
        <f>AM150/AL150*100</f>
        <v>0</v>
      </c>
      <c r="AO150" s="1">
        <v>227.7</v>
      </c>
      <c r="AP150" s="1"/>
      <c r="AQ150" s="27"/>
      <c r="AR150" s="98" t="s">
        <v>176</v>
      </c>
      <c r="AS150" s="98" t="s">
        <v>200</v>
      </c>
    </row>
    <row r="151" spans="1:45" ht="33.75" customHeight="1" x14ac:dyDescent="0.25">
      <c r="A151" s="101"/>
      <c r="B151" s="101"/>
      <c r="C151" s="101"/>
      <c r="D151" s="26" t="s">
        <v>4</v>
      </c>
      <c r="E151" s="1">
        <f t="shared" si="168"/>
        <v>1779.3999999999996</v>
      </c>
      <c r="F151" s="1">
        <f t="shared" si="168"/>
        <v>277.3</v>
      </c>
      <c r="G151" s="1">
        <f t="shared" ref="G151:G152" si="202">F151/E151*100</f>
        <v>15.58390468697314</v>
      </c>
      <c r="H151" s="1"/>
      <c r="I151" s="1"/>
      <c r="J151" s="27"/>
      <c r="K151" s="1">
        <v>131.19999999999999</v>
      </c>
      <c r="L151" s="1">
        <v>113.5</v>
      </c>
      <c r="M151" s="1">
        <f t="shared" ref="M151:M152" si="203">L151/K151*100</f>
        <v>86.509146341463435</v>
      </c>
      <c r="N151" s="1">
        <v>152.30000000000001</v>
      </c>
      <c r="O151" s="1">
        <v>163.80000000000001</v>
      </c>
      <c r="P151" s="1">
        <f t="shared" ref="P151:P152" si="204">O151/N151*100</f>
        <v>107.55088640840447</v>
      </c>
      <c r="Q151" s="1">
        <v>152.30000000000001</v>
      </c>
      <c r="R151" s="1"/>
      <c r="S151" s="1">
        <f t="shared" ref="S151:S152" si="205">R151/Q151*100</f>
        <v>0</v>
      </c>
      <c r="T151" s="1">
        <v>152.30000000000001</v>
      </c>
      <c r="U151" s="1"/>
      <c r="V151" s="1">
        <f t="shared" ref="V151:V152" si="206">U151/T151*100</f>
        <v>0</v>
      </c>
      <c r="W151" s="1">
        <v>370.1</v>
      </c>
      <c r="X151" s="1"/>
      <c r="Y151" s="1">
        <f t="shared" ref="Y151:Y152" si="207">X151/W151*100</f>
        <v>0</v>
      </c>
      <c r="Z151" s="1">
        <v>118.6</v>
      </c>
      <c r="AA151" s="1"/>
      <c r="AB151" s="1">
        <f t="shared" ref="AB151:AB152" si="208">AA151/Z151*100</f>
        <v>0</v>
      </c>
      <c r="AC151" s="1">
        <v>4</v>
      </c>
      <c r="AD151" s="1"/>
      <c r="AE151" s="1"/>
      <c r="AF151" s="1">
        <v>49.6</v>
      </c>
      <c r="AG151" s="1"/>
      <c r="AH151" s="1">
        <f t="shared" ref="AH151:AH152" si="209">AG151/AF151*100</f>
        <v>0</v>
      </c>
      <c r="AI151" s="1">
        <v>152.30000000000001</v>
      </c>
      <c r="AJ151" s="1"/>
      <c r="AK151" s="1">
        <f t="shared" ref="AK151:AK152" si="210">AJ151/AI151*100</f>
        <v>0</v>
      </c>
      <c r="AL151" s="1">
        <v>152.30000000000001</v>
      </c>
      <c r="AM151" s="1"/>
      <c r="AN151" s="1">
        <f t="shared" ref="AN151:AN152" si="211">AM151/AL151*100</f>
        <v>0</v>
      </c>
      <c r="AO151" s="1">
        <v>344.4</v>
      </c>
      <c r="AP151" s="38"/>
      <c r="AQ151" s="27"/>
      <c r="AR151" s="99"/>
      <c r="AS151" s="99"/>
    </row>
    <row r="152" spans="1:45" ht="21" customHeight="1" x14ac:dyDescent="0.25">
      <c r="A152" s="101"/>
      <c r="B152" s="101"/>
      <c r="C152" s="101"/>
      <c r="D152" s="26" t="s">
        <v>43</v>
      </c>
      <c r="E152" s="1">
        <f t="shared" si="168"/>
        <v>29.5</v>
      </c>
      <c r="F152" s="1">
        <f t="shared" si="168"/>
        <v>4.5999999999999996</v>
      </c>
      <c r="G152" s="1">
        <f t="shared" si="202"/>
        <v>15.593220338983048</v>
      </c>
      <c r="H152" s="1"/>
      <c r="I152" s="1"/>
      <c r="J152" s="27"/>
      <c r="K152" s="1">
        <v>2.2000000000000002</v>
      </c>
      <c r="L152" s="1">
        <v>1.9</v>
      </c>
      <c r="M152" s="1">
        <f t="shared" si="203"/>
        <v>86.36363636363636</v>
      </c>
      <c r="N152" s="1">
        <v>2.5</v>
      </c>
      <c r="O152" s="1">
        <v>2.7</v>
      </c>
      <c r="P152" s="1">
        <f t="shared" si="204"/>
        <v>108</v>
      </c>
      <c r="Q152" s="1">
        <v>2.5</v>
      </c>
      <c r="R152" s="1"/>
      <c r="S152" s="1">
        <f t="shared" si="205"/>
        <v>0</v>
      </c>
      <c r="T152" s="1">
        <v>2.5</v>
      </c>
      <c r="U152" s="1"/>
      <c r="V152" s="1">
        <f t="shared" si="206"/>
        <v>0</v>
      </c>
      <c r="W152" s="1">
        <v>6.2</v>
      </c>
      <c r="X152" s="1"/>
      <c r="Y152" s="1">
        <f t="shared" si="207"/>
        <v>0</v>
      </c>
      <c r="Z152" s="1">
        <v>2</v>
      </c>
      <c r="AA152" s="1"/>
      <c r="AB152" s="1">
        <f t="shared" si="208"/>
        <v>0</v>
      </c>
      <c r="AC152" s="1">
        <v>0.1</v>
      </c>
      <c r="AD152" s="1"/>
      <c r="AE152" s="27"/>
      <c r="AF152" s="1">
        <v>0.8</v>
      </c>
      <c r="AG152" s="1"/>
      <c r="AH152" s="1">
        <f t="shared" si="209"/>
        <v>0</v>
      </c>
      <c r="AI152" s="1">
        <v>2.5</v>
      </c>
      <c r="AJ152" s="1"/>
      <c r="AK152" s="1">
        <f t="shared" si="210"/>
        <v>0</v>
      </c>
      <c r="AL152" s="1">
        <v>2.5</v>
      </c>
      <c r="AM152" s="1"/>
      <c r="AN152" s="1">
        <f t="shared" si="211"/>
        <v>0</v>
      </c>
      <c r="AO152" s="1">
        <v>5.7</v>
      </c>
      <c r="AP152" s="38"/>
      <c r="AQ152" s="27"/>
      <c r="AR152" s="100"/>
      <c r="AS152" s="100"/>
    </row>
    <row r="153" spans="1:45" ht="12" customHeight="1" x14ac:dyDescent="0.25">
      <c r="A153" s="101"/>
      <c r="B153" s="101"/>
      <c r="C153" s="101"/>
      <c r="D153" s="26" t="s">
        <v>21</v>
      </c>
      <c r="E153" s="1">
        <f t="shared" si="168"/>
        <v>0</v>
      </c>
      <c r="F153" s="1">
        <f t="shared" si="168"/>
        <v>0</v>
      </c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38"/>
      <c r="AQ153" s="38"/>
      <c r="AR153" s="25"/>
      <c r="AS153" s="25"/>
    </row>
    <row r="154" spans="1:45" ht="13.15" customHeight="1" x14ac:dyDescent="0.25">
      <c r="A154" s="119" t="s">
        <v>9</v>
      </c>
      <c r="B154" s="119"/>
      <c r="C154" s="119"/>
      <c r="D154" s="29" t="s">
        <v>3</v>
      </c>
      <c r="E154" s="30">
        <f t="shared" si="168"/>
        <v>930524.3</v>
      </c>
      <c r="F154" s="30">
        <f t="shared" si="168"/>
        <v>163338.79999999999</v>
      </c>
      <c r="G154" s="30">
        <f>F154/E154*100</f>
        <v>17.55341585383638</v>
      </c>
      <c r="H154" s="30">
        <f>H156+H155+H157+H158</f>
        <v>28639.5</v>
      </c>
      <c r="I154" s="30">
        <f>I156+I155+I157+I158</f>
        <v>26373</v>
      </c>
      <c r="J154" s="30">
        <f>I154/H154*100</f>
        <v>92.086104855182526</v>
      </c>
      <c r="K154" s="30">
        <f t="shared" ref="K154:AO154" si="212">K156+K155+K157+K158</f>
        <v>76779.7</v>
      </c>
      <c r="L154" s="30">
        <f t="shared" si="212"/>
        <v>76032.5</v>
      </c>
      <c r="M154" s="30">
        <f t="shared" ref="M154:M157" si="213">L154/K154*100</f>
        <v>99.026826101169974</v>
      </c>
      <c r="N154" s="30">
        <f t="shared" ref="N154:O154" si="214">N156+N155+N157+N158</f>
        <v>62756.000000000007</v>
      </c>
      <c r="O154" s="30">
        <f t="shared" si="214"/>
        <v>60933.3</v>
      </c>
      <c r="P154" s="30">
        <f t="shared" ref="P154:P157" si="215">O154/N154*100</f>
        <v>97.09557651857989</v>
      </c>
      <c r="Q154" s="30">
        <f t="shared" si="212"/>
        <v>84219.5</v>
      </c>
      <c r="R154" s="30">
        <f t="shared" si="212"/>
        <v>0</v>
      </c>
      <c r="S154" s="30">
        <f>R154/Q154*100</f>
        <v>0</v>
      </c>
      <c r="T154" s="30">
        <f t="shared" si="212"/>
        <v>111359.90000000001</v>
      </c>
      <c r="U154" s="30">
        <f t="shared" si="212"/>
        <v>0</v>
      </c>
      <c r="V154" s="30">
        <f>U154/T154*100</f>
        <v>0</v>
      </c>
      <c r="W154" s="30">
        <f t="shared" si="212"/>
        <v>189431.5</v>
      </c>
      <c r="X154" s="30">
        <f t="shared" si="212"/>
        <v>0</v>
      </c>
      <c r="Y154" s="30">
        <f>X154/W154*100</f>
        <v>0</v>
      </c>
      <c r="Z154" s="30">
        <f t="shared" si="212"/>
        <v>84056.400000000009</v>
      </c>
      <c r="AA154" s="30">
        <f t="shared" si="212"/>
        <v>0</v>
      </c>
      <c r="AB154" s="30">
        <f>AA154/Z154*100</f>
        <v>0</v>
      </c>
      <c r="AC154" s="30">
        <f t="shared" si="212"/>
        <v>51693.7</v>
      </c>
      <c r="AD154" s="30">
        <f t="shared" si="212"/>
        <v>0</v>
      </c>
      <c r="AE154" s="30">
        <f>AD154/AC154*100</f>
        <v>0</v>
      </c>
      <c r="AF154" s="30">
        <f t="shared" si="212"/>
        <v>43483.899999999994</v>
      </c>
      <c r="AG154" s="30">
        <f t="shared" si="212"/>
        <v>0</v>
      </c>
      <c r="AH154" s="30">
        <f>AG154/AF154*100</f>
        <v>0</v>
      </c>
      <c r="AI154" s="30">
        <f t="shared" si="212"/>
        <v>85308.9</v>
      </c>
      <c r="AJ154" s="30">
        <f t="shared" si="212"/>
        <v>0</v>
      </c>
      <c r="AK154" s="30">
        <f>AJ154/AI154*100</f>
        <v>0</v>
      </c>
      <c r="AL154" s="30">
        <f t="shared" si="212"/>
        <v>54162.100000000006</v>
      </c>
      <c r="AM154" s="30">
        <f t="shared" si="212"/>
        <v>0</v>
      </c>
      <c r="AN154" s="30">
        <f>AM154/AL154*100</f>
        <v>0</v>
      </c>
      <c r="AO154" s="30">
        <f t="shared" si="212"/>
        <v>58633.200000000004</v>
      </c>
      <c r="AP154" s="30"/>
      <c r="AQ154" s="30">
        <f>AP154/AO154*100</f>
        <v>0</v>
      </c>
      <c r="AR154" s="25"/>
      <c r="AS154" s="25"/>
    </row>
    <row r="155" spans="1:45" ht="12.75" customHeight="1" x14ac:dyDescent="0.25">
      <c r="A155" s="104"/>
      <c r="B155" s="104"/>
      <c r="C155" s="104"/>
      <c r="D155" s="29" t="s">
        <v>20</v>
      </c>
      <c r="E155" s="30">
        <f t="shared" si="168"/>
        <v>35510.5</v>
      </c>
      <c r="F155" s="30">
        <f t="shared" si="168"/>
        <v>8521.7999999999993</v>
      </c>
      <c r="G155" s="30">
        <f>F155/E155*100</f>
        <v>23.997972430689511</v>
      </c>
      <c r="H155" s="30">
        <f>H85+H90+H95+H100+H105+H110+H115+H125+H130+H135+H140+H145+H150</f>
        <v>2809.2</v>
      </c>
      <c r="I155" s="30">
        <f>I85+I90+I95+I100+I105+I110+I115+I125+I130+I135+I140+I145+I150</f>
        <v>2771</v>
      </c>
      <c r="J155" s="30">
        <f>I155/H155*100</f>
        <v>98.640182258294189</v>
      </c>
      <c r="K155" s="30">
        <f>K85+K90+K95+K100+K105+K110+K115+K125+K130+K135+K140+K145+K150</f>
        <v>2860.1</v>
      </c>
      <c r="L155" s="30">
        <f>L85+L90+L95+L100+L105+L110+L115+L125+L130+L135+L140+L145+L150</f>
        <v>2813.7</v>
      </c>
      <c r="M155" s="30">
        <f t="shared" si="213"/>
        <v>98.377679102129292</v>
      </c>
      <c r="N155" s="30">
        <f>N85+N90+N95+N100+N105+N110+N115+N125+N130+N135+N140+N145+N150</f>
        <v>2949.4</v>
      </c>
      <c r="O155" s="30">
        <f>O85+O90+O95+O100+O105+O110+O115+O125+O130+O135+O140+O145+O150</f>
        <v>2937.1</v>
      </c>
      <c r="P155" s="30">
        <f t="shared" si="215"/>
        <v>99.58296602698853</v>
      </c>
      <c r="Q155" s="30">
        <f>Q85+Q90+Q95+Q100+Q105+Q110+Q115+Q125+Q130+Q135+Q140+Q145+Q150</f>
        <v>2911.2</v>
      </c>
      <c r="R155" s="30">
        <f>R85+R90+R95+R100+R105+R110+R115+R125+R130+R135+R140+R145+R150</f>
        <v>0</v>
      </c>
      <c r="S155" s="30">
        <f>R155/Q155*100</f>
        <v>0</v>
      </c>
      <c r="T155" s="30">
        <f>T85+T90+T95+T100+T105+T110+T115+T125+T130+T135+T140+T145+T150</f>
        <v>4774.1000000000004</v>
      </c>
      <c r="U155" s="30">
        <f>U85+U90+U95+U100+U105+U110+U115+U125+U130+U135+U140+U145+U150</f>
        <v>0</v>
      </c>
      <c r="V155" s="30">
        <f>U155/T155*100</f>
        <v>0</v>
      </c>
      <c r="W155" s="30">
        <f>W85+W90+W95+W100+W105+W110+W115+W125+W130+W135+W140+W145+W150</f>
        <v>5536.4000000000005</v>
      </c>
      <c r="X155" s="30">
        <f>X85+X90+X95+X100+X105+X110+X115+X125+X130+X135+X140+X145+X150</f>
        <v>0</v>
      </c>
      <c r="Y155" s="30">
        <f>X155/W155*100</f>
        <v>0</v>
      </c>
      <c r="Z155" s="30">
        <f>Z85+Z90+Z95+Z100+Z105+Z110+Z115+Z125+Z130+Z135+Z140+Z145+Z150</f>
        <v>68.2</v>
      </c>
      <c r="AA155" s="30">
        <f>AA85+AA90+AA95+AA100+AA105+AA110+AA115+AA125+AA130+AA135+AA140+AA145+AA150</f>
        <v>0</v>
      </c>
      <c r="AB155" s="30">
        <f>AA155/Z155*100</f>
        <v>0</v>
      </c>
      <c r="AC155" s="30">
        <f>AC85+AC90+AC95+AC100+AC105+AC110+AC115+AC125+AC130+AC135+AC140+AC145+AC150</f>
        <v>821.6</v>
      </c>
      <c r="AD155" s="30">
        <f>AD85+AD90+AD95+AD100+AD105+AD110+AD115+AD125+AD130+AD135+AD140+AD145+AD150</f>
        <v>0</v>
      </c>
      <c r="AE155" s="30">
        <f>AD155/AC155*100</f>
        <v>0</v>
      </c>
      <c r="AF155" s="30">
        <f>AF85+AF90+AF95+AF100+AF105+AF110+AF115+AF125+AF130+AF135+AF140+AF145+AF150</f>
        <v>2940</v>
      </c>
      <c r="AG155" s="30">
        <f>AG85+AG90+AG95+AG100+AG105+AG110+AG115+AG125+AG130+AG135+AG140+AG145+AG150</f>
        <v>0</v>
      </c>
      <c r="AH155" s="30">
        <f>AG155/AF155*100</f>
        <v>0</v>
      </c>
      <c r="AI155" s="30">
        <f>AI85+AI90+AI95+AI100+AI105+AI110+AI115+AI125+AI130+AI135+AI140+AI145+AI150</f>
        <v>2913.8999999999996</v>
      </c>
      <c r="AJ155" s="30">
        <f>AJ85+AJ90+AJ95+AJ100+AJ105+AJ110+AJ115+AJ125+AJ130+AJ135+AJ140+AJ145+AJ150</f>
        <v>0</v>
      </c>
      <c r="AK155" s="30">
        <f>AJ155/AI155*100</f>
        <v>0</v>
      </c>
      <c r="AL155" s="30">
        <f>AL85+AL90+AL95+AL100+AL105+AL110+AL115+AL125+AL130+AL135+AL140+AL145+AL150</f>
        <v>2905.8999999999996</v>
      </c>
      <c r="AM155" s="30">
        <f>AM85+AM90+AM95+AM100+AM105+AM110+AM115+AM125+AM130+AM135+AM140+AM145</f>
        <v>0</v>
      </c>
      <c r="AN155" s="30">
        <f>AM155/AL155*100</f>
        <v>0</v>
      </c>
      <c r="AO155" s="30">
        <f>AO85+AO90+AO95+AO100+AO105+AO110+AO115+AO125+AO130+AO135+AO140+AO145+AO150</f>
        <v>4020.5</v>
      </c>
      <c r="AP155" s="1"/>
      <c r="AQ155" s="30">
        <f>AP155/AO155*100</f>
        <v>0</v>
      </c>
      <c r="AR155" s="25"/>
      <c r="AS155" s="25"/>
    </row>
    <row r="156" spans="1:45" ht="23.25" customHeight="1" x14ac:dyDescent="0.25">
      <c r="A156" s="104"/>
      <c r="B156" s="104"/>
      <c r="C156" s="104"/>
      <c r="D156" s="29" t="s">
        <v>4</v>
      </c>
      <c r="E156" s="30">
        <f t="shared" si="168"/>
        <v>757207.4</v>
      </c>
      <c r="F156" s="30">
        <f t="shared" si="168"/>
        <v>125433.60000000001</v>
      </c>
      <c r="G156" s="30">
        <f t="shared" ref="G156:G157" si="216">F156/E156*100</f>
        <v>16.565289773977383</v>
      </c>
      <c r="H156" s="30">
        <f t="shared" ref="H156:I157" si="217">H86+H91+H96+H101+H106+H111+H116+H126+H131+H136+H141+H146+H151</f>
        <v>19452</v>
      </c>
      <c r="I156" s="30">
        <f t="shared" si="217"/>
        <v>19452</v>
      </c>
      <c r="J156" s="30">
        <f t="shared" ref="J156:J157" si="218">I156/H156*100</f>
        <v>100</v>
      </c>
      <c r="K156" s="30">
        <f t="shared" ref="K156:L157" si="219">K86+K91+K96+K101+K106+K111+K116+K126+K131+K136+K141+K146+K151</f>
        <v>59764.2</v>
      </c>
      <c r="L156" s="30">
        <f t="shared" si="219"/>
        <v>59746.5</v>
      </c>
      <c r="M156" s="30">
        <f t="shared" si="213"/>
        <v>99.970383607577787</v>
      </c>
      <c r="N156" s="30">
        <f t="shared" ref="N156:O157" si="220">N86+N91+N96+N101+N106+N111+N116+N126+N131+N136+N141+N146+N151</f>
        <v>46448.700000000004</v>
      </c>
      <c r="O156" s="30">
        <f t="shared" si="220"/>
        <v>46235.100000000006</v>
      </c>
      <c r="P156" s="30">
        <f t="shared" si="215"/>
        <v>99.540137829476393</v>
      </c>
      <c r="Q156" s="30">
        <f t="shared" ref="Q156:R157" si="221">Q86+Q91+Q96+Q101+Q106+Q111+Q116+Q126+Q131+Q136+Q141+Q146+Q151</f>
        <v>65506.600000000006</v>
      </c>
      <c r="R156" s="30">
        <f t="shared" si="221"/>
        <v>0</v>
      </c>
      <c r="S156" s="30">
        <f t="shared" ref="S156:S157" si="222">R156/Q156*100</f>
        <v>0</v>
      </c>
      <c r="T156" s="30">
        <f t="shared" ref="T156:U157" si="223">T86+T91+T96+T101+T106+T111+T116+T126+T131+T136+T141+T146+T151</f>
        <v>93436.3</v>
      </c>
      <c r="U156" s="30">
        <f t="shared" si="223"/>
        <v>0</v>
      </c>
      <c r="V156" s="30">
        <f t="shared" ref="V156:V157" si="224">U156/T156*100</f>
        <v>0</v>
      </c>
      <c r="W156" s="30">
        <f t="shared" ref="W156:X157" si="225">W86+W91+W96+W101+W106+W111+W116+W126+W131+W136+W141+W146+W151</f>
        <v>174691.7</v>
      </c>
      <c r="X156" s="30">
        <f t="shared" si="225"/>
        <v>0</v>
      </c>
      <c r="Y156" s="30">
        <f t="shared" ref="Y156:Y157" si="226">X156/W156*100</f>
        <v>0</v>
      </c>
      <c r="Z156" s="30">
        <f t="shared" ref="Z156:AA157" si="227">Z86+Z91+Z96+Z101+Z106+Z111+Z116+Z126+Z131+Z136+Z141+Z146+Z151</f>
        <v>73451.700000000012</v>
      </c>
      <c r="AA156" s="30">
        <f t="shared" si="227"/>
        <v>0</v>
      </c>
      <c r="AB156" s="30">
        <f t="shared" ref="AB156:AB157" si="228">AA156/Z156*100</f>
        <v>0</v>
      </c>
      <c r="AC156" s="30">
        <f t="shared" ref="AC156:AD157" si="229">AC86+AC91+AC96+AC101+AC106+AC111+AC116+AC126+AC131+AC136+AC141+AC146+AC151</f>
        <v>43161.5</v>
      </c>
      <c r="AD156" s="30">
        <f t="shared" si="229"/>
        <v>0</v>
      </c>
      <c r="AE156" s="30">
        <f t="shared" ref="AE156:AE157" si="230">AD156/AC156*100</f>
        <v>0</v>
      </c>
      <c r="AF156" s="30">
        <f t="shared" ref="AF156:AG157" si="231">AF86+AF91+AF96+AF101+AF106+AF111+AF116+AF126+AF131+AF136+AF141+AF146+AF151</f>
        <v>35126.799999999996</v>
      </c>
      <c r="AG156" s="30">
        <f t="shared" si="231"/>
        <v>0</v>
      </c>
      <c r="AH156" s="30">
        <f t="shared" ref="AH156:AH157" si="232">AG156/AF156*100</f>
        <v>0</v>
      </c>
      <c r="AI156" s="30">
        <f t="shared" ref="AI156:AJ157" si="233">AI86+AI91+AI96+AI101+AI106+AI111+AI116+AI126+AI131+AI136+AI141+AI146+AI151</f>
        <v>69250.899999999994</v>
      </c>
      <c r="AJ156" s="30">
        <f t="shared" si="233"/>
        <v>0</v>
      </c>
      <c r="AK156" s="30">
        <f t="shared" ref="AK156:AK157" si="234">AJ156/AI156*100</f>
        <v>0</v>
      </c>
      <c r="AL156" s="30">
        <f t="shared" ref="AL156:AL157" si="235">AL86+AL91+AL96+AL101+AL106+AL111+AL116+AL126+AL131+AL136+AL141+AL146+AL151</f>
        <v>39760.100000000006</v>
      </c>
      <c r="AM156" s="30">
        <f>AM86+AM91+AM96+AM101+AM106+AM111+AM116+AM126+AM131+AM136+AM141+AM146</f>
        <v>0</v>
      </c>
      <c r="AN156" s="30">
        <f t="shared" ref="AN156:AN157" si="236">AM156/AL156*100</f>
        <v>0</v>
      </c>
      <c r="AO156" s="30">
        <f t="shared" ref="AO156:AO157" si="237">AO86+AO91+AO96+AO101+AO106+AO111+AO116+AO126+AO131+AO136+AO141+AO146+AO151</f>
        <v>37156.9</v>
      </c>
      <c r="AP156" s="1"/>
      <c r="AQ156" s="30">
        <f t="shared" ref="AQ156:AQ157" si="238">AP156/AO156*100</f>
        <v>0</v>
      </c>
      <c r="AR156" s="25"/>
      <c r="AS156" s="25"/>
    </row>
    <row r="157" spans="1:45" x14ac:dyDescent="0.25">
      <c r="A157" s="104"/>
      <c r="B157" s="104"/>
      <c r="C157" s="104"/>
      <c r="D157" s="29" t="s">
        <v>43</v>
      </c>
      <c r="E157" s="30">
        <f t="shared" si="168"/>
        <v>137806.40000000002</v>
      </c>
      <c r="F157" s="30">
        <f t="shared" si="168"/>
        <v>29383.4</v>
      </c>
      <c r="G157" s="30">
        <f t="shared" si="216"/>
        <v>21.322231768626128</v>
      </c>
      <c r="H157" s="30">
        <f t="shared" si="217"/>
        <v>6378.3</v>
      </c>
      <c r="I157" s="30">
        <f t="shared" si="217"/>
        <v>4150</v>
      </c>
      <c r="J157" s="30">
        <f t="shared" si="218"/>
        <v>65.06435884169764</v>
      </c>
      <c r="K157" s="30">
        <f t="shared" si="219"/>
        <v>14155.400000000001</v>
      </c>
      <c r="L157" s="30">
        <f t="shared" si="219"/>
        <v>13472.300000000001</v>
      </c>
      <c r="M157" s="30">
        <f t="shared" si="213"/>
        <v>95.174279780154563</v>
      </c>
      <c r="N157" s="30">
        <f t="shared" si="220"/>
        <v>13357.9</v>
      </c>
      <c r="O157" s="30">
        <f t="shared" si="220"/>
        <v>11761.1</v>
      </c>
      <c r="P157" s="30">
        <f t="shared" si="215"/>
        <v>88.046025198571627</v>
      </c>
      <c r="Q157" s="30">
        <f t="shared" si="221"/>
        <v>15801.7</v>
      </c>
      <c r="R157" s="30">
        <f t="shared" si="221"/>
        <v>0</v>
      </c>
      <c r="S157" s="30">
        <f t="shared" si="222"/>
        <v>0</v>
      </c>
      <c r="T157" s="30">
        <f t="shared" si="223"/>
        <v>13149.5</v>
      </c>
      <c r="U157" s="30">
        <f t="shared" si="223"/>
        <v>0</v>
      </c>
      <c r="V157" s="30">
        <f t="shared" si="224"/>
        <v>0</v>
      </c>
      <c r="W157" s="30">
        <f t="shared" si="225"/>
        <v>9203.4000000000015</v>
      </c>
      <c r="X157" s="30">
        <f t="shared" si="225"/>
        <v>0</v>
      </c>
      <c r="Y157" s="30">
        <f t="shared" si="226"/>
        <v>0</v>
      </c>
      <c r="Z157" s="30">
        <f t="shared" si="227"/>
        <v>10536.5</v>
      </c>
      <c r="AA157" s="30">
        <f t="shared" si="227"/>
        <v>0</v>
      </c>
      <c r="AB157" s="30">
        <f t="shared" si="228"/>
        <v>0</v>
      </c>
      <c r="AC157" s="30">
        <f t="shared" si="229"/>
        <v>7710.6</v>
      </c>
      <c r="AD157" s="30">
        <f t="shared" si="229"/>
        <v>0</v>
      </c>
      <c r="AE157" s="30">
        <f t="shared" si="230"/>
        <v>0</v>
      </c>
      <c r="AF157" s="30">
        <f t="shared" si="231"/>
        <v>5417.1</v>
      </c>
      <c r="AG157" s="30">
        <f t="shared" si="231"/>
        <v>0</v>
      </c>
      <c r="AH157" s="30">
        <f t="shared" si="232"/>
        <v>0</v>
      </c>
      <c r="AI157" s="30">
        <f t="shared" si="233"/>
        <v>13144.1</v>
      </c>
      <c r="AJ157" s="30">
        <f t="shared" si="233"/>
        <v>0</v>
      </c>
      <c r="AK157" s="30">
        <f t="shared" si="234"/>
        <v>0</v>
      </c>
      <c r="AL157" s="30">
        <f t="shared" si="235"/>
        <v>11496.099999999999</v>
      </c>
      <c r="AM157" s="30">
        <f>AM87+AM92+AM97+AM102+AM107+AM112+AM117+AM127+AM132+AM137+AM142+AM147</f>
        <v>0</v>
      </c>
      <c r="AN157" s="30">
        <f t="shared" si="236"/>
        <v>0</v>
      </c>
      <c r="AO157" s="30">
        <f t="shared" si="237"/>
        <v>17455.800000000003</v>
      </c>
      <c r="AP157" s="1"/>
      <c r="AQ157" s="30">
        <f t="shared" si="238"/>
        <v>0</v>
      </c>
      <c r="AR157" s="25"/>
      <c r="AS157" s="25"/>
    </row>
    <row r="158" spans="1:45" ht="13.9" customHeight="1" x14ac:dyDescent="0.25">
      <c r="A158" s="104"/>
      <c r="B158" s="104"/>
      <c r="C158" s="104"/>
      <c r="D158" s="29" t="s">
        <v>21</v>
      </c>
      <c r="E158" s="30">
        <f t="shared" si="168"/>
        <v>0</v>
      </c>
      <c r="F158" s="30">
        <f t="shared" si="168"/>
        <v>0</v>
      </c>
      <c r="G158" s="30"/>
      <c r="H158" s="30">
        <f>H88+H93+H98+H103+H108+H113+H118+H128+H133+H138+H143+H148</f>
        <v>0</v>
      </c>
      <c r="I158" s="30">
        <f>I88+I93+I98+I103+I108+I113+I118+I128+I133+I138+I143+I148</f>
        <v>0</v>
      </c>
      <c r="J158" s="30"/>
      <c r="K158" s="30">
        <f>K88+K93+K98+K103+K108+K113+K118+K128+K133+K138+K143+K148</f>
        <v>0</v>
      </c>
      <c r="L158" s="30">
        <f>L88+L93+L98+L103+L108+L113+L118+L128+L133+L138+L143+L148</f>
        <v>0</v>
      </c>
      <c r="M158" s="30"/>
      <c r="N158" s="30">
        <f>N88+N93+N98+N103+N108+N113+N118+N128+N133+N138+N143+N148</f>
        <v>0</v>
      </c>
      <c r="O158" s="30">
        <f>O88+O93+O98+O103+O108+O113+O118+O128+O133+O138+O143+O148</f>
        <v>0</v>
      </c>
      <c r="P158" s="30"/>
      <c r="Q158" s="30">
        <f>Q88+Q93+Q98+Q103+Q108+Q113+Q118+Q128+Q133+Q138+Q143+Q148</f>
        <v>0</v>
      </c>
      <c r="R158" s="30">
        <f>R88+R93+R98+R103+R108+R113+R118+R128+R133+R138+R143+R148</f>
        <v>0</v>
      </c>
      <c r="S158" s="30"/>
      <c r="T158" s="30">
        <f>T88+T93+T98+T103+T108+T113+T118+T128+T133+T138+T143+T148</f>
        <v>0</v>
      </c>
      <c r="U158" s="30">
        <f>U88+U93+U98+U103+U108+U113+U118+U128+U133+U138+U143+U148</f>
        <v>0</v>
      </c>
      <c r="V158" s="30"/>
      <c r="W158" s="30">
        <f>W88+W93+W98+W103+W108+W113+W118+W128+W133+W138+W143+W148</f>
        <v>0</v>
      </c>
      <c r="X158" s="30">
        <f>X88+X93+X98+X103+X108+X113+X118+X128+X133+X138+X143+X148</f>
        <v>0</v>
      </c>
      <c r="Y158" s="30"/>
      <c r="Z158" s="30">
        <f>Z88+Z93+Z98+Z103+Z108+Z113+Z118+Z128+Z133+Z138+Z143+Z148</f>
        <v>0</v>
      </c>
      <c r="AA158" s="30">
        <f>AA88+AA93+AA98+AA103+AA108+AA113+AA118+AA128+AA133+AA138+AA143+AA148</f>
        <v>0</v>
      </c>
      <c r="AB158" s="30"/>
      <c r="AC158" s="30">
        <f>AC88+AC93+AC98+AC103+AC108+AC113+AC118+AC128+AC133+AC138+AC143+AC148</f>
        <v>0</v>
      </c>
      <c r="AD158" s="30">
        <f>AD88+AD93+AD98+AD103+AD108+AD113+AD118+AD128+AD133+AD138+AD143+AD148</f>
        <v>0</v>
      </c>
      <c r="AE158" s="30"/>
      <c r="AF158" s="30">
        <f>AF88+AF93+AF98+AF103+AF108+AF113+AF118+AF128+AF133+AF138+AF143+AF148</f>
        <v>0</v>
      </c>
      <c r="AG158" s="30">
        <f>AG88+AG93+AG98+AG103+AG108+AG113+AG118+AG128+AG133+AG138+AG143+AG148</f>
        <v>0</v>
      </c>
      <c r="AH158" s="30"/>
      <c r="AI158" s="30">
        <f>AI88+AI93+AI98+AI103+AI108+AI113+AI118+AI128+AI133+AI138+AI143+AI148</f>
        <v>0</v>
      </c>
      <c r="AJ158" s="30">
        <f>AJ88+AJ93+AJ98+AJ103+AJ108+AJ113+AJ118+AJ128+AJ133+AJ138+AJ143+AJ148</f>
        <v>0</v>
      </c>
      <c r="AK158" s="30"/>
      <c r="AL158" s="30">
        <f>AL88+AL93+AL98+AL103+AL108+AL113+AL118+AL128+AL133+AL138+AL143+AL148</f>
        <v>0</v>
      </c>
      <c r="AM158" s="30">
        <f>AM88+AM93+AM98+AM103+AM108+AM113+AM118+AM128+AM133+AM138+AM143+AM148</f>
        <v>0</v>
      </c>
      <c r="AN158" s="30"/>
      <c r="AO158" s="30">
        <f>AO88+AO93+AO98+AO103+AO108+AO113+AO118+AO128+AO133+AO138+AO143+AO148</f>
        <v>0</v>
      </c>
      <c r="AP158" s="1"/>
      <c r="AQ158" s="30"/>
      <c r="AR158" s="25"/>
      <c r="AS158" s="25"/>
    </row>
    <row r="159" spans="1:45" ht="15.75" x14ac:dyDescent="0.25">
      <c r="A159" s="39" t="s">
        <v>62</v>
      </c>
      <c r="B159" s="23" t="s">
        <v>10</v>
      </c>
      <c r="C159" s="23"/>
      <c r="D159" s="23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3"/>
      <c r="AQ159" s="23"/>
      <c r="AR159" s="25"/>
      <c r="AS159" s="25"/>
    </row>
    <row r="160" spans="1:45" ht="14.45" customHeight="1" x14ac:dyDescent="0.25">
      <c r="A160" s="101" t="s">
        <v>63</v>
      </c>
      <c r="B160" s="101" t="s">
        <v>94</v>
      </c>
      <c r="C160" s="101" t="s">
        <v>145</v>
      </c>
      <c r="D160" s="26" t="s">
        <v>3</v>
      </c>
      <c r="E160" s="1">
        <f t="shared" ref="E160:F175" si="239">H160+K160+N160+Q160+T160+W160+Z160+AC160+AF160+AI160+AL160+AO160</f>
        <v>0</v>
      </c>
      <c r="F160" s="1">
        <f t="shared" si="239"/>
        <v>0</v>
      </c>
      <c r="G160" s="1"/>
      <c r="H160" s="1">
        <f>H161+H162+H163+H164</f>
        <v>0</v>
      </c>
      <c r="I160" s="1">
        <f>I161+I162+I163+I164</f>
        <v>0</v>
      </c>
      <c r="J160" s="1"/>
      <c r="K160" s="1">
        <f t="shared" ref="K160:AO160" si="240">K161+K162+K163+K164</f>
        <v>0</v>
      </c>
      <c r="L160" s="1">
        <f t="shared" si="240"/>
        <v>0</v>
      </c>
      <c r="M160" s="1"/>
      <c r="N160" s="1">
        <f t="shared" si="240"/>
        <v>0</v>
      </c>
      <c r="O160" s="1"/>
      <c r="P160" s="27"/>
      <c r="Q160" s="1">
        <f t="shared" si="240"/>
        <v>0</v>
      </c>
      <c r="R160" s="1"/>
      <c r="S160" s="27"/>
      <c r="T160" s="1">
        <f t="shared" si="240"/>
        <v>0</v>
      </c>
      <c r="U160" s="1"/>
      <c r="V160" s="27"/>
      <c r="W160" s="1">
        <f t="shared" si="240"/>
        <v>0</v>
      </c>
      <c r="X160" s="1"/>
      <c r="Y160" s="27"/>
      <c r="Z160" s="1">
        <f t="shared" si="240"/>
        <v>0</v>
      </c>
      <c r="AA160" s="1"/>
      <c r="AB160" s="27"/>
      <c r="AC160" s="1">
        <f t="shared" si="240"/>
        <v>0</v>
      </c>
      <c r="AD160" s="1"/>
      <c r="AE160" s="27"/>
      <c r="AF160" s="1">
        <f t="shared" si="240"/>
        <v>0</v>
      </c>
      <c r="AG160" s="1">
        <f t="shared" si="240"/>
        <v>0</v>
      </c>
      <c r="AH160" s="27"/>
      <c r="AI160" s="1">
        <f t="shared" si="240"/>
        <v>0</v>
      </c>
      <c r="AJ160" s="1">
        <f t="shared" si="240"/>
        <v>0</v>
      </c>
      <c r="AK160" s="1"/>
      <c r="AL160" s="1">
        <f t="shared" si="240"/>
        <v>0</v>
      </c>
      <c r="AM160" s="1">
        <f t="shared" si="240"/>
        <v>0</v>
      </c>
      <c r="AN160" s="1"/>
      <c r="AO160" s="1">
        <f t="shared" si="240"/>
        <v>0</v>
      </c>
      <c r="AP160" s="1"/>
      <c r="AQ160" s="27"/>
      <c r="AR160" s="25"/>
      <c r="AS160" s="25"/>
    </row>
    <row r="161" spans="1:45" ht="12" customHeight="1" x14ac:dyDescent="0.25">
      <c r="A161" s="101"/>
      <c r="B161" s="101"/>
      <c r="C161" s="101"/>
      <c r="D161" s="26" t="s">
        <v>20</v>
      </c>
      <c r="E161" s="1">
        <f t="shared" si="239"/>
        <v>0</v>
      </c>
      <c r="F161" s="1">
        <f t="shared" si="239"/>
        <v>0</v>
      </c>
      <c r="G161" s="1"/>
      <c r="H161" s="1"/>
      <c r="I161" s="1"/>
      <c r="J161" s="1"/>
      <c r="K161" s="1"/>
      <c r="L161" s="1"/>
      <c r="M161" s="1"/>
      <c r="N161" s="1"/>
      <c r="O161" s="1"/>
      <c r="P161" s="27"/>
      <c r="Q161" s="1"/>
      <c r="R161" s="1"/>
      <c r="S161" s="27"/>
      <c r="T161" s="1"/>
      <c r="U161" s="1"/>
      <c r="V161" s="27"/>
      <c r="W161" s="1"/>
      <c r="X161" s="1"/>
      <c r="Y161" s="27"/>
      <c r="Z161" s="1"/>
      <c r="AA161" s="1"/>
      <c r="AB161" s="27"/>
      <c r="AC161" s="1"/>
      <c r="AD161" s="1"/>
      <c r="AE161" s="27"/>
      <c r="AF161" s="1"/>
      <c r="AG161" s="1"/>
      <c r="AH161" s="27"/>
      <c r="AI161" s="1"/>
      <c r="AJ161" s="1"/>
      <c r="AK161" s="1"/>
      <c r="AL161" s="1"/>
      <c r="AM161" s="1"/>
      <c r="AN161" s="1"/>
      <c r="AO161" s="1"/>
      <c r="AP161" s="1"/>
      <c r="AQ161" s="27"/>
      <c r="AR161" s="25"/>
      <c r="AS161" s="25"/>
    </row>
    <row r="162" spans="1:45" ht="24" customHeight="1" x14ac:dyDescent="0.25">
      <c r="A162" s="101"/>
      <c r="B162" s="101"/>
      <c r="C162" s="101"/>
      <c r="D162" s="26" t="s">
        <v>4</v>
      </c>
      <c r="E162" s="1">
        <f t="shared" si="239"/>
        <v>0</v>
      </c>
      <c r="F162" s="1">
        <f t="shared" si="239"/>
        <v>0</v>
      </c>
      <c r="G162" s="1"/>
      <c r="H162" s="1"/>
      <c r="I162" s="1"/>
      <c r="J162" s="1"/>
      <c r="K162" s="1"/>
      <c r="L162" s="1"/>
      <c r="M162" s="1"/>
      <c r="N162" s="1"/>
      <c r="O162" s="1"/>
      <c r="P162" s="27"/>
      <c r="Q162" s="1"/>
      <c r="R162" s="1"/>
      <c r="S162" s="27"/>
      <c r="T162" s="1"/>
      <c r="U162" s="1"/>
      <c r="V162" s="27"/>
      <c r="W162" s="1"/>
      <c r="X162" s="1"/>
      <c r="Y162" s="27"/>
      <c r="Z162" s="1"/>
      <c r="AA162" s="1"/>
      <c r="AB162" s="27"/>
      <c r="AC162" s="1"/>
      <c r="AD162" s="1"/>
      <c r="AE162" s="27"/>
      <c r="AF162" s="1"/>
      <c r="AG162" s="1"/>
      <c r="AH162" s="27"/>
      <c r="AI162" s="1"/>
      <c r="AJ162" s="1"/>
      <c r="AK162" s="1"/>
      <c r="AL162" s="1"/>
      <c r="AM162" s="1"/>
      <c r="AN162" s="1"/>
      <c r="AO162" s="1"/>
      <c r="AP162" s="38"/>
      <c r="AQ162" s="27"/>
      <c r="AR162" s="25"/>
      <c r="AS162" s="25"/>
    </row>
    <row r="163" spans="1:45" x14ac:dyDescent="0.25">
      <c r="A163" s="101"/>
      <c r="B163" s="101"/>
      <c r="C163" s="101"/>
      <c r="D163" s="26" t="s">
        <v>43</v>
      </c>
      <c r="E163" s="1">
        <f t="shared" si="239"/>
        <v>0</v>
      </c>
      <c r="F163" s="1">
        <f t="shared" si="239"/>
        <v>0</v>
      </c>
      <c r="G163" s="1"/>
      <c r="H163" s="1"/>
      <c r="I163" s="1"/>
      <c r="J163" s="1"/>
      <c r="K163" s="1"/>
      <c r="L163" s="1"/>
      <c r="M163" s="1"/>
      <c r="N163" s="1"/>
      <c r="O163" s="1"/>
      <c r="P163" s="27"/>
      <c r="Q163" s="1"/>
      <c r="R163" s="1"/>
      <c r="S163" s="27"/>
      <c r="T163" s="1"/>
      <c r="U163" s="1"/>
      <c r="V163" s="27"/>
      <c r="W163" s="1"/>
      <c r="X163" s="1"/>
      <c r="Y163" s="27"/>
      <c r="Z163" s="1"/>
      <c r="AA163" s="1"/>
      <c r="AB163" s="27"/>
      <c r="AC163" s="1"/>
      <c r="AD163" s="1"/>
      <c r="AE163" s="27"/>
      <c r="AF163" s="1"/>
      <c r="AG163" s="1"/>
      <c r="AH163" s="27"/>
      <c r="AI163" s="1">
        <f>15-15</f>
        <v>0</v>
      </c>
      <c r="AJ163" s="1">
        <v>0</v>
      </c>
      <c r="AK163" s="1"/>
      <c r="AL163" s="1"/>
      <c r="AM163" s="1"/>
      <c r="AN163" s="1"/>
      <c r="AO163" s="1"/>
      <c r="AP163" s="38"/>
      <c r="AQ163" s="27"/>
      <c r="AR163" s="94"/>
      <c r="AS163" s="25"/>
    </row>
    <row r="164" spans="1:45" ht="15.75" customHeight="1" x14ac:dyDescent="0.25">
      <c r="A164" s="101"/>
      <c r="B164" s="101"/>
      <c r="C164" s="101"/>
      <c r="D164" s="26" t="s">
        <v>21</v>
      </c>
      <c r="E164" s="1">
        <f t="shared" si="239"/>
        <v>0</v>
      </c>
      <c r="F164" s="1">
        <f t="shared" si="239"/>
        <v>0</v>
      </c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38"/>
      <c r="AQ164" s="38"/>
      <c r="AR164" s="25"/>
      <c r="AS164" s="25"/>
    </row>
    <row r="165" spans="1:45" ht="12.6" customHeight="1" x14ac:dyDescent="0.25">
      <c r="A165" s="101" t="s">
        <v>64</v>
      </c>
      <c r="B165" s="101" t="s">
        <v>95</v>
      </c>
      <c r="C165" s="101" t="s">
        <v>145</v>
      </c>
      <c r="D165" s="26" t="s">
        <v>3</v>
      </c>
      <c r="E165" s="1">
        <f t="shared" si="239"/>
        <v>128.69999999999999</v>
      </c>
      <c r="F165" s="1">
        <f t="shared" si="239"/>
        <v>0</v>
      </c>
      <c r="G165" s="1">
        <f>F165/E165*100</f>
        <v>0</v>
      </c>
      <c r="H165" s="1">
        <f>H166+H167+H168+H169</f>
        <v>0</v>
      </c>
      <c r="I165" s="1"/>
      <c r="J165" s="27"/>
      <c r="K165" s="1">
        <f t="shared" ref="K165:AO165" si="241">K166+K167+K168+K169</f>
        <v>0</v>
      </c>
      <c r="L165" s="1"/>
      <c r="M165" s="27"/>
      <c r="N165" s="1">
        <f t="shared" si="241"/>
        <v>0</v>
      </c>
      <c r="O165" s="1"/>
      <c r="P165" s="27"/>
      <c r="Q165" s="1">
        <f t="shared" si="241"/>
        <v>40</v>
      </c>
      <c r="R165" s="1"/>
      <c r="S165" s="27"/>
      <c r="T165" s="1">
        <f t="shared" si="241"/>
        <v>0</v>
      </c>
      <c r="U165" s="1"/>
      <c r="V165" s="27"/>
      <c r="W165" s="1">
        <f t="shared" si="241"/>
        <v>0</v>
      </c>
      <c r="X165" s="1"/>
      <c r="Y165" s="27"/>
      <c r="Z165" s="1">
        <f t="shared" si="241"/>
        <v>0</v>
      </c>
      <c r="AA165" s="1"/>
      <c r="AB165" s="27"/>
      <c r="AC165" s="1">
        <f t="shared" si="241"/>
        <v>88.7</v>
      </c>
      <c r="AD165" s="1">
        <f t="shared" si="241"/>
        <v>0</v>
      </c>
      <c r="AE165" s="1">
        <f>AD165/AC165*100</f>
        <v>0</v>
      </c>
      <c r="AF165" s="1">
        <f t="shared" si="241"/>
        <v>0</v>
      </c>
      <c r="AG165" s="1">
        <f t="shared" si="241"/>
        <v>0</v>
      </c>
      <c r="AH165" s="1"/>
      <c r="AI165" s="1">
        <f t="shared" si="241"/>
        <v>0</v>
      </c>
      <c r="AJ165" s="1">
        <f t="shared" si="241"/>
        <v>0</v>
      </c>
      <c r="AK165" s="1" t="e">
        <f>AJ165/AI165*100</f>
        <v>#DIV/0!</v>
      </c>
      <c r="AL165" s="1">
        <f t="shared" si="241"/>
        <v>0</v>
      </c>
      <c r="AM165" s="1">
        <f t="shared" si="241"/>
        <v>0</v>
      </c>
      <c r="AN165" s="1"/>
      <c r="AO165" s="1">
        <f t="shared" si="241"/>
        <v>0</v>
      </c>
      <c r="AP165" s="1"/>
      <c r="AQ165" s="27"/>
      <c r="AR165" s="25"/>
      <c r="AS165" s="25"/>
    </row>
    <row r="166" spans="1:45" ht="13.15" customHeight="1" x14ac:dyDescent="0.25">
      <c r="A166" s="101"/>
      <c r="B166" s="101"/>
      <c r="C166" s="101"/>
      <c r="D166" s="26" t="s">
        <v>20</v>
      </c>
      <c r="E166" s="1">
        <f t="shared" si="239"/>
        <v>0</v>
      </c>
      <c r="F166" s="1">
        <f t="shared" si="239"/>
        <v>0</v>
      </c>
      <c r="G166" s="1"/>
      <c r="H166" s="1"/>
      <c r="I166" s="1"/>
      <c r="J166" s="27"/>
      <c r="K166" s="1"/>
      <c r="L166" s="1"/>
      <c r="M166" s="27"/>
      <c r="N166" s="1"/>
      <c r="O166" s="1"/>
      <c r="P166" s="27"/>
      <c r="Q166" s="1"/>
      <c r="R166" s="1"/>
      <c r="S166" s="27"/>
      <c r="T166" s="1"/>
      <c r="U166" s="1"/>
      <c r="V166" s="27"/>
      <c r="W166" s="1"/>
      <c r="X166" s="1"/>
      <c r="Y166" s="27"/>
      <c r="Z166" s="1"/>
      <c r="AA166" s="1"/>
      <c r="AB166" s="27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27"/>
      <c r="AR166" s="25"/>
      <c r="AS166" s="25"/>
    </row>
    <row r="167" spans="1:45" ht="24" x14ac:dyDescent="0.25">
      <c r="A167" s="101"/>
      <c r="B167" s="101"/>
      <c r="C167" s="101"/>
      <c r="D167" s="26" t="s">
        <v>4</v>
      </c>
      <c r="E167" s="1">
        <f t="shared" si="239"/>
        <v>0</v>
      </c>
      <c r="F167" s="1">
        <f t="shared" si="239"/>
        <v>0</v>
      </c>
      <c r="G167" s="1"/>
      <c r="H167" s="1"/>
      <c r="I167" s="1"/>
      <c r="J167" s="27"/>
      <c r="K167" s="1"/>
      <c r="L167" s="1"/>
      <c r="M167" s="27"/>
      <c r="N167" s="1"/>
      <c r="O167" s="1"/>
      <c r="P167" s="27"/>
      <c r="Q167" s="1"/>
      <c r="R167" s="1"/>
      <c r="S167" s="27"/>
      <c r="T167" s="1"/>
      <c r="U167" s="1"/>
      <c r="V167" s="27"/>
      <c r="W167" s="1"/>
      <c r="X167" s="1"/>
      <c r="Y167" s="27"/>
      <c r="Z167" s="1"/>
      <c r="AA167" s="1"/>
      <c r="AB167" s="27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38"/>
      <c r="AQ167" s="27"/>
      <c r="AR167" s="25"/>
      <c r="AS167" s="25"/>
    </row>
    <row r="168" spans="1:45" x14ac:dyDescent="0.25">
      <c r="A168" s="101"/>
      <c r="B168" s="101"/>
      <c r="C168" s="101"/>
      <c r="D168" s="26" t="s">
        <v>43</v>
      </c>
      <c r="E168" s="1">
        <f t="shared" si="239"/>
        <v>128.69999999999999</v>
      </c>
      <c r="F168" s="1">
        <f t="shared" si="239"/>
        <v>0</v>
      </c>
      <c r="G168" s="1">
        <f t="shared" ref="G168" si="242">F168/E168*100</f>
        <v>0</v>
      </c>
      <c r="H168" s="1"/>
      <c r="I168" s="1"/>
      <c r="J168" s="27"/>
      <c r="K168" s="1"/>
      <c r="L168" s="1"/>
      <c r="M168" s="27"/>
      <c r="N168" s="1"/>
      <c r="O168" s="1"/>
      <c r="P168" s="27"/>
      <c r="Q168" s="1">
        <v>40</v>
      </c>
      <c r="R168" s="1"/>
      <c r="S168" s="27"/>
      <c r="T168" s="1"/>
      <c r="U168" s="1"/>
      <c r="V168" s="27"/>
      <c r="W168" s="1"/>
      <c r="X168" s="1"/>
      <c r="Y168" s="27"/>
      <c r="Z168" s="1"/>
      <c r="AA168" s="1"/>
      <c r="AB168" s="27"/>
      <c r="AC168" s="1">
        <v>88.7</v>
      </c>
      <c r="AD168" s="1"/>
      <c r="AE168" s="1">
        <f t="shared" ref="AE168" si="243">AD168/AC168*100</f>
        <v>0</v>
      </c>
      <c r="AF168" s="1"/>
      <c r="AG168" s="1"/>
      <c r="AH168" s="1"/>
      <c r="AI168" s="1"/>
      <c r="AJ168" s="1"/>
      <c r="AK168" s="1" t="e">
        <f t="shared" ref="AK168" si="244">AJ168/AI168*100</f>
        <v>#DIV/0!</v>
      </c>
      <c r="AL168" s="1"/>
      <c r="AM168" s="1"/>
      <c r="AN168" s="1"/>
      <c r="AO168" s="1"/>
      <c r="AP168" s="38"/>
      <c r="AQ168" s="27"/>
      <c r="AR168" s="94"/>
      <c r="AS168" s="94"/>
    </row>
    <row r="169" spans="1:45" ht="13.15" customHeight="1" x14ac:dyDescent="0.25">
      <c r="A169" s="101"/>
      <c r="B169" s="101"/>
      <c r="C169" s="101"/>
      <c r="D169" s="26" t="s">
        <v>21</v>
      </c>
      <c r="E169" s="1">
        <f t="shared" si="239"/>
        <v>0</v>
      </c>
      <c r="F169" s="1">
        <f t="shared" si="239"/>
        <v>0</v>
      </c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38"/>
      <c r="AQ169" s="38"/>
      <c r="AR169" s="25"/>
      <c r="AS169" s="25"/>
    </row>
    <row r="170" spans="1:45" ht="13.15" customHeight="1" x14ac:dyDescent="0.25">
      <c r="A170" s="101" t="s">
        <v>65</v>
      </c>
      <c r="B170" s="101" t="s">
        <v>96</v>
      </c>
      <c r="C170" s="101" t="s">
        <v>145</v>
      </c>
      <c r="D170" s="26" t="s">
        <v>3</v>
      </c>
      <c r="E170" s="1">
        <f t="shared" si="239"/>
        <v>229</v>
      </c>
      <c r="F170" s="1">
        <f t="shared" si="239"/>
        <v>140</v>
      </c>
      <c r="G170" s="1">
        <f>F170/E170*100</f>
        <v>61.135371179039296</v>
      </c>
      <c r="H170" s="1">
        <f>H171+H172+H173+H174</f>
        <v>0</v>
      </c>
      <c r="I170" s="1"/>
      <c r="J170" s="27"/>
      <c r="K170" s="1">
        <f t="shared" ref="K170:AO170" si="245">K171+K172+K173+K174</f>
        <v>0</v>
      </c>
      <c r="L170" s="1">
        <f t="shared" si="245"/>
        <v>0</v>
      </c>
      <c r="M170" s="1"/>
      <c r="N170" s="1">
        <f t="shared" si="245"/>
        <v>140</v>
      </c>
      <c r="O170" s="1">
        <f t="shared" si="245"/>
        <v>140</v>
      </c>
      <c r="P170" s="1">
        <f>O170/N170*100</f>
        <v>100</v>
      </c>
      <c r="Q170" s="1">
        <f t="shared" si="245"/>
        <v>0</v>
      </c>
      <c r="R170" s="1">
        <f t="shared" si="245"/>
        <v>0</v>
      </c>
      <c r="S170" s="1" t="e">
        <f>R170/Q170*100</f>
        <v>#DIV/0!</v>
      </c>
      <c r="T170" s="1">
        <f t="shared" si="245"/>
        <v>0</v>
      </c>
      <c r="U170" s="1">
        <f t="shared" si="245"/>
        <v>0</v>
      </c>
      <c r="V170" s="1"/>
      <c r="W170" s="1">
        <f t="shared" si="245"/>
        <v>0</v>
      </c>
      <c r="X170" s="1">
        <f t="shared" si="245"/>
        <v>0</v>
      </c>
      <c r="Y170" s="27"/>
      <c r="Z170" s="1">
        <f t="shared" si="245"/>
        <v>0</v>
      </c>
      <c r="AA170" s="1"/>
      <c r="AB170" s="27"/>
      <c r="AC170" s="1">
        <f t="shared" si="245"/>
        <v>0</v>
      </c>
      <c r="AD170" s="1"/>
      <c r="AE170" s="27"/>
      <c r="AF170" s="1">
        <f t="shared" si="245"/>
        <v>0</v>
      </c>
      <c r="AG170" s="1">
        <f t="shared" si="245"/>
        <v>0</v>
      </c>
      <c r="AH170" s="1"/>
      <c r="AI170" s="1">
        <f t="shared" si="245"/>
        <v>0</v>
      </c>
      <c r="AJ170" s="1">
        <f t="shared" si="245"/>
        <v>0</v>
      </c>
      <c r="AK170" s="1" t="e">
        <f>AJ170/AI170*100</f>
        <v>#DIV/0!</v>
      </c>
      <c r="AL170" s="1">
        <f t="shared" si="245"/>
        <v>0</v>
      </c>
      <c r="AM170" s="1">
        <f t="shared" si="245"/>
        <v>0</v>
      </c>
      <c r="AN170" s="27"/>
      <c r="AO170" s="1">
        <f t="shared" si="245"/>
        <v>89</v>
      </c>
      <c r="AP170" s="1"/>
      <c r="AQ170" s="1">
        <f>AP170/AO170*100</f>
        <v>0</v>
      </c>
      <c r="AR170" s="25"/>
      <c r="AS170" s="25"/>
    </row>
    <row r="171" spans="1:45" x14ac:dyDescent="0.25">
      <c r="A171" s="101"/>
      <c r="B171" s="101"/>
      <c r="C171" s="101"/>
      <c r="D171" s="26" t="s">
        <v>20</v>
      </c>
      <c r="E171" s="1">
        <f t="shared" si="239"/>
        <v>0</v>
      </c>
      <c r="F171" s="1">
        <f t="shared" si="239"/>
        <v>0</v>
      </c>
      <c r="G171" s="1"/>
      <c r="H171" s="1"/>
      <c r="I171" s="1"/>
      <c r="J171" s="27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27"/>
      <c r="Z171" s="1"/>
      <c r="AA171" s="1"/>
      <c r="AB171" s="27"/>
      <c r="AC171" s="1"/>
      <c r="AD171" s="1"/>
      <c r="AE171" s="27"/>
      <c r="AF171" s="1"/>
      <c r="AG171" s="1"/>
      <c r="AH171" s="1"/>
      <c r="AI171" s="1"/>
      <c r="AJ171" s="1"/>
      <c r="AK171" s="1"/>
      <c r="AL171" s="1"/>
      <c r="AM171" s="1"/>
      <c r="AN171" s="27"/>
      <c r="AO171" s="1"/>
      <c r="AP171" s="1"/>
      <c r="AQ171" s="1"/>
      <c r="AR171" s="25"/>
      <c r="AS171" s="25"/>
    </row>
    <row r="172" spans="1:45" ht="24" x14ac:dyDescent="0.25">
      <c r="A172" s="101"/>
      <c r="B172" s="101"/>
      <c r="C172" s="101"/>
      <c r="D172" s="26" t="s">
        <v>4</v>
      </c>
      <c r="E172" s="1">
        <f t="shared" si="239"/>
        <v>0</v>
      </c>
      <c r="F172" s="1">
        <f t="shared" si="239"/>
        <v>0</v>
      </c>
      <c r="G172" s="1"/>
      <c r="H172" s="1"/>
      <c r="I172" s="1"/>
      <c r="J172" s="27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27"/>
      <c r="Z172" s="1"/>
      <c r="AA172" s="1"/>
      <c r="AB172" s="27"/>
      <c r="AC172" s="1"/>
      <c r="AD172" s="1"/>
      <c r="AE172" s="27"/>
      <c r="AF172" s="1"/>
      <c r="AG172" s="1"/>
      <c r="AH172" s="1"/>
      <c r="AI172" s="1"/>
      <c r="AJ172" s="1"/>
      <c r="AK172" s="1"/>
      <c r="AL172" s="1"/>
      <c r="AM172" s="1"/>
      <c r="AN172" s="27"/>
      <c r="AO172" s="1"/>
      <c r="AP172" s="38"/>
      <c r="AQ172" s="1"/>
      <c r="AR172" s="25"/>
      <c r="AS172" s="25"/>
    </row>
    <row r="173" spans="1:45" ht="60" x14ac:dyDescent="0.25">
      <c r="A173" s="101"/>
      <c r="B173" s="101"/>
      <c r="C173" s="101"/>
      <c r="D173" s="26" t="s">
        <v>43</v>
      </c>
      <c r="E173" s="1">
        <f t="shared" si="239"/>
        <v>229</v>
      </c>
      <c r="F173" s="1">
        <f t="shared" si="239"/>
        <v>140</v>
      </c>
      <c r="G173" s="1">
        <f t="shared" ref="G173" si="246">F173/E173*100</f>
        <v>61.135371179039296</v>
      </c>
      <c r="H173" s="1"/>
      <c r="I173" s="1"/>
      <c r="J173" s="27"/>
      <c r="K173" s="1"/>
      <c r="L173" s="1">
        <v>0</v>
      </c>
      <c r="M173" s="1"/>
      <c r="N173" s="1">
        <v>140</v>
      </c>
      <c r="O173" s="1">
        <v>140</v>
      </c>
      <c r="P173" s="1">
        <f t="shared" ref="P173" si="247">O173/N173*100</f>
        <v>100</v>
      </c>
      <c r="Q173" s="1"/>
      <c r="R173" s="1"/>
      <c r="S173" s="1" t="e">
        <f t="shared" ref="S173" si="248">R173/Q173*100</f>
        <v>#DIV/0!</v>
      </c>
      <c r="T173" s="1"/>
      <c r="U173" s="1"/>
      <c r="V173" s="1"/>
      <c r="W173" s="1"/>
      <c r="X173" s="1"/>
      <c r="Y173" s="27"/>
      <c r="Z173" s="1"/>
      <c r="AA173" s="1"/>
      <c r="AB173" s="27"/>
      <c r="AC173" s="1"/>
      <c r="AD173" s="1"/>
      <c r="AE173" s="27"/>
      <c r="AF173" s="1"/>
      <c r="AG173" s="1"/>
      <c r="AH173" s="1"/>
      <c r="AI173" s="1"/>
      <c r="AJ173" s="1"/>
      <c r="AK173" s="1" t="e">
        <f t="shared" ref="AK173" si="249">AJ173/AI173*100</f>
        <v>#DIV/0!</v>
      </c>
      <c r="AL173" s="1"/>
      <c r="AM173" s="1"/>
      <c r="AN173" s="27"/>
      <c r="AO173" s="1">
        <v>89</v>
      </c>
      <c r="AP173" s="38"/>
      <c r="AQ173" s="1">
        <f t="shared" ref="AQ173" si="250">AP173/AO173*100</f>
        <v>0</v>
      </c>
      <c r="AR173" s="94" t="s">
        <v>177</v>
      </c>
      <c r="AS173" s="94"/>
    </row>
    <row r="174" spans="1:45" ht="12.6" customHeight="1" x14ac:dyDescent="0.25">
      <c r="A174" s="101"/>
      <c r="B174" s="101"/>
      <c r="C174" s="101"/>
      <c r="D174" s="26" t="s">
        <v>21</v>
      </c>
      <c r="E174" s="1">
        <f t="shared" si="239"/>
        <v>0</v>
      </c>
      <c r="F174" s="1">
        <f t="shared" si="239"/>
        <v>0</v>
      </c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38"/>
      <c r="AQ174" s="1"/>
      <c r="AR174" s="25"/>
      <c r="AS174" s="25"/>
    </row>
    <row r="175" spans="1:45" ht="12" customHeight="1" x14ac:dyDescent="0.25">
      <c r="A175" s="101" t="s">
        <v>66</v>
      </c>
      <c r="B175" s="101" t="s">
        <v>136</v>
      </c>
      <c r="C175" s="101" t="s">
        <v>145</v>
      </c>
      <c r="D175" s="26" t="s">
        <v>3</v>
      </c>
      <c r="E175" s="1">
        <f t="shared" si="239"/>
        <v>0</v>
      </c>
      <c r="F175" s="1">
        <f t="shared" si="239"/>
        <v>0</v>
      </c>
      <c r="G175" s="1"/>
      <c r="H175" s="1">
        <f>H176+H177+H178+H179</f>
        <v>0</v>
      </c>
      <c r="I175" s="1">
        <f>I176+I177+I178+I179</f>
        <v>0</v>
      </c>
      <c r="J175" s="1"/>
      <c r="K175" s="1">
        <f t="shared" ref="K175:AO175" si="251">K176+K177+K178+K179</f>
        <v>0</v>
      </c>
      <c r="L175" s="1">
        <f t="shared" si="251"/>
        <v>0</v>
      </c>
      <c r="M175" s="1"/>
      <c r="N175" s="1">
        <f t="shared" si="251"/>
        <v>0</v>
      </c>
      <c r="O175" s="1">
        <f t="shared" si="251"/>
        <v>0</v>
      </c>
      <c r="P175" s="1"/>
      <c r="Q175" s="1">
        <f t="shared" si="251"/>
        <v>0</v>
      </c>
      <c r="R175" s="1">
        <f t="shared" si="251"/>
        <v>0</v>
      </c>
      <c r="S175" s="1"/>
      <c r="T175" s="1">
        <f t="shared" si="251"/>
        <v>0</v>
      </c>
      <c r="U175" s="1">
        <f t="shared" si="251"/>
        <v>0</v>
      </c>
      <c r="V175" s="1"/>
      <c r="W175" s="1">
        <f t="shared" si="251"/>
        <v>0</v>
      </c>
      <c r="X175" s="1">
        <f t="shared" si="251"/>
        <v>0</v>
      </c>
      <c r="Y175" s="1"/>
      <c r="Z175" s="1">
        <f t="shared" si="251"/>
        <v>0</v>
      </c>
      <c r="AA175" s="1">
        <f t="shared" si="251"/>
        <v>0</v>
      </c>
      <c r="AB175" s="1"/>
      <c r="AC175" s="1">
        <f t="shared" si="251"/>
        <v>0</v>
      </c>
      <c r="AD175" s="1">
        <f t="shared" si="251"/>
        <v>0</v>
      </c>
      <c r="AE175" s="1"/>
      <c r="AF175" s="1">
        <f t="shared" si="251"/>
        <v>0</v>
      </c>
      <c r="AG175" s="1">
        <f t="shared" si="251"/>
        <v>0</v>
      </c>
      <c r="AH175" s="1"/>
      <c r="AI175" s="1">
        <f t="shared" si="251"/>
        <v>0</v>
      </c>
      <c r="AJ175" s="1">
        <f t="shared" si="251"/>
        <v>0</v>
      </c>
      <c r="AK175" s="1"/>
      <c r="AL175" s="1">
        <f t="shared" si="251"/>
        <v>0</v>
      </c>
      <c r="AM175" s="1">
        <f t="shared" si="251"/>
        <v>0</v>
      </c>
      <c r="AN175" s="1"/>
      <c r="AO175" s="1">
        <f t="shared" si="251"/>
        <v>0</v>
      </c>
      <c r="AP175" s="1"/>
      <c r="AQ175" s="1" t="e">
        <f>AP175/AO175*100</f>
        <v>#DIV/0!</v>
      </c>
      <c r="AR175" s="25"/>
      <c r="AS175" s="25"/>
    </row>
    <row r="176" spans="1:45" ht="13.15" customHeight="1" x14ac:dyDescent="0.25">
      <c r="A176" s="101"/>
      <c r="B176" s="101"/>
      <c r="C176" s="101"/>
      <c r="D176" s="26" t="s">
        <v>20</v>
      </c>
      <c r="E176" s="1">
        <f t="shared" ref="E176:F194" si="252">H176+K176+N176+Q176+T176+W176+Z176+AC176+AF176+AI176+AL176+AO176</f>
        <v>0</v>
      </c>
      <c r="F176" s="1">
        <f t="shared" si="252"/>
        <v>0</v>
      </c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25"/>
      <c r="AS176" s="25"/>
    </row>
    <row r="177" spans="1:45" ht="24" x14ac:dyDescent="0.25">
      <c r="A177" s="101"/>
      <c r="B177" s="101"/>
      <c r="C177" s="101"/>
      <c r="D177" s="26" t="s">
        <v>4</v>
      </c>
      <c r="E177" s="1">
        <f t="shared" si="252"/>
        <v>0</v>
      </c>
      <c r="F177" s="1">
        <f t="shared" si="252"/>
        <v>0</v>
      </c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38"/>
      <c r="AQ177" s="1"/>
      <c r="AR177" s="25"/>
      <c r="AS177" s="25"/>
    </row>
    <row r="178" spans="1:45" x14ac:dyDescent="0.25">
      <c r="A178" s="101"/>
      <c r="B178" s="101"/>
      <c r="C178" s="101"/>
      <c r="D178" s="26" t="s">
        <v>43</v>
      </c>
      <c r="E178" s="1">
        <f t="shared" si="252"/>
        <v>0</v>
      </c>
      <c r="F178" s="1">
        <f t="shared" si="252"/>
        <v>0</v>
      </c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38"/>
      <c r="AQ178" s="1" t="e">
        <f t="shared" ref="AQ178" si="253">AP178/AO178*100</f>
        <v>#DIV/0!</v>
      </c>
      <c r="AR178" s="94"/>
      <c r="AS178" s="94"/>
    </row>
    <row r="179" spans="1:45" ht="13.9" customHeight="1" x14ac:dyDescent="0.25">
      <c r="A179" s="101"/>
      <c r="B179" s="101"/>
      <c r="C179" s="101"/>
      <c r="D179" s="26" t="s">
        <v>21</v>
      </c>
      <c r="E179" s="1">
        <f t="shared" si="252"/>
        <v>0</v>
      </c>
      <c r="F179" s="1">
        <f t="shared" si="252"/>
        <v>0</v>
      </c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38"/>
      <c r="AQ179" s="38"/>
      <c r="AR179" s="25"/>
      <c r="AS179" s="25"/>
    </row>
    <row r="180" spans="1:45" ht="13.15" customHeight="1" x14ac:dyDescent="0.25">
      <c r="A180" s="101" t="s">
        <v>67</v>
      </c>
      <c r="B180" s="101" t="s">
        <v>144</v>
      </c>
      <c r="C180" s="101" t="s">
        <v>161</v>
      </c>
      <c r="D180" s="26" t="s">
        <v>3</v>
      </c>
      <c r="E180" s="1">
        <f t="shared" si="252"/>
        <v>38159.299999999996</v>
      </c>
      <c r="F180" s="1">
        <f t="shared" si="252"/>
        <v>7893.3000000000011</v>
      </c>
      <c r="G180" s="1">
        <f>F180/E180*100</f>
        <v>20.685127871842518</v>
      </c>
      <c r="H180" s="1">
        <f>H181+H182+H183+H184</f>
        <v>1707.8</v>
      </c>
      <c r="I180" s="1">
        <f>I181+I182+I183+I184</f>
        <v>574.1</v>
      </c>
      <c r="J180" s="1">
        <f>I180/H180*100</f>
        <v>33.616348518561892</v>
      </c>
      <c r="K180" s="1">
        <f t="shared" ref="K180:AO180" si="254">K181+K182+K183+K184</f>
        <v>5818.1</v>
      </c>
      <c r="L180" s="1">
        <f t="shared" si="254"/>
        <v>4521.3</v>
      </c>
      <c r="M180" s="1">
        <f t="shared" ref="M180:M183" si="255">L180/K180*100</f>
        <v>77.710936560045369</v>
      </c>
      <c r="N180" s="1">
        <f t="shared" si="254"/>
        <v>3138.5</v>
      </c>
      <c r="O180" s="1">
        <f t="shared" si="254"/>
        <v>2797.9</v>
      </c>
      <c r="P180" s="1">
        <f t="shared" ref="P180:P183" si="256">O180/N180*100</f>
        <v>89.147682013700816</v>
      </c>
      <c r="Q180" s="1">
        <f t="shared" si="254"/>
        <v>3088.2</v>
      </c>
      <c r="R180" s="1">
        <f t="shared" si="254"/>
        <v>0</v>
      </c>
      <c r="S180" s="1">
        <f>R180/Q180*100</f>
        <v>0</v>
      </c>
      <c r="T180" s="1">
        <f t="shared" si="254"/>
        <v>2930.7</v>
      </c>
      <c r="U180" s="1">
        <f t="shared" si="254"/>
        <v>0</v>
      </c>
      <c r="V180" s="1">
        <f>U180/T180*100</f>
        <v>0</v>
      </c>
      <c r="W180" s="1">
        <f t="shared" si="254"/>
        <v>3394</v>
      </c>
      <c r="X180" s="1">
        <f t="shared" si="254"/>
        <v>0</v>
      </c>
      <c r="Y180" s="1">
        <f>X180/W180*100</f>
        <v>0</v>
      </c>
      <c r="Z180" s="1">
        <f t="shared" si="254"/>
        <v>4751.5</v>
      </c>
      <c r="AA180" s="1">
        <f t="shared" si="254"/>
        <v>0</v>
      </c>
      <c r="AB180" s="1">
        <f>AA180/Z180*100</f>
        <v>0</v>
      </c>
      <c r="AC180" s="1">
        <f t="shared" si="254"/>
        <v>3286.5</v>
      </c>
      <c r="AD180" s="1">
        <f t="shared" si="254"/>
        <v>0</v>
      </c>
      <c r="AE180" s="1">
        <f>AD180/AC180*100</f>
        <v>0</v>
      </c>
      <c r="AF180" s="1">
        <f t="shared" si="254"/>
        <v>2329.1999999999998</v>
      </c>
      <c r="AG180" s="1">
        <f t="shared" si="254"/>
        <v>0</v>
      </c>
      <c r="AH180" s="1">
        <f>AG180/AF180*100</f>
        <v>0</v>
      </c>
      <c r="AI180" s="1">
        <f t="shared" si="254"/>
        <v>2654.5</v>
      </c>
      <c r="AJ180" s="1">
        <f t="shared" si="254"/>
        <v>0</v>
      </c>
      <c r="AK180" s="1">
        <f>AJ180/AI180*100</f>
        <v>0</v>
      </c>
      <c r="AL180" s="1">
        <f t="shared" si="254"/>
        <v>2211.1999999999998</v>
      </c>
      <c r="AM180" s="1">
        <f t="shared" si="254"/>
        <v>0</v>
      </c>
      <c r="AN180" s="1">
        <f>AM180/AL180*100</f>
        <v>0</v>
      </c>
      <c r="AO180" s="1">
        <f t="shared" si="254"/>
        <v>2849.1</v>
      </c>
      <c r="AP180" s="1"/>
      <c r="AQ180" s="1">
        <f>AP180/AO180*100</f>
        <v>0</v>
      </c>
      <c r="AR180" s="25"/>
      <c r="AS180" s="25"/>
    </row>
    <row r="181" spans="1:45" x14ac:dyDescent="0.25">
      <c r="A181" s="101"/>
      <c r="B181" s="101"/>
      <c r="C181" s="101"/>
      <c r="D181" s="26" t="s">
        <v>20</v>
      </c>
      <c r="E181" s="1">
        <f t="shared" si="252"/>
        <v>0</v>
      </c>
      <c r="F181" s="1">
        <f t="shared" si="252"/>
        <v>0</v>
      </c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25"/>
      <c r="AS181" s="25"/>
    </row>
    <row r="182" spans="1:45" ht="60" x14ac:dyDescent="0.25">
      <c r="A182" s="101"/>
      <c r="B182" s="101"/>
      <c r="C182" s="101"/>
      <c r="D182" s="26" t="s">
        <v>4</v>
      </c>
      <c r="E182" s="1">
        <f t="shared" si="252"/>
        <v>1300</v>
      </c>
      <c r="F182" s="1">
        <f t="shared" si="252"/>
        <v>346.5</v>
      </c>
      <c r="G182" s="1">
        <f t="shared" ref="G182:G183" si="257">F182/E182*100</f>
        <v>26.653846153846157</v>
      </c>
      <c r="H182" s="1">
        <v>28.8</v>
      </c>
      <c r="I182" s="1">
        <v>2.2000000000000002</v>
      </c>
      <c r="J182" s="1">
        <f t="shared" ref="J182:J183" si="258">I182/H182*100</f>
        <v>7.6388888888888893</v>
      </c>
      <c r="K182" s="1">
        <v>218.3</v>
      </c>
      <c r="L182" s="1">
        <v>227.5</v>
      </c>
      <c r="M182" s="1">
        <f t="shared" si="255"/>
        <v>104.21438387540083</v>
      </c>
      <c r="N182" s="1">
        <f>99.4+1</f>
        <v>100.4</v>
      </c>
      <c r="O182" s="1">
        <v>116.8</v>
      </c>
      <c r="P182" s="1">
        <f t="shared" si="256"/>
        <v>116.33466135458166</v>
      </c>
      <c r="Q182" s="1">
        <v>113.7</v>
      </c>
      <c r="R182" s="1"/>
      <c r="S182" s="1">
        <f t="shared" ref="S182:S183" si="259">R182/Q182*100</f>
        <v>0</v>
      </c>
      <c r="T182" s="1">
        <v>108</v>
      </c>
      <c r="U182" s="1"/>
      <c r="V182" s="1">
        <f t="shared" ref="V182:V183" si="260">U182/T182*100</f>
        <v>0</v>
      </c>
      <c r="W182" s="1">
        <f>113.6+1-0.1</f>
        <v>114.5</v>
      </c>
      <c r="X182" s="1"/>
      <c r="Y182" s="1">
        <f t="shared" ref="Y182:Y183" si="261">X182/W182*100</f>
        <v>0</v>
      </c>
      <c r="Z182" s="1">
        <v>168.8</v>
      </c>
      <c r="AA182" s="1"/>
      <c r="AB182" s="1">
        <f t="shared" ref="AB182:AB183" si="262">AA182/Z182*100</f>
        <v>0</v>
      </c>
      <c r="AC182" s="1">
        <v>65.099999999999994</v>
      </c>
      <c r="AD182" s="1"/>
      <c r="AE182" s="1">
        <f t="shared" ref="AE182:AE183" si="263">AD182/AC182*100</f>
        <v>0</v>
      </c>
      <c r="AF182" s="1">
        <f>105.9+0.3</f>
        <v>106.2</v>
      </c>
      <c r="AG182" s="1"/>
      <c r="AH182" s="1">
        <f t="shared" ref="AH182:AH183" si="264">AG182/AF182*100</f>
        <v>0</v>
      </c>
      <c r="AI182" s="1">
        <v>142.9</v>
      </c>
      <c r="AJ182" s="1"/>
      <c r="AK182" s="1">
        <f t="shared" ref="AK182:AK183" si="265">AJ182/AI182*100</f>
        <v>0</v>
      </c>
      <c r="AL182" s="1">
        <v>92.2</v>
      </c>
      <c r="AM182" s="1"/>
      <c r="AN182" s="1">
        <f t="shared" ref="AN182:AN183" si="266">AM182/AL182*100</f>
        <v>0</v>
      </c>
      <c r="AO182" s="1">
        <f>43.3-2.2</f>
        <v>41.099999999999994</v>
      </c>
      <c r="AP182" s="38"/>
      <c r="AQ182" s="1">
        <f t="shared" ref="AQ182:AQ183" si="267">AP182/AO182*100</f>
        <v>0</v>
      </c>
      <c r="AR182" s="94" t="s">
        <v>180</v>
      </c>
      <c r="AS182" s="4" t="s">
        <v>178</v>
      </c>
    </row>
    <row r="183" spans="1:45" ht="75" customHeight="1" x14ac:dyDescent="0.25">
      <c r="A183" s="101"/>
      <c r="B183" s="101"/>
      <c r="C183" s="101"/>
      <c r="D183" s="26" t="s">
        <v>43</v>
      </c>
      <c r="E183" s="1">
        <f t="shared" si="252"/>
        <v>36859.300000000003</v>
      </c>
      <c r="F183" s="1">
        <f t="shared" si="252"/>
        <v>7546.7999999999993</v>
      </c>
      <c r="G183" s="1">
        <f t="shared" si="257"/>
        <v>20.474615632961012</v>
      </c>
      <c r="H183" s="1">
        <v>1679</v>
      </c>
      <c r="I183" s="1">
        <v>571.9</v>
      </c>
      <c r="J183" s="1">
        <f t="shared" si="258"/>
        <v>34.061941631923766</v>
      </c>
      <c r="K183" s="1">
        <v>5599.8</v>
      </c>
      <c r="L183" s="1">
        <v>4293.8</v>
      </c>
      <c r="M183" s="1">
        <f t="shared" si="255"/>
        <v>76.677738490660388</v>
      </c>
      <c r="N183" s="1">
        <v>3038.1</v>
      </c>
      <c r="O183" s="1">
        <v>2681.1</v>
      </c>
      <c r="P183" s="1">
        <f t="shared" si="256"/>
        <v>88.249234719067843</v>
      </c>
      <c r="Q183" s="1">
        <v>2974.5</v>
      </c>
      <c r="R183" s="1"/>
      <c r="S183" s="1">
        <f t="shared" si="259"/>
        <v>0</v>
      </c>
      <c r="T183" s="1">
        <v>2822.7</v>
      </c>
      <c r="U183" s="1"/>
      <c r="V183" s="1">
        <f t="shared" si="260"/>
        <v>0</v>
      </c>
      <c r="W183" s="1">
        <v>3279.5</v>
      </c>
      <c r="X183" s="1"/>
      <c r="Y183" s="1">
        <f t="shared" si="261"/>
        <v>0</v>
      </c>
      <c r="Z183" s="1">
        <v>4582.7</v>
      </c>
      <c r="AA183" s="1"/>
      <c r="AB183" s="1">
        <f t="shared" si="262"/>
        <v>0</v>
      </c>
      <c r="AC183" s="1">
        <v>3221.4</v>
      </c>
      <c r="AD183" s="1"/>
      <c r="AE183" s="1">
        <f t="shared" si="263"/>
        <v>0</v>
      </c>
      <c r="AF183" s="1">
        <v>2223</v>
      </c>
      <c r="AG183" s="1"/>
      <c r="AH183" s="1">
        <f t="shared" si="264"/>
        <v>0</v>
      </c>
      <c r="AI183" s="1">
        <v>2511.6</v>
      </c>
      <c r="AJ183" s="1"/>
      <c r="AK183" s="1">
        <f t="shared" si="265"/>
        <v>0</v>
      </c>
      <c r="AL183" s="1">
        <v>2119</v>
      </c>
      <c r="AM183" s="1"/>
      <c r="AN183" s="1">
        <f t="shared" si="266"/>
        <v>0</v>
      </c>
      <c r="AO183" s="1">
        <v>2808</v>
      </c>
      <c r="AP183" s="38"/>
      <c r="AQ183" s="1">
        <f t="shared" si="267"/>
        <v>0</v>
      </c>
      <c r="AR183" s="94" t="s">
        <v>181</v>
      </c>
      <c r="AS183" s="3" t="s">
        <v>179</v>
      </c>
    </row>
    <row r="184" spans="1:45" ht="15.75" customHeight="1" x14ac:dyDescent="0.25">
      <c r="A184" s="101"/>
      <c r="B184" s="101"/>
      <c r="C184" s="101"/>
      <c r="D184" s="26" t="s">
        <v>21</v>
      </c>
      <c r="E184" s="1">
        <f t="shared" si="252"/>
        <v>0</v>
      </c>
      <c r="F184" s="1">
        <f t="shared" si="252"/>
        <v>0</v>
      </c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38"/>
      <c r="AQ184" s="38"/>
      <c r="AR184" s="25"/>
      <c r="AS184" s="25"/>
    </row>
    <row r="185" spans="1:45" ht="15" customHeight="1" x14ac:dyDescent="0.25">
      <c r="A185" s="101" t="s">
        <v>68</v>
      </c>
      <c r="B185" s="101" t="s">
        <v>97</v>
      </c>
      <c r="C185" s="101" t="s">
        <v>145</v>
      </c>
      <c r="D185" s="26" t="s">
        <v>3</v>
      </c>
      <c r="E185" s="1">
        <f t="shared" si="252"/>
        <v>0</v>
      </c>
      <c r="F185" s="1">
        <f t="shared" si="252"/>
        <v>0</v>
      </c>
      <c r="G185" s="1"/>
      <c r="H185" s="1">
        <f>H186+H187+H188+H189</f>
        <v>0</v>
      </c>
      <c r="I185" s="1"/>
      <c r="J185" s="1"/>
      <c r="K185" s="1">
        <f t="shared" ref="K185:AO185" si="268">K186+K187+K188+K189</f>
        <v>0</v>
      </c>
      <c r="L185" s="1"/>
      <c r="M185" s="1"/>
      <c r="N185" s="1">
        <f t="shared" si="268"/>
        <v>0</v>
      </c>
      <c r="O185" s="1"/>
      <c r="P185" s="1"/>
      <c r="Q185" s="1">
        <f t="shared" si="268"/>
        <v>0</v>
      </c>
      <c r="R185" s="1"/>
      <c r="S185" s="1"/>
      <c r="T185" s="1">
        <f t="shared" si="268"/>
        <v>0</v>
      </c>
      <c r="U185" s="1"/>
      <c r="V185" s="1"/>
      <c r="W185" s="1">
        <f t="shared" si="268"/>
        <v>0</v>
      </c>
      <c r="X185" s="1"/>
      <c r="Y185" s="1"/>
      <c r="Z185" s="1">
        <f t="shared" si="268"/>
        <v>0</v>
      </c>
      <c r="AA185" s="1"/>
      <c r="AB185" s="1"/>
      <c r="AC185" s="1">
        <f t="shared" si="268"/>
        <v>0</v>
      </c>
      <c r="AD185" s="1"/>
      <c r="AE185" s="1"/>
      <c r="AF185" s="1">
        <f t="shared" si="268"/>
        <v>0</v>
      </c>
      <c r="AG185" s="1"/>
      <c r="AH185" s="1"/>
      <c r="AI185" s="1">
        <f t="shared" si="268"/>
        <v>0</v>
      </c>
      <c r="AJ185" s="1"/>
      <c r="AK185" s="1"/>
      <c r="AL185" s="1">
        <f t="shared" si="268"/>
        <v>0</v>
      </c>
      <c r="AM185" s="1"/>
      <c r="AN185" s="1"/>
      <c r="AO185" s="1">
        <f t="shared" si="268"/>
        <v>0</v>
      </c>
      <c r="AP185" s="1"/>
      <c r="AQ185" s="38"/>
      <c r="AR185" s="25"/>
      <c r="AS185" s="25"/>
    </row>
    <row r="186" spans="1:45" x14ac:dyDescent="0.25">
      <c r="A186" s="101"/>
      <c r="B186" s="101"/>
      <c r="C186" s="101"/>
      <c r="D186" s="26" t="s">
        <v>20</v>
      </c>
      <c r="E186" s="1">
        <f t="shared" si="252"/>
        <v>0</v>
      </c>
      <c r="F186" s="1">
        <f t="shared" si="252"/>
        <v>0</v>
      </c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38"/>
      <c r="AR186" s="25"/>
      <c r="AS186" s="25"/>
    </row>
    <row r="187" spans="1:45" ht="26.25" customHeight="1" x14ac:dyDescent="0.25">
      <c r="A187" s="101"/>
      <c r="B187" s="101"/>
      <c r="C187" s="101"/>
      <c r="D187" s="26" t="s">
        <v>4</v>
      </c>
      <c r="E187" s="1">
        <f t="shared" si="252"/>
        <v>0</v>
      </c>
      <c r="F187" s="1">
        <f t="shared" si="252"/>
        <v>0</v>
      </c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38"/>
      <c r="AR187" s="25"/>
      <c r="AS187" s="25"/>
    </row>
    <row r="188" spans="1:45" x14ac:dyDescent="0.25">
      <c r="A188" s="101"/>
      <c r="B188" s="101"/>
      <c r="C188" s="101"/>
      <c r="D188" s="26" t="s">
        <v>43</v>
      </c>
      <c r="E188" s="1">
        <f t="shared" si="252"/>
        <v>0</v>
      </c>
      <c r="F188" s="1">
        <f t="shared" si="252"/>
        <v>0</v>
      </c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38"/>
      <c r="AR188" s="25"/>
      <c r="AS188" s="25"/>
    </row>
    <row r="189" spans="1:45" ht="15.75" customHeight="1" x14ac:dyDescent="0.25">
      <c r="A189" s="101"/>
      <c r="B189" s="101"/>
      <c r="C189" s="101"/>
      <c r="D189" s="26" t="s">
        <v>21</v>
      </c>
      <c r="E189" s="1">
        <f t="shared" si="252"/>
        <v>0</v>
      </c>
      <c r="F189" s="1">
        <f t="shared" si="252"/>
        <v>0</v>
      </c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38"/>
      <c r="AR189" s="25"/>
      <c r="AS189" s="25"/>
    </row>
    <row r="190" spans="1:45" ht="12" customHeight="1" x14ac:dyDescent="0.25">
      <c r="A190" s="122" t="s">
        <v>11</v>
      </c>
      <c r="B190" s="122"/>
      <c r="C190" s="122"/>
      <c r="D190" s="29" t="s">
        <v>3</v>
      </c>
      <c r="E190" s="30">
        <f t="shared" si="252"/>
        <v>38517</v>
      </c>
      <c r="F190" s="30">
        <f t="shared" si="252"/>
        <v>8033.3000000000011</v>
      </c>
      <c r="G190" s="30">
        <f>F190/E190*100</f>
        <v>20.8565049199055</v>
      </c>
      <c r="H190" s="30">
        <f>H191+H192+H193+H194</f>
        <v>1707.8</v>
      </c>
      <c r="I190" s="30">
        <f>I191+I192+I193+I194</f>
        <v>574.1</v>
      </c>
      <c r="J190" s="30">
        <f>I190/H190*100</f>
        <v>33.616348518561892</v>
      </c>
      <c r="K190" s="30">
        <f t="shared" ref="K190:AO190" si="269">K191+K192+K193+K194</f>
        <v>5818.1</v>
      </c>
      <c r="L190" s="30">
        <f t="shared" si="269"/>
        <v>4521.3</v>
      </c>
      <c r="M190" s="30">
        <f t="shared" ref="M190:M193" si="270">L190/K190*100</f>
        <v>77.710936560045369</v>
      </c>
      <c r="N190" s="30">
        <f t="shared" si="269"/>
        <v>3278.5</v>
      </c>
      <c r="O190" s="30">
        <f t="shared" si="269"/>
        <v>2937.9</v>
      </c>
      <c r="P190" s="30">
        <f t="shared" ref="P190:P193" si="271">O190/N190*100</f>
        <v>89.611102638401704</v>
      </c>
      <c r="Q190" s="30">
        <f t="shared" si="269"/>
        <v>3128.2</v>
      </c>
      <c r="R190" s="30">
        <f t="shared" si="269"/>
        <v>0</v>
      </c>
      <c r="S190" s="30">
        <f>R190/Q190*100</f>
        <v>0</v>
      </c>
      <c r="T190" s="30">
        <f t="shared" si="269"/>
        <v>2930.7</v>
      </c>
      <c r="U190" s="30">
        <f t="shared" si="269"/>
        <v>0</v>
      </c>
      <c r="V190" s="30">
        <f>U190/T190*100</f>
        <v>0</v>
      </c>
      <c r="W190" s="30">
        <f t="shared" si="269"/>
        <v>3394</v>
      </c>
      <c r="X190" s="30">
        <f t="shared" si="269"/>
        <v>0</v>
      </c>
      <c r="Y190" s="30">
        <f>X190/W190*100</f>
        <v>0</v>
      </c>
      <c r="Z190" s="30">
        <f t="shared" si="269"/>
        <v>4751.5</v>
      </c>
      <c r="AA190" s="30">
        <f t="shared" si="269"/>
        <v>0</v>
      </c>
      <c r="AB190" s="30">
        <f>AA190/Z190*100</f>
        <v>0</v>
      </c>
      <c r="AC190" s="30">
        <f t="shared" si="269"/>
        <v>3375.2</v>
      </c>
      <c r="AD190" s="30">
        <f t="shared" si="269"/>
        <v>0</v>
      </c>
      <c r="AE190" s="30">
        <f>AD190/AC190*100</f>
        <v>0</v>
      </c>
      <c r="AF190" s="30">
        <f t="shared" si="269"/>
        <v>2329.1999999999998</v>
      </c>
      <c r="AG190" s="30">
        <f t="shared" si="269"/>
        <v>0</v>
      </c>
      <c r="AH190" s="30">
        <f>AG190/AF190*100</f>
        <v>0</v>
      </c>
      <c r="AI190" s="30">
        <f t="shared" si="269"/>
        <v>2654.5</v>
      </c>
      <c r="AJ190" s="30">
        <f t="shared" si="269"/>
        <v>0</v>
      </c>
      <c r="AK190" s="30">
        <f>AJ190/AI190*100</f>
        <v>0</v>
      </c>
      <c r="AL190" s="30">
        <f t="shared" si="269"/>
        <v>2211.1999999999998</v>
      </c>
      <c r="AM190" s="30">
        <f t="shared" si="269"/>
        <v>0</v>
      </c>
      <c r="AN190" s="30">
        <f>AM190/AL190*100</f>
        <v>0</v>
      </c>
      <c r="AO190" s="30">
        <f t="shared" si="269"/>
        <v>2938.1</v>
      </c>
      <c r="AP190" s="30"/>
      <c r="AQ190" s="30">
        <f>AP190/AO190*100</f>
        <v>0</v>
      </c>
      <c r="AR190" s="25"/>
      <c r="AS190" s="25"/>
    </row>
    <row r="191" spans="1:45" x14ac:dyDescent="0.25">
      <c r="A191" s="122"/>
      <c r="B191" s="122"/>
      <c r="C191" s="122"/>
      <c r="D191" s="29" t="s">
        <v>20</v>
      </c>
      <c r="E191" s="30">
        <f t="shared" si="252"/>
        <v>0</v>
      </c>
      <c r="F191" s="30">
        <f t="shared" si="252"/>
        <v>0</v>
      </c>
      <c r="G191" s="31"/>
      <c r="H191" s="30">
        <f t="shared" ref="H191:I194" si="272">H161+H166+H171+H176+H181+H186</f>
        <v>0</v>
      </c>
      <c r="I191" s="30">
        <f t="shared" si="272"/>
        <v>0</v>
      </c>
      <c r="J191" s="31"/>
      <c r="K191" s="30">
        <f t="shared" ref="K191:AO194" si="273">K161+K166+K171+K176+K181+K186</f>
        <v>0</v>
      </c>
      <c r="L191" s="30">
        <f t="shared" si="273"/>
        <v>0</v>
      </c>
      <c r="M191" s="30"/>
      <c r="N191" s="30">
        <f t="shared" si="273"/>
        <v>0</v>
      </c>
      <c r="O191" s="30">
        <f t="shared" si="273"/>
        <v>0</v>
      </c>
      <c r="P191" s="30"/>
      <c r="Q191" s="30">
        <f t="shared" si="273"/>
        <v>0</v>
      </c>
      <c r="R191" s="30">
        <f t="shared" si="273"/>
        <v>0</v>
      </c>
      <c r="S191" s="31"/>
      <c r="T191" s="30">
        <f t="shared" si="273"/>
        <v>0</v>
      </c>
      <c r="U191" s="30">
        <f t="shared" si="273"/>
        <v>0</v>
      </c>
      <c r="V191" s="31"/>
      <c r="W191" s="30">
        <f t="shared" si="273"/>
        <v>0</v>
      </c>
      <c r="X191" s="30">
        <f t="shared" si="273"/>
        <v>0</v>
      </c>
      <c r="Y191" s="31"/>
      <c r="Z191" s="30">
        <f t="shared" si="273"/>
        <v>0</v>
      </c>
      <c r="AA191" s="30">
        <f t="shared" si="273"/>
        <v>0</v>
      </c>
      <c r="AB191" s="31"/>
      <c r="AC191" s="30">
        <f t="shared" si="273"/>
        <v>0</v>
      </c>
      <c r="AD191" s="30">
        <f t="shared" si="273"/>
        <v>0</v>
      </c>
      <c r="AE191" s="31"/>
      <c r="AF191" s="30">
        <f t="shared" si="273"/>
        <v>0</v>
      </c>
      <c r="AG191" s="30">
        <f t="shared" si="273"/>
        <v>0</v>
      </c>
      <c r="AH191" s="31"/>
      <c r="AI191" s="30">
        <f t="shared" si="273"/>
        <v>0</v>
      </c>
      <c r="AJ191" s="30">
        <f t="shared" si="273"/>
        <v>0</v>
      </c>
      <c r="AK191" s="31"/>
      <c r="AL191" s="30">
        <f t="shared" si="273"/>
        <v>0</v>
      </c>
      <c r="AM191" s="30">
        <f t="shared" si="273"/>
        <v>0</v>
      </c>
      <c r="AN191" s="31"/>
      <c r="AO191" s="30">
        <f t="shared" si="273"/>
        <v>0</v>
      </c>
      <c r="AP191" s="38"/>
      <c r="AQ191" s="31"/>
      <c r="AR191" s="25"/>
      <c r="AS191" s="25"/>
    </row>
    <row r="192" spans="1:45" ht="24" customHeight="1" x14ac:dyDescent="0.25">
      <c r="A192" s="122"/>
      <c r="B192" s="122"/>
      <c r="C192" s="122"/>
      <c r="D192" s="29" t="s">
        <v>4</v>
      </c>
      <c r="E192" s="30">
        <f t="shared" si="252"/>
        <v>1300</v>
      </c>
      <c r="F192" s="30">
        <f t="shared" si="252"/>
        <v>346.5</v>
      </c>
      <c r="G192" s="30">
        <f>F192/E192*100</f>
        <v>26.653846153846157</v>
      </c>
      <c r="H192" s="30">
        <f t="shared" si="272"/>
        <v>28.8</v>
      </c>
      <c r="I192" s="30">
        <f t="shared" si="272"/>
        <v>2.2000000000000002</v>
      </c>
      <c r="J192" s="30">
        <f>I192/H192*100</f>
        <v>7.6388888888888893</v>
      </c>
      <c r="K192" s="30">
        <f t="shared" si="273"/>
        <v>218.3</v>
      </c>
      <c r="L192" s="30">
        <f t="shared" si="273"/>
        <v>227.5</v>
      </c>
      <c r="M192" s="30">
        <f t="shared" si="270"/>
        <v>104.21438387540083</v>
      </c>
      <c r="N192" s="30">
        <f t="shared" si="273"/>
        <v>100.4</v>
      </c>
      <c r="O192" s="30">
        <f t="shared" si="273"/>
        <v>116.8</v>
      </c>
      <c r="P192" s="30">
        <f t="shared" si="271"/>
        <v>116.33466135458166</v>
      </c>
      <c r="Q192" s="30">
        <f t="shared" si="273"/>
        <v>113.7</v>
      </c>
      <c r="R192" s="30">
        <f t="shared" si="273"/>
        <v>0</v>
      </c>
      <c r="S192" s="30">
        <f>R192/Q192*100</f>
        <v>0</v>
      </c>
      <c r="T192" s="30">
        <f t="shared" si="273"/>
        <v>108</v>
      </c>
      <c r="U192" s="30">
        <f t="shared" si="273"/>
        <v>0</v>
      </c>
      <c r="V192" s="30">
        <f>U192/T192*100</f>
        <v>0</v>
      </c>
      <c r="W192" s="30">
        <f t="shared" si="273"/>
        <v>114.5</v>
      </c>
      <c r="X192" s="30">
        <f t="shared" si="273"/>
        <v>0</v>
      </c>
      <c r="Y192" s="30">
        <f>X192/W192*100</f>
        <v>0</v>
      </c>
      <c r="Z192" s="30">
        <f t="shared" si="273"/>
        <v>168.8</v>
      </c>
      <c r="AA192" s="30">
        <f t="shared" si="273"/>
        <v>0</v>
      </c>
      <c r="AB192" s="30">
        <f>AA192/Z192*100</f>
        <v>0</v>
      </c>
      <c r="AC192" s="30">
        <f t="shared" si="273"/>
        <v>65.099999999999994</v>
      </c>
      <c r="AD192" s="30">
        <f t="shared" si="273"/>
        <v>0</v>
      </c>
      <c r="AE192" s="30">
        <f>AD192/AC192*100</f>
        <v>0</v>
      </c>
      <c r="AF192" s="30">
        <f t="shared" si="273"/>
        <v>106.2</v>
      </c>
      <c r="AG192" s="30">
        <f t="shared" si="273"/>
        <v>0</v>
      </c>
      <c r="AH192" s="30">
        <f>AG192/AF192*100</f>
        <v>0</v>
      </c>
      <c r="AI192" s="30">
        <f t="shared" si="273"/>
        <v>142.9</v>
      </c>
      <c r="AJ192" s="30">
        <f t="shared" si="273"/>
        <v>0</v>
      </c>
      <c r="AK192" s="30">
        <f>AJ192/AI192*100</f>
        <v>0</v>
      </c>
      <c r="AL192" s="30">
        <f t="shared" si="273"/>
        <v>92.2</v>
      </c>
      <c r="AM192" s="30">
        <f t="shared" si="273"/>
        <v>0</v>
      </c>
      <c r="AN192" s="30">
        <f>AM192/AL192*100</f>
        <v>0</v>
      </c>
      <c r="AO192" s="30">
        <f t="shared" si="273"/>
        <v>41.099999999999994</v>
      </c>
      <c r="AP192" s="38"/>
      <c r="AQ192" s="30">
        <f>AP192/AO192*100</f>
        <v>0</v>
      </c>
      <c r="AR192" s="25"/>
      <c r="AS192" s="25"/>
    </row>
    <row r="193" spans="1:45" x14ac:dyDescent="0.25">
      <c r="A193" s="122"/>
      <c r="B193" s="122"/>
      <c r="C193" s="122"/>
      <c r="D193" s="29" t="s">
        <v>43</v>
      </c>
      <c r="E193" s="30">
        <f t="shared" si="252"/>
        <v>37217</v>
      </c>
      <c r="F193" s="30">
        <f t="shared" si="252"/>
        <v>7686.7999999999993</v>
      </c>
      <c r="G193" s="30">
        <f>F193/E193*100</f>
        <v>20.654002203294191</v>
      </c>
      <c r="H193" s="30">
        <f t="shared" si="272"/>
        <v>1679</v>
      </c>
      <c r="I193" s="30">
        <f t="shared" si="272"/>
        <v>571.9</v>
      </c>
      <c r="J193" s="30">
        <f>I193/H193*100</f>
        <v>34.061941631923766</v>
      </c>
      <c r="K193" s="30">
        <f t="shared" si="273"/>
        <v>5599.8</v>
      </c>
      <c r="L193" s="30">
        <f t="shared" si="273"/>
        <v>4293.8</v>
      </c>
      <c r="M193" s="30">
        <f t="shared" si="270"/>
        <v>76.677738490660388</v>
      </c>
      <c r="N193" s="30">
        <f t="shared" si="273"/>
        <v>3178.1</v>
      </c>
      <c r="O193" s="30">
        <f t="shared" si="273"/>
        <v>2821.1</v>
      </c>
      <c r="P193" s="30">
        <f t="shared" si="271"/>
        <v>88.766873289072095</v>
      </c>
      <c r="Q193" s="30">
        <f t="shared" si="273"/>
        <v>3014.5</v>
      </c>
      <c r="R193" s="30">
        <f t="shared" si="273"/>
        <v>0</v>
      </c>
      <c r="S193" s="30">
        <f>R193/Q193*100</f>
        <v>0</v>
      </c>
      <c r="T193" s="30">
        <f t="shared" si="273"/>
        <v>2822.7</v>
      </c>
      <c r="U193" s="30">
        <f t="shared" si="273"/>
        <v>0</v>
      </c>
      <c r="V193" s="30">
        <f>U193/T193*100</f>
        <v>0</v>
      </c>
      <c r="W193" s="30">
        <f t="shared" si="273"/>
        <v>3279.5</v>
      </c>
      <c r="X193" s="30">
        <f t="shared" si="273"/>
        <v>0</v>
      </c>
      <c r="Y193" s="30">
        <f>X193/W193*100</f>
        <v>0</v>
      </c>
      <c r="Z193" s="30">
        <f t="shared" si="273"/>
        <v>4582.7</v>
      </c>
      <c r="AA193" s="30">
        <f t="shared" si="273"/>
        <v>0</v>
      </c>
      <c r="AB193" s="30">
        <f>AA193/Z193*100</f>
        <v>0</v>
      </c>
      <c r="AC193" s="30">
        <f t="shared" si="273"/>
        <v>3310.1</v>
      </c>
      <c r="AD193" s="30">
        <f t="shared" si="273"/>
        <v>0</v>
      </c>
      <c r="AE193" s="30">
        <f>AD193/AC193*100</f>
        <v>0</v>
      </c>
      <c r="AF193" s="30">
        <f t="shared" si="273"/>
        <v>2223</v>
      </c>
      <c r="AG193" s="30">
        <f t="shared" si="273"/>
        <v>0</v>
      </c>
      <c r="AH193" s="30">
        <f>AG193/AF193*100</f>
        <v>0</v>
      </c>
      <c r="AI193" s="30">
        <f t="shared" si="273"/>
        <v>2511.6</v>
      </c>
      <c r="AJ193" s="30">
        <f t="shared" si="273"/>
        <v>0</v>
      </c>
      <c r="AK193" s="30">
        <f>AJ193/AI193*100</f>
        <v>0</v>
      </c>
      <c r="AL193" s="30">
        <f t="shared" si="273"/>
        <v>2119</v>
      </c>
      <c r="AM193" s="30">
        <f t="shared" si="273"/>
        <v>0</v>
      </c>
      <c r="AN193" s="30">
        <f>AM193/AL193*100</f>
        <v>0</v>
      </c>
      <c r="AO193" s="30">
        <f t="shared" si="273"/>
        <v>2897</v>
      </c>
      <c r="AP193" s="38"/>
      <c r="AQ193" s="30">
        <f>AP193/AO193*100</f>
        <v>0</v>
      </c>
      <c r="AR193" s="25"/>
      <c r="AS193" s="25"/>
    </row>
    <row r="194" spans="1:45" ht="13.5" customHeight="1" x14ac:dyDescent="0.25">
      <c r="A194" s="122"/>
      <c r="B194" s="122"/>
      <c r="C194" s="122"/>
      <c r="D194" s="29" t="s">
        <v>21</v>
      </c>
      <c r="E194" s="30">
        <f t="shared" si="252"/>
        <v>0</v>
      </c>
      <c r="F194" s="30">
        <f t="shared" si="252"/>
        <v>0</v>
      </c>
      <c r="G194" s="30"/>
      <c r="H194" s="30">
        <f t="shared" si="272"/>
        <v>0</v>
      </c>
      <c r="I194" s="30">
        <f t="shared" si="272"/>
        <v>0</v>
      </c>
      <c r="J194" s="30"/>
      <c r="K194" s="30">
        <f t="shared" si="273"/>
        <v>0</v>
      </c>
      <c r="L194" s="30">
        <f t="shared" si="273"/>
        <v>0</v>
      </c>
      <c r="M194" s="30"/>
      <c r="N194" s="30">
        <f t="shared" si="273"/>
        <v>0</v>
      </c>
      <c r="O194" s="30">
        <f t="shared" si="273"/>
        <v>0</v>
      </c>
      <c r="P194" s="30"/>
      <c r="Q194" s="30">
        <f t="shared" si="273"/>
        <v>0</v>
      </c>
      <c r="R194" s="30">
        <f t="shared" si="273"/>
        <v>0</v>
      </c>
      <c r="S194" s="30"/>
      <c r="T194" s="30">
        <f t="shared" si="273"/>
        <v>0</v>
      </c>
      <c r="U194" s="30">
        <f t="shared" si="273"/>
        <v>0</v>
      </c>
      <c r="V194" s="30"/>
      <c r="W194" s="30">
        <f t="shared" si="273"/>
        <v>0</v>
      </c>
      <c r="X194" s="30">
        <f t="shared" si="273"/>
        <v>0</v>
      </c>
      <c r="Y194" s="30"/>
      <c r="Z194" s="30">
        <f t="shared" si="273"/>
        <v>0</v>
      </c>
      <c r="AA194" s="30"/>
      <c r="AB194" s="30"/>
      <c r="AC194" s="30">
        <f t="shared" si="273"/>
        <v>0</v>
      </c>
      <c r="AD194" s="30">
        <f t="shared" si="273"/>
        <v>0</v>
      </c>
      <c r="AE194" s="30"/>
      <c r="AF194" s="30">
        <f t="shared" si="273"/>
        <v>0</v>
      </c>
      <c r="AG194" s="30"/>
      <c r="AH194" s="30"/>
      <c r="AI194" s="30">
        <f t="shared" si="273"/>
        <v>0</v>
      </c>
      <c r="AJ194" s="30"/>
      <c r="AK194" s="30"/>
      <c r="AL194" s="30">
        <f t="shared" si="273"/>
        <v>0</v>
      </c>
      <c r="AM194" s="30">
        <f t="shared" si="273"/>
        <v>0</v>
      </c>
      <c r="AN194" s="30"/>
      <c r="AO194" s="30">
        <f t="shared" si="273"/>
        <v>0</v>
      </c>
      <c r="AP194" s="38"/>
      <c r="AQ194" s="40"/>
      <c r="AR194" s="25"/>
      <c r="AS194" s="25"/>
    </row>
    <row r="195" spans="1:45" ht="15" customHeight="1" x14ac:dyDescent="0.25">
      <c r="A195" s="41" t="s">
        <v>69</v>
      </c>
      <c r="B195" s="23" t="s">
        <v>12</v>
      </c>
      <c r="C195" s="23"/>
      <c r="D195" s="23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3"/>
      <c r="AQ195" s="23"/>
      <c r="AR195" s="25"/>
      <c r="AS195" s="25"/>
    </row>
    <row r="196" spans="1:45" ht="14.45" customHeight="1" x14ac:dyDescent="0.25">
      <c r="A196" s="120" t="s">
        <v>70</v>
      </c>
      <c r="B196" s="101" t="s">
        <v>98</v>
      </c>
      <c r="C196" s="101" t="s">
        <v>145</v>
      </c>
      <c r="D196" s="26" t="s">
        <v>3</v>
      </c>
      <c r="E196" s="1">
        <f t="shared" ref="E196:F211" si="274">H196+K196+N196+Q196+T196+W196+Z196+AC196+AF196+AI196+AL196+AO196</f>
        <v>156</v>
      </c>
      <c r="F196" s="1">
        <f t="shared" si="274"/>
        <v>106</v>
      </c>
      <c r="G196" s="1">
        <f>F196/E196*100</f>
        <v>67.948717948717956</v>
      </c>
      <c r="H196" s="1">
        <f>H197+H198+H199+H200</f>
        <v>0</v>
      </c>
      <c r="I196" s="1"/>
      <c r="J196" s="27"/>
      <c r="K196" s="1">
        <f t="shared" ref="K196:AO196" si="275">K197+K198+K199+K200</f>
        <v>0</v>
      </c>
      <c r="L196" s="1"/>
      <c r="M196" s="27"/>
      <c r="N196" s="1">
        <f t="shared" si="275"/>
        <v>106</v>
      </c>
      <c r="O196" s="1">
        <f t="shared" si="275"/>
        <v>106</v>
      </c>
      <c r="P196" s="1">
        <f>O196/N196*100</f>
        <v>100</v>
      </c>
      <c r="Q196" s="1">
        <f t="shared" si="275"/>
        <v>0</v>
      </c>
      <c r="R196" s="1"/>
      <c r="S196" s="27"/>
      <c r="T196" s="1">
        <f t="shared" si="275"/>
        <v>0</v>
      </c>
      <c r="U196" s="1">
        <f t="shared" si="275"/>
        <v>0</v>
      </c>
      <c r="V196" s="27"/>
      <c r="W196" s="1">
        <f t="shared" si="275"/>
        <v>0</v>
      </c>
      <c r="X196" s="1">
        <f t="shared" si="275"/>
        <v>0</v>
      </c>
      <c r="Y196" s="27"/>
      <c r="Z196" s="1">
        <f t="shared" si="275"/>
        <v>0</v>
      </c>
      <c r="AA196" s="1"/>
      <c r="AB196" s="27"/>
      <c r="AC196" s="1">
        <f t="shared" si="275"/>
        <v>0</v>
      </c>
      <c r="AD196" s="1"/>
      <c r="AE196" s="27"/>
      <c r="AF196" s="1">
        <f t="shared" si="275"/>
        <v>0</v>
      </c>
      <c r="AG196" s="1">
        <f t="shared" si="275"/>
        <v>0</v>
      </c>
      <c r="AH196" s="27"/>
      <c r="AI196" s="1">
        <f t="shared" si="275"/>
        <v>50</v>
      </c>
      <c r="AJ196" s="1">
        <f t="shared" si="275"/>
        <v>0</v>
      </c>
      <c r="AK196" s="27"/>
      <c r="AL196" s="1">
        <f t="shared" si="275"/>
        <v>0</v>
      </c>
      <c r="AM196" s="1">
        <f t="shared" si="275"/>
        <v>0</v>
      </c>
      <c r="AN196" s="27"/>
      <c r="AO196" s="1">
        <f t="shared" si="275"/>
        <v>0</v>
      </c>
      <c r="AP196" s="1"/>
      <c r="AQ196" s="27"/>
      <c r="AR196" s="25"/>
      <c r="AS196" s="25"/>
    </row>
    <row r="197" spans="1:45" ht="15" customHeight="1" x14ac:dyDescent="0.25">
      <c r="A197" s="120"/>
      <c r="B197" s="101"/>
      <c r="C197" s="101"/>
      <c r="D197" s="26" t="s">
        <v>20</v>
      </c>
      <c r="E197" s="1">
        <f t="shared" si="274"/>
        <v>0</v>
      </c>
      <c r="F197" s="1">
        <f t="shared" si="274"/>
        <v>0</v>
      </c>
      <c r="G197" s="1"/>
      <c r="H197" s="1"/>
      <c r="I197" s="1"/>
      <c r="J197" s="27"/>
      <c r="K197" s="1"/>
      <c r="L197" s="1"/>
      <c r="M197" s="27"/>
      <c r="N197" s="1"/>
      <c r="O197" s="1"/>
      <c r="P197" s="1"/>
      <c r="Q197" s="1"/>
      <c r="R197" s="1"/>
      <c r="S197" s="27"/>
      <c r="T197" s="1"/>
      <c r="U197" s="1"/>
      <c r="V197" s="27"/>
      <c r="W197" s="1"/>
      <c r="X197" s="1"/>
      <c r="Y197" s="27"/>
      <c r="Z197" s="1"/>
      <c r="AA197" s="1"/>
      <c r="AB197" s="27"/>
      <c r="AC197" s="1"/>
      <c r="AD197" s="1"/>
      <c r="AE197" s="27"/>
      <c r="AF197" s="1"/>
      <c r="AG197" s="1"/>
      <c r="AH197" s="27"/>
      <c r="AI197" s="1"/>
      <c r="AJ197" s="1"/>
      <c r="AK197" s="27"/>
      <c r="AL197" s="1"/>
      <c r="AM197" s="1"/>
      <c r="AN197" s="27"/>
      <c r="AO197" s="1"/>
      <c r="AP197" s="1"/>
      <c r="AQ197" s="27"/>
      <c r="AR197" s="25"/>
      <c r="AS197" s="25"/>
    </row>
    <row r="198" spans="1:45" ht="24" customHeight="1" x14ac:dyDescent="0.25">
      <c r="A198" s="120"/>
      <c r="B198" s="101"/>
      <c r="C198" s="101"/>
      <c r="D198" s="26" t="s">
        <v>4</v>
      </c>
      <c r="E198" s="1">
        <f t="shared" si="274"/>
        <v>0</v>
      </c>
      <c r="F198" s="1">
        <f t="shared" si="274"/>
        <v>0</v>
      </c>
      <c r="G198" s="1"/>
      <c r="H198" s="1"/>
      <c r="I198" s="1"/>
      <c r="J198" s="27"/>
      <c r="K198" s="1"/>
      <c r="L198" s="1"/>
      <c r="M198" s="27"/>
      <c r="N198" s="1"/>
      <c r="O198" s="1"/>
      <c r="P198" s="1"/>
      <c r="Q198" s="1"/>
      <c r="R198" s="1"/>
      <c r="S198" s="27"/>
      <c r="T198" s="1"/>
      <c r="U198" s="1"/>
      <c r="V198" s="27"/>
      <c r="W198" s="1"/>
      <c r="X198" s="1"/>
      <c r="Y198" s="27"/>
      <c r="Z198" s="1"/>
      <c r="AA198" s="1"/>
      <c r="AB198" s="27"/>
      <c r="AC198" s="1"/>
      <c r="AD198" s="1"/>
      <c r="AE198" s="27"/>
      <c r="AF198" s="1"/>
      <c r="AG198" s="1"/>
      <c r="AH198" s="27"/>
      <c r="AI198" s="1"/>
      <c r="AJ198" s="1"/>
      <c r="AK198" s="27"/>
      <c r="AL198" s="1"/>
      <c r="AM198" s="1"/>
      <c r="AN198" s="27"/>
      <c r="AO198" s="1"/>
      <c r="AP198" s="38"/>
      <c r="AQ198" s="27"/>
      <c r="AR198" s="25"/>
      <c r="AS198" s="25"/>
    </row>
    <row r="199" spans="1:45" ht="24" x14ac:dyDescent="0.25">
      <c r="A199" s="120"/>
      <c r="B199" s="101"/>
      <c r="C199" s="101"/>
      <c r="D199" s="26" t="s">
        <v>43</v>
      </c>
      <c r="E199" s="1">
        <f t="shared" si="274"/>
        <v>156</v>
      </c>
      <c r="F199" s="1">
        <f t="shared" si="274"/>
        <v>106</v>
      </c>
      <c r="G199" s="1">
        <f t="shared" ref="G199" si="276">F199/E199*100</f>
        <v>67.948717948717956</v>
      </c>
      <c r="H199" s="1"/>
      <c r="I199" s="1"/>
      <c r="J199" s="27"/>
      <c r="K199" s="1"/>
      <c r="L199" s="1"/>
      <c r="M199" s="27"/>
      <c r="N199" s="1">
        <v>106</v>
      </c>
      <c r="O199" s="1">
        <v>106</v>
      </c>
      <c r="P199" s="1">
        <f t="shared" ref="P199" si="277">O199/N199*100</f>
        <v>100</v>
      </c>
      <c r="Q199" s="1"/>
      <c r="R199" s="1"/>
      <c r="S199" s="27"/>
      <c r="T199" s="1">
        <f>211-92-119</f>
        <v>0</v>
      </c>
      <c r="U199" s="1">
        <v>0</v>
      </c>
      <c r="V199" s="27"/>
      <c r="W199" s="1"/>
      <c r="X199" s="1"/>
      <c r="Y199" s="27"/>
      <c r="Z199" s="1"/>
      <c r="AA199" s="1"/>
      <c r="AB199" s="27"/>
      <c r="AC199" s="1"/>
      <c r="AD199" s="1"/>
      <c r="AE199" s="27"/>
      <c r="AF199" s="1"/>
      <c r="AG199" s="1"/>
      <c r="AH199" s="27"/>
      <c r="AI199" s="1">
        <v>50</v>
      </c>
      <c r="AJ199" s="1"/>
      <c r="AK199" s="27"/>
      <c r="AL199" s="1"/>
      <c r="AM199" s="1"/>
      <c r="AN199" s="27"/>
      <c r="AO199" s="1"/>
      <c r="AP199" s="38"/>
      <c r="AQ199" s="27"/>
      <c r="AR199" s="94" t="s">
        <v>182</v>
      </c>
      <c r="AS199" s="94"/>
    </row>
    <row r="200" spans="1:45" ht="15.75" customHeight="1" x14ac:dyDescent="0.25">
      <c r="A200" s="120"/>
      <c r="B200" s="101"/>
      <c r="C200" s="101"/>
      <c r="D200" s="26" t="s">
        <v>21</v>
      </c>
      <c r="E200" s="1">
        <f t="shared" si="274"/>
        <v>0</v>
      </c>
      <c r="F200" s="1">
        <f t="shared" si="274"/>
        <v>0</v>
      </c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38"/>
      <c r="AQ200" s="38"/>
      <c r="AR200" s="25"/>
      <c r="AS200" s="25"/>
    </row>
    <row r="201" spans="1:45" ht="15.75" customHeight="1" x14ac:dyDescent="0.25">
      <c r="A201" s="120" t="s">
        <v>71</v>
      </c>
      <c r="B201" s="101" t="s">
        <v>99</v>
      </c>
      <c r="C201" s="101" t="s">
        <v>145</v>
      </c>
      <c r="D201" s="26" t="s">
        <v>3</v>
      </c>
      <c r="E201" s="1">
        <f t="shared" si="274"/>
        <v>0</v>
      </c>
      <c r="F201" s="1">
        <f t="shared" si="274"/>
        <v>0</v>
      </c>
      <c r="G201" s="1"/>
      <c r="H201" s="1">
        <f>H202+H203+H204+H205</f>
        <v>0</v>
      </c>
      <c r="I201" s="1"/>
      <c r="J201" s="1"/>
      <c r="K201" s="1">
        <f t="shared" ref="K201:AO201" si="278">K202+K203+K204+K205</f>
        <v>0</v>
      </c>
      <c r="L201" s="1"/>
      <c r="M201" s="1"/>
      <c r="N201" s="1">
        <f t="shared" si="278"/>
        <v>0</v>
      </c>
      <c r="O201" s="1"/>
      <c r="P201" s="1"/>
      <c r="Q201" s="1">
        <f t="shared" si="278"/>
        <v>0</v>
      </c>
      <c r="R201" s="1"/>
      <c r="S201" s="1"/>
      <c r="T201" s="1">
        <f t="shared" si="278"/>
        <v>0</v>
      </c>
      <c r="U201" s="1"/>
      <c r="V201" s="1"/>
      <c r="W201" s="1">
        <f t="shared" si="278"/>
        <v>0</v>
      </c>
      <c r="X201" s="1"/>
      <c r="Y201" s="1"/>
      <c r="Z201" s="1">
        <f t="shared" si="278"/>
        <v>0</v>
      </c>
      <c r="AA201" s="1"/>
      <c r="AB201" s="1"/>
      <c r="AC201" s="1">
        <f t="shared" si="278"/>
        <v>0</v>
      </c>
      <c r="AD201" s="1"/>
      <c r="AE201" s="1"/>
      <c r="AF201" s="1">
        <f t="shared" si="278"/>
        <v>0</v>
      </c>
      <c r="AG201" s="1"/>
      <c r="AH201" s="1"/>
      <c r="AI201" s="1">
        <f t="shared" si="278"/>
        <v>0</v>
      </c>
      <c r="AJ201" s="1"/>
      <c r="AK201" s="1"/>
      <c r="AL201" s="1">
        <f t="shared" si="278"/>
        <v>0</v>
      </c>
      <c r="AM201" s="1"/>
      <c r="AN201" s="1"/>
      <c r="AO201" s="1">
        <f t="shared" si="278"/>
        <v>0</v>
      </c>
      <c r="AP201" s="1"/>
      <c r="AQ201" s="38"/>
      <c r="AR201" s="25"/>
      <c r="AS201" s="25"/>
    </row>
    <row r="202" spans="1:45" x14ac:dyDescent="0.25">
      <c r="A202" s="120"/>
      <c r="B202" s="101"/>
      <c r="C202" s="101"/>
      <c r="D202" s="26" t="s">
        <v>20</v>
      </c>
      <c r="E202" s="1">
        <f t="shared" si="274"/>
        <v>0</v>
      </c>
      <c r="F202" s="1">
        <f t="shared" si="274"/>
        <v>0</v>
      </c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38"/>
      <c r="AR202" s="25"/>
      <c r="AS202" s="25"/>
    </row>
    <row r="203" spans="1:45" ht="24" x14ac:dyDescent="0.25">
      <c r="A203" s="120"/>
      <c r="B203" s="101"/>
      <c r="C203" s="101"/>
      <c r="D203" s="26" t="s">
        <v>4</v>
      </c>
      <c r="E203" s="1">
        <f t="shared" si="274"/>
        <v>0</v>
      </c>
      <c r="F203" s="1">
        <f t="shared" si="274"/>
        <v>0</v>
      </c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38"/>
      <c r="AQ203" s="38"/>
      <c r="AR203" s="25"/>
      <c r="AS203" s="25"/>
    </row>
    <row r="204" spans="1:45" x14ac:dyDescent="0.25">
      <c r="A204" s="120"/>
      <c r="B204" s="101"/>
      <c r="C204" s="101"/>
      <c r="D204" s="26" t="s">
        <v>43</v>
      </c>
      <c r="E204" s="1">
        <f t="shared" si="274"/>
        <v>0</v>
      </c>
      <c r="F204" s="1">
        <f t="shared" si="274"/>
        <v>0</v>
      </c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38"/>
      <c r="AQ204" s="38"/>
      <c r="AR204" s="25"/>
      <c r="AS204" s="25"/>
    </row>
    <row r="205" spans="1:45" ht="15.75" customHeight="1" x14ac:dyDescent="0.25">
      <c r="A205" s="120"/>
      <c r="B205" s="101"/>
      <c r="C205" s="101"/>
      <c r="D205" s="26" t="s">
        <v>21</v>
      </c>
      <c r="E205" s="1">
        <f t="shared" si="274"/>
        <v>0</v>
      </c>
      <c r="F205" s="1">
        <f t="shared" si="274"/>
        <v>0</v>
      </c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38"/>
      <c r="AQ205" s="38"/>
      <c r="AR205" s="25"/>
      <c r="AS205" s="25"/>
    </row>
    <row r="206" spans="1:45" ht="15.75" customHeight="1" x14ac:dyDescent="0.25">
      <c r="A206" s="120" t="s">
        <v>72</v>
      </c>
      <c r="B206" s="101" t="s">
        <v>163</v>
      </c>
      <c r="C206" s="101" t="s">
        <v>145</v>
      </c>
      <c r="D206" s="26" t="s">
        <v>3</v>
      </c>
      <c r="E206" s="1">
        <f t="shared" si="274"/>
        <v>400.6</v>
      </c>
      <c r="F206" s="1">
        <f t="shared" si="274"/>
        <v>0</v>
      </c>
      <c r="G206" s="1"/>
      <c r="H206" s="1">
        <f>H207+H208+H209+H210</f>
        <v>0</v>
      </c>
      <c r="I206" s="1"/>
      <c r="J206" s="1"/>
      <c r="K206" s="1">
        <f t="shared" ref="K206:AO206" si="279">K207+K208+K209+K210</f>
        <v>0</v>
      </c>
      <c r="L206" s="1"/>
      <c r="M206" s="1"/>
      <c r="N206" s="1">
        <f t="shared" si="279"/>
        <v>0</v>
      </c>
      <c r="O206" s="1"/>
      <c r="P206" s="1"/>
      <c r="Q206" s="1">
        <f t="shared" si="279"/>
        <v>173</v>
      </c>
      <c r="R206" s="1">
        <f t="shared" si="279"/>
        <v>0</v>
      </c>
      <c r="S206" s="1"/>
      <c r="T206" s="1">
        <f t="shared" si="279"/>
        <v>0</v>
      </c>
      <c r="U206" s="1">
        <f t="shared" si="279"/>
        <v>0</v>
      </c>
      <c r="V206" s="1"/>
      <c r="W206" s="1">
        <f t="shared" si="279"/>
        <v>109</v>
      </c>
      <c r="X206" s="1"/>
      <c r="Y206" s="1"/>
      <c r="Z206" s="1">
        <f t="shared" si="279"/>
        <v>118.6</v>
      </c>
      <c r="AA206" s="1">
        <f t="shared" si="279"/>
        <v>0</v>
      </c>
      <c r="AB206" s="1"/>
      <c r="AC206" s="1">
        <f t="shared" si="279"/>
        <v>0</v>
      </c>
      <c r="AD206" s="1">
        <f t="shared" si="279"/>
        <v>0</v>
      </c>
      <c r="AE206" s="1"/>
      <c r="AF206" s="1">
        <f t="shared" si="279"/>
        <v>0</v>
      </c>
      <c r="AG206" s="1">
        <f t="shared" si="279"/>
        <v>0</v>
      </c>
      <c r="AH206" s="1"/>
      <c r="AI206" s="1">
        <f t="shared" si="279"/>
        <v>0</v>
      </c>
      <c r="AJ206" s="1"/>
      <c r="AK206" s="1"/>
      <c r="AL206" s="1">
        <f t="shared" si="279"/>
        <v>0</v>
      </c>
      <c r="AM206" s="1"/>
      <c r="AN206" s="1"/>
      <c r="AO206" s="1">
        <f t="shared" si="279"/>
        <v>0</v>
      </c>
      <c r="AP206" s="1"/>
      <c r="AQ206" s="38"/>
      <c r="AR206" s="25"/>
      <c r="AS206" s="25"/>
    </row>
    <row r="207" spans="1:45" x14ac:dyDescent="0.25">
      <c r="A207" s="120"/>
      <c r="B207" s="101"/>
      <c r="C207" s="101"/>
      <c r="D207" s="26" t="s">
        <v>20</v>
      </c>
      <c r="E207" s="1">
        <f t="shared" si="274"/>
        <v>0</v>
      </c>
      <c r="F207" s="1">
        <f t="shared" si="274"/>
        <v>0</v>
      </c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38"/>
      <c r="AR207" s="25"/>
      <c r="AS207" s="25"/>
    </row>
    <row r="208" spans="1:45" ht="24" x14ac:dyDescent="0.25">
      <c r="A208" s="120"/>
      <c r="B208" s="101"/>
      <c r="C208" s="101"/>
      <c r="D208" s="26" t="s">
        <v>4</v>
      </c>
      <c r="E208" s="1">
        <f t="shared" si="274"/>
        <v>0</v>
      </c>
      <c r="F208" s="1">
        <f t="shared" si="274"/>
        <v>0</v>
      </c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38"/>
      <c r="AQ208" s="38"/>
      <c r="AR208" s="25"/>
      <c r="AS208" s="25"/>
    </row>
    <row r="209" spans="1:45" x14ac:dyDescent="0.25">
      <c r="A209" s="120"/>
      <c r="B209" s="101"/>
      <c r="C209" s="101"/>
      <c r="D209" s="26" t="s">
        <v>43</v>
      </c>
      <c r="E209" s="1">
        <f t="shared" si="274"/>
        <v>400.6</v>
      </c>
      <c r="F209" s="1">
        <f t="shared" si="274"/>
        <v>0</v>
      </c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>
        <v>173</v>
      </c>
      <c r="R209" s="1"/>
      <c r="S209" s="1"/>
      <c r="T209" s="1"/>
      <c r="U209" s="1"/>
      <c r="V209" s="1"/>
      <c r="W209" s="1">
        <v>109</v>
      </c>
      <c r="X209" s="1"/>
      <c r="Y209" s="1"/>
      <c r="Z209" s="1">
        <v>118.6</v>
      </c>
      <c r="AA209" s="1">
        <v>0</v>
      </c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38"/>
      <c r="AR209" s="94"/>
      <c r="AS209" s="94"/>
    </row>
    <row r="210" spans="1:45" ht="15.75" customHeight="1" x14ac:dyDescent="0.25">
      <c r="A210" s="120"/>
      <c r="B210" s="101"/>
      <c r="C210" s="101"/>
      <c r="D210" s="26" t="s">
        <v>21</v>
      </c>
      <c r="E210" s="1">
        <f t="shared" si="274"/>
        <v>0</v>
      </c>
      <c r="F210" s="1">
        <f t="shared" si="274"/>
        <v>0</v>
      </c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38"/>
      <c r="AR210" s="25"/>
      <c r="AS210" s="25"/>
    </row>
    <row r="211" spans="1:45" ht="15.75" customHeight="1" x14ac:dyDescent="0.25">
      <c r="A211" s="120" t="s">
        <v>73</v>
      </c>
      <c r="B211" s="101" t="s">
        <v>100</v>
      </c>
      <c r="C211" s="101" t="s">
        <v>145</v>
      </c>
      <c r="D211" s="26" t="s">
        <v>3</v>
      </c>
      <c r="E211" s="1">
        <f t="shared" si="274"/>
        <v>0</v>
      </c>
      <c r="F211" s="1">
        <f t="shared" si="274"/>
        <v>0</v>
      </c>
      <c r="G211" s="1"/>
      <c r="H211" s="1">
        <f>H212+H213+H214+H215</f>
        <v>0</v>
      </c>
      <c r="I211" s="1"/>
      <c r="J211" s="27"/>
      <c r="K211" s="1">
        <f t="shared" ref="K211:AO211" si="280">K212+K213+K214+K215</f>
        <v>0</v>
      </c>
      <c r="L211" s="1">
        <f t="shared" si="280"/>
        <v>0</v>
      </c>
      <c r="M211" s="27"/>
      <c r="N211" s="1">
        <f t="shared" si="280"/>
        <v>0</v>
      </c>
      <c r="O211" s="1">
        <f t="shared" si="280"/>
        <v>0</v>
      </c>
      <c r="P211" s="1"/>
      <c r="Q211" s="1">
        <f t="shared" si="280"/>
        <v>0</v>
      </c>
      <c r="R211" s="1"/>
      <c r="S211" s="27"/>
      <c r="T211" s="1">
        <f t="shared" si="280"/>
        <v>0</v>
      </c>
      <c r="U211" s="1"/>
      <c r="V211" s="27"/>
      <c r="W211" s="1">
        <f t="shared" si="280"/>
        <v>0</v>
      </c>
      <c r="X211" s="1">
        <f t="shared" si="280"/>
        <v>0</v>
      </c>
      <c r="Y211" s="27"/>
      <c r="Z211" s="1">
        <f t="shared" si="280"/>
        <v>0</v>
      </c>
      <c r="AA211" s="1"/>
      <c r="AB211" s="27"/>
      <c r="AC211" s="1">
        <f t="shared" si="280"/>
        <v>0</v>
      </c>
      <c r="AD211" s="1">
        <f t="shared" si="280"/>
        <v>0</v>
      </c>
      <c r="AE211" s="1"/>
      <c r="AF211" s="1">
        <f t="shared" si="280"/>
        <v>0</v>
      </c>
      <c r="AG211" s="1"/>
      <c r="AH211" s="27"/>
      <c r="AI211" s="1">
        <f t="shared" si="280"/>
        <v>0</v>
      </c>
      <c r="AJ211" s="1"/>
      <c r="AK211" s="27"/>
      <c r="AL211" s="1">
        <f t="shared" si="280"/>
        <v>0</v>
      </c>
      <c r="AM211" s="1"/>
      <c r="AN211" s="27"/>
      <c r="AO211" s="1">
        <f t="shared" si="280"/>
        <v>0</v>
      </c>
      <c r="AP211" s="1"/>
      <c r="AQ211" s="27"/>
      <c r="AR211" s="25"/>
      <c r="AS211" s="25"/>
    </row>
    <row r="212" spans="1:45" x14ac:dyDescent="0.25">
      <c r="A212" s="120"/>
      <c r="B212" s="101"/>
      <c r="C212" s="101"/>
      <c r="D212" s="26" t="s">
        <v>20</v>
      </c>
      <c r="E212" s="1">
        <f t="shared" ref="E212:F230" si="281">H212+K212+N212+Q212+T212+W212+Z212+AC212+AF212+AI212+AL212+AO212</f>
        <v>0</v>
      </c>
      <c r="F212" s="1">
        <f t="shared" si="281"/>
        <v>0</v>
      </c>
      <c r="G212" s="1"/>
      <c r="H212" s="1"/>
      <c r="I212" s="1"/>
      <c r="J212" s="27"/>
      <c r="K212" s="1"/>
      <c r="L212" s="1"/>
      <c r="M212" s="27"/>
      <c r="N212" s="1"/>
      <c r="O212" s="1"/>
      <c r="P212" s="1"/>
      <c r="Q212" s="1"/>
      <c r="R212" s="1"/>
      <c r="S212" s="27"/>
      <c r="T212" s="1"/>
      <c r="U212" s="1"/>
      <c r="V212" s="27"/>
      <c r="W212" s="1"/>
      <c r="X212" s="1"/>
      <c r="Y212" s="27"/>
      <c r="Z212" s="1"/>
      <c r="AA212" s="1"/>
      <c r="AB212" s="27"/>
      <c r="AC212" s="1"/>
      <c r="AD212" s="1"/>
      <c r="AE212" s="1"/>
      <c r="AF212" s="1"/>
      <c r="AG212" s="1"/>
      <c r="AH212" s="27"/>
      <c r="AI212" s="1"/>
      <c r="AJ212" s="1"/>
      <c r="AK212" s="27"/>
      <c r="AL212" s="1"/>
      <c r="AM212" s="1"/>
      <c r="AN212" s="27"/>
      <c r="AO212" s="1"/>
      <c r="AP212" s="1"/>
      <c r="AQ212" s="27"/>
      <c r="AR212" s="25"/>
      <c r="AS212" s="25"/>
    </row>
    <row r="213" spans="1:45" ht="24" x14ac:dyDescent="0.25">
      <c r="A213" s="120"/>
      <c r="B213" s="101"/>
      <c r="C213" s="101"/>
      <c r="D213" s="26" t="s">
        <v>4</v>
      </c>
      <c r="E213" s="1">
        <f t="shared" si="281"/>
        <v>0</v>
      </c>
      <c r="F213" s="1">
        <f t="shared" si="281"/>
        <v>0</v>
      </c>
      <c r="G213" s="1"/>
      <c r="H213" s="1"/>
      <c r="I213" s="1"/>
      <c r="J213" s="27"/>
      <c r="K213" s="1"/>
      <c r="L213" s="1"/>
      <c r="M213" s="27"/>
      <c r="N213" s="1"/>
      <c r="O213" s="1"/>
      <c r="P213" s="1"/>
      <c r="Q213" s="1"/>
      <c r="R213" s="1"/>
      <c r="S213" s="27"/>
      <c r="T213" s="1"/>
      <c r="U213" s="1"/>
      <c r="V213" s="27"/>
      <c r="W213" s="1"/>
      <c r="X213" s="1"/>
      <c r="Y213" s="27"/>
      <c r="Z213" s="1"/>
      <c r="AA213" s="1"/>
      <c r="AB213" s="27"/>
      <c r="AC213" s="1"/>
      <c r="AD213" s="1"/>
      <c r="AE213" s="1"/>
      <c r="AF213" s="1"/>
      <c r="AG213" s="1"/>
      <c r="AH213" s="27"/>
      <c r="AI213" s="1"/>
      <c r="AJ213" s="1"/>
      <c r="AK213" s="27"/>
      <c r="AL213" s="1"/>
      <c r="AM213" s="1"/>
      <c r="AN213" s="27"/>
      <c r="AO213" s="1"/>
      <c r="AP213" s="38"/>
      <c r="AQ213" s="27"/>
      <c r="AR213" s="25"/>
      <c r="AS213" s="25"/>
    </row>
    <row r="214" spans="1:45" x14ac:dyDescent="0.25">
      <c r="A214" s="120"/>
      <c r="B214" s="101"/>
      <c r="C214" s="101"/>
      <c r="D214" s="26" t="s">
        <v>43</v>
      </c>
      <c r="E214" s="1">
        <f t="shared" si="281"/>
        <v>0</v>
      </c>
      <c r="F214" s="1">
        <f t="shared" si="281"/>
        <v>0</v>
      </c>
      <c r="G214" s="1"/>
      <c r="H214" s="1"/>
      <c r="I214" s="1"/>
      <c r="J214" s="27"/>
      <c r="K214" s="1">
        <f>5-5</f>
        <v>0</v>
      </c>
      <c r="L214" s="1">
        <v>0</v>
      </c>
      <c r="M214" s="27"/>
      <c r="N214" s="1">
        <f>5-5</f>
        <v>0</v>
      </c>
      <c r="O214" s="1"/>
      <c r="P214" s="1"/>
      <c r="Q214" s="1"/>
      <c r="R214" s="1"/>
      <c r="S214" s="27"/>
      <c r="T214" s="1"/>
      <c r="U214" s="1"/>
      <c r="V214" s="27"/>
      <c r="W214" s="1"/>
      <c r="X214" s="1"/>
      <c r="Y214" s="27"/>
      <c r="Z214" s="1"/>
      <c r="AA214" s="1"/>
      <c r="AB214" s="27"/>
      <c r="AC214" s="1"/>
      <c r="AD214" s="1"/>
      <c r="AE214" s="1"/>
      <c r="AF214" s="1"/>
      <c r="AG214" s="1"/>
      <c r="AH214" s="27"/>
      <c r="AI214" s="1"/>
      <c r="AJ214" s="1"/>
      <c r="AK214" s="27"/>
      <c r="AL214" s="1">
        <f>15-15</f>
        <v>0</v>
      </c>
      <c r="AM214" s="1"/>
      <c r="AN214" s="27"/>
      <c r="AO214" s="1">
        <f>15+10-25</f>
        <v>0</v>
      </c>
      <c r="AP214" s="1"/>
      <c r="AQ214" s="27"/>
      <c r="AR214" s="94"/>
      <c r="AS214" s="94"/>
    </row>
    <row r="215" spans="1:45" x14ac:dyDescent="0.25">
      <c r="A215" s="120"/>
      <c r="B215" s="101"/>
      <c r="C215" s="101"/>
      <c r="D215" s="26" t="s">
        <v>21</v>
      </c>
      <c r="E215" s="1">
        <f t="shared" si="281"/>
        <v>0</v>
      </c>
      <c r="F215" s="1">
        <f t="shared" si="281"/>
        <v>0</v>
      </c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38"/>
      <c r="AR215" s="25"/>
      <c r="AS215" s="25"/>
    </row>
    <row r="216" spans="1:45" ht="13.15" customHeight="1" x14ac:dyDescent="0.25">
      <c r="A216" s="121" t="s">
        <v>74</v>
      </c>
      <c r="B216" s="101" t="s">
        <v>131</v>
      </c>
      <c r="C216" s="101" t="s">
        <v>145</v>
      </c>
      <c r="D216" s="26" t="s">
        <v>3</v>
      </c>
      <c r="E216" s="1">
        <f t="shared" si="281"/>
        <v>189062.69999999998</v>
      </c>
      <c r="F216" s="1">
        <f t="shared" si="281"/>
        <v>30298.6</v>
      </c>
      <c r="G216" s="1">
        <f>F216/E216*100</f>
        <v>16.02568883232917</v>
      </c>
      <c r="H216" s="1">
        <f>H217+H218+H219+H220</f>
        <v>0</v>
      </c>
      <c r="I216" s="1">
        <f>I217+I218+I219+I220</f>
        <v>0</v>
      </c>
      <c r="J216" s="1"/>
      <c r="K216" s="1">
        <f t="shared" ref="K216:AO216" si="282">K217+K218+K219+K220</f>
        <v>20036.3</v>
      </c>
      <c r="L216" s="1">
        <f t="shared" si="282"/>
        <v>16438</v>
      </c>
      <c r="M216" s="1">
        <f t="shared" ref="M216:M219" si="283">L216/K216*100</f>
        <v>82.041095411827541</v>
      </c>
      <c r="N216" s="1">
        <f t="shared" si="282"/>
        <v>18337.8</v>
      </c>
      <c r="O216" s="1">
        <f t="shared" si="282"/>
        <v>13860.6</v>
      </c>
      <c r="P216" s="1">
        <f t="shared" ref="P216:P219" si="284">O216/N216*100</f>
        <v>75.584857507443644</v>
      </c>
      <c r="Q216" s="1">
        <f t="shared" si="282"/>
        <v>17939.400000000001</v>
      </c>
      <c r="R216" s="1">
        <f t="shared" si="282"/>
        <v>0</v>
      </c>
      <c r="S216" s="1">
        <f>R216/Q216*100</f>
        <v>0</v>
      </c>
      <c r="T216" s="1">
        <f t="shared" si="282"/>
        <v>21622.400000000001</v>
      </c>
      <c r="U216" s="1">
        <f t="shared" si="282"/>
        <v>0</v>
      </c>
      <c r="V216" s="1">
        <f>U216/T216*100</f>
        <v>0</v>
      </c>
      <c r="W216" s="1">
        <f t="shared" si="282"/>
        <v>19535.400000000001</v>
      </c>
      <c r="X216" s="1">
        <f t="shared" si="282"/>
        <v>0</v>
      </c>
      <c r="Y216" s="1">
        <f>X216/W216*100</f>
        <v>0</v>
      </c>
      <c r="Z216" s="1">
        <f t="shared" si="282"/>
        <v>3</v>
      </c>
      <c r="AA216" s="1">
        <f t="shared" si="282"/>
        <v>0</v>
      </c>
      <c r="AB216" s="1">
        <f>AA216/Z216*100</f>
        <v>0</v>
      </c>
      <c r="AC216" s="1">
        <f t="shared" si="282"/>
        <v>0</v>
      </c>
      <c r="AD216" s="1">
        <f t="shared" si="282"/>
        <v>0</v>
      </c>
      <c r="AE216" s="27"/>
      <c r="AF216" s="1">
        <f t="shared" si="282"/>
        <v>0</v>
      </c>
      <c r="AG216" s="1">
        <f t="shared" si="282"/>
        <v>0</v>
      </c>
      <c r="AH216" s="1"/>
      <c r="AI216" s="1">
        <f t="shared" si="282"/>
        <v>22289.4</v>
      </c>
      <c r="AJ216" s="1">
        <f t="shared" si="282"/>
        <v>0</v>
      </c>
      <c r="AK216" s="1">
        <f>AJ216/AI216*100</f>
        <v>0</v>
      </c>
      <c r="AL216" s="1">
        <f t="shared" si="282"/>
        <v>22473.4</v>
      </c>
      <c r="AM216" s="1">
        <f t="shared" si="282"/>
        <v>0</v>
      </c>
      <c r="AN216" s="1">
        <f>AM216/AL216*100</f>
        <v>0</v>
      </c>
      <c r="AO216" s="1">
        <f t="shared" si="282"/>
        <v>46825.599999999999</v>
      </c>
      <c r="AP216" s="1"/>
      <c r="AQ216" s="1">
        <f>AP216/AO216*100</f>
        <v>0</v>
      </c>
      <c r="AR216" s="25"/>
      <c r="AS216" s="25"/>
    </row>
    <row r="217" spans="1:45" ht="15" customHeight="1" x14ac:dyDescent="0.25">
      <c r="A217" s="121"/>
      <c r="B217" s="101"/>
      <c r="C217" s="101"/>
      <c r="D217" s="26" t="s">
        <v>20</v>
      </c>
      <c r="E217" s="1">
        <f t="shared" si="281"/>
        <v>15748.7</v>
      </c>
      <c r="F217" s="1">
        <f t="shared" si="281"/>
        <v>2276.1999999999998</v>
      </c>
      <c r="G217" s="1">
        <f>F217/E217*100</f>
        <v>14.453256459263303</v>
      </c>
      <c r="H217" s="1">
        <f>H222</f>
        <v>0</v>
      </c>
      <c r="I217" s="1"/>
      <c r="J217" s="1"/>
      <c r="K217" s="1">
        <f>K222</f>
        <v>1626</v>
      </c>
      <c r="L217" s="1">
        <v>1387.3</v>
      </c>
      <c r="M217" s="1">
        <f t="shared" si="283"/>
        <v>85.319803198031977</v>
      </c>
      <c r="N217" s="1">
        <f>N222</f>
        <v>1683</v>
      </c>
      <c r="O217" s="1">
        <v>888.9</v>
      </c>
      <c r="P217" s="1">
        <f t="shared" si="284"/>
        <v>52.816399286987526</v>
      </c>
      <c r="Q217" s="1">
        <f>Q222</f>
        <v>1580</v>
      </c>
      <c r="R217" s="1"/>
      <c r="S217" s="1">
        <f t="shared" ref="S217:S218" si="285">R217/Q217*100</f>
        <v>0</v>
      </c>
      <c r="T217" s="1">
        <f>T222</f>
        <v>1771</v>
      </c>
      <c r="U217" s="1"/>
      <c r="V217" s="1">
        <f>U217/T217*100</f>
        <v>0</v>
      </c>
      <c r="W217" s="1">
        <f>W222</f>
        <v>1633</v>
      </c>
      <c r="X217" s="1"/>
      <c r="Y217" s="1">
        <f>X217/W217*100</f>
        <v>0</v>
      </c>
      <c r="Z217" s="1">
        <f>Z222</f>
        <v>0</v>
      </c>
      <c r="AA217" s="1"/>
      <c r="AB217" s="1"/>
      <c r="AC217" s="1">
        <f>AC222</f>
        <v>0</v>
      </c>
      <c r="AD217" s="1"/>
      <c r="AE217" s="27"/>
      <c r="AF217" s="1">
        <f>AF222</f>
        <v>0</v>
      </c>
      <c r="AG217" s="1"/>
      <c r="AH217" s="1"/>
      <c r="AI217" s="1">
        <f>AI222</f>
        <v>1939</v>
      </c>
      <c r="AJ217" s="1"/>
      <c r="AK217" s="1">
        <f t="shared" ref="AK217:AK218" si="286">AJ217/AI217*100</f>
        <v>0</v>
      </c>
      <c r="AL217" s="1">
        <f>AL222</f>
        <v>2053</v>
      </c>
      <c r="AM217" s="1"/>
      <c r="AN217" s="1">
        <f>AM217/AL217*100</f>
        <v>0</v>
      </c>
      <c r="AO217" s="1">
        <f>AO222</f>
        <v>3463.7</v>
      </c>
      <c r="AP217" s="1"/>
      <c r="AQ217" s="1">
        <f>AP217/AO217*100</f>
        <v>0</v>
      </c>
      <c r="AR217" s="98" t="s">
        <v>183</v>
      </c>
      <c r="AS217" s="98" t="s">
        <v>184</v>
      </c>
    </row>
    <row r="218" spans="1:45" ht="24.6" customHeight="1" x14ac:dyDescent="0.25">
      <c r="A218" s="121"/>
      <c r="B218" s="101"/>
      <c r="C218" s="101"/>
      <c r="D218" s="26" t="s">
        <v>4</v>
      </c>
      <c r="E218" s="1">
        <f t="shared" si="281"/>
        <v>138756.5</v>
      </c>
      <c r="F218" s="1">
        <f t="shared" si="281"/>
        <v>23313.4</v>
      </c>
      <c r="G218" s="1">
        <f>F218/E218*100</f>
        <v>16.801663345500934</v>
      </c>
      <c r="H218" s="1"/>
      <c r="I218" s="1"/>
      <c r="J218" s="1"/>
      <c r="K218" s="1">
        <f>12570.3+K223</f>
        <v>15058.3</v>
      </c>
      <c r="L218" s="1">
        <v>12138.4</v>
      </c>
      <c r="M218" s="1">
        <f t="shared" si="283"/>
        <v>80.609364934952822</v>
      </c>
      <c r="N218" s="1">
        <f>10947.8+N223</f>
        <v>13414.8</v>
      </c>
      <c r="O218" s="1">
        <v>11175</v>
      </c>
      <c r="P218" s="1">
        <f t="shared" si="284"/>
        <v>83.303515520171757</v>
      </c>
      <c r="Q218" s="1">
        <f>10889.4+Q223</f>
        <v>13204.4</v>
      </c>
      <c r="R218" s="1"/>
      <c r="S218" s="1">
        <f t="shared" si="285"/>
        <v>0</v>
      </c>
      <c r="T218" s="1">
        <f>12851.4+T223</f>
        <v>15577.4</v>
      </c>
      <c r="U218" s="1"/>
      <c r="V218" s="1">
        <f>U218/T218*100</f>
        <v>0</v>
      </c>
      <c r="W218" s="1">
        <f>12095.4+W223</f>
        <v>14413.4</v>
      </c>
      <c r="X218" s="1"/>
      <c r="Y218" s="1">
        <f>X218/W218*100</f>
        <v>0</v>
      </c>
      <c r="Z218" s="1">
        <f>3+Z223</f>
        <v>3</v>
      </c>
      <c r="AA218" s="1"/>
      <c r="AB218" s="1">
        <f>AA218/Z218*100</f>
        <v>0</v>
      </c>
      <c r="AC218" s="1">
        <f>AC223</f>
        <v>0</v>
      </c>
      <c r="AD218" s="1"/>
      <c r="AE218" s="27"/>
      <c r="AF218" s="1">
        <f>AF223</f>
        <v>0</v>
      </c>
      <c r="AG218" s="1"/>
      <c r="AH218" s="1"/>
      <c r="AI218" s="1">
        <f>13524.4+AI223</f>
        <v>16371.4</v>
      </c>
      <c r="AJ218" s="1"/>
      <c r="AK218" s="1">
        <f t="shared" si="286"/>
        <v>0</v>
      </c>
      <c r="AL218" s="1">
        <f>13014.4+AL223</f>
        <v>16246.4</v>
      </c>
      <c r="AM218" s="1"/>
      <c r="AN218" s="1">
        <f>AM218/AL218*100</f>
        <v>0</v>
      </c>
      <c r="AO218" s="1">
        <f>22530.5+AO223+6706.8</f>
        <v>34467.4</v>
      </c>
      <c r="AP218" s="38"/>
      <c r="AQ218" s="1">
        <f>AP218/AO218*100</f>
        <v>0</v>
      </c>
      <c r="AR218" s="99"/>
      <c r="AS218" s="99"/>
    </row>
    <row r="219" spans="1:45" ht="13.5" customHeight="1" x14ac:dyDescent="0.25">
      <c r="A219" s="121"/>
      <c r="B219" s="101"/>
      <c r="C219" s="101"/>
      <c r="D219" s="26" t="s">
        <v>43</v>
      </c>
      <c r="E219" s="1">
        <f t="shared" si="281"/>
        <v>34557.5</v>
      </c>
      <c r="F219" s="1">
        <f t="shared" si="281"/>
        <v>4709</v>
      </c>
      <c r="G219" s="1">
        <f>F219/E219*100</f>
        <v>13.626564421616147</v>
      </c>
      <c r="H219" s="1"/>
      <c r="I219" s="1"/>
      <c r="J219" s="27"/>
      <c r="K219" s="1">
        <f>2939+K224</f>
        <v>3352</v>
      </c>
      <c r="L219" s="1">
        <v>2912.3</v>
      </c>
      <c r="M219" s="1">
        <f t="shared" si="283"/>
        <v>86.882458233890219</v>
      </c>
      <c r="N219" s="1">
        <f>2844+N224</f>
        <v>3240</v>
      </c>
      <c r="O219" s="1">
        <v>1796.7</v>
      </c>
      <c r="P219" s="1">
        <f t="shared" si="284"/>
        <v>55.453703703703702</v>
      </c>
      <c r="Q219" s="1">
        <f>2775+Q224</f>
        <v>3155</v>
      </c>
      <c r="R219" s="1"/>
      <c r="S219" s="1">
        <f>R219/Q219*100</f>
        <v>0</v>
      </c>
      <c r="T219" s="1">
        <f>3763+T224</f>
        <v>4274</v>
      </c>
      <c r="U219" s="1"/>
      <c r="V219" s="1">
        <f>U219/T219*100</f>
        <v>0</v>
      </c>
      <c r="W219" s="1">
        <f>3067+W224</f>
        <v>3489</v>
      </c>
      <c r="X219" s="1"/>
      <c r="Y219" s="1">
        <f>X219/W219*100</f>
        <v>0</v>
      </c>
      <c r="Z219" s="1"/>
      <c r="AA219" s="1"/>
      <c r="AB219" s="1"/>
      <c r="AC219" s="1"/>
      <c r="AD219" s="1"/>
      <c r="AE219" s="27"/>
      <c r="AF219" s="1"/>
      <c r="AG219" s="1"/>
      <c r="AH219" s="1"/>
      <c r="AI219" s="1">
        <f>3475+AI224</f>
        <v>3979</v>
      </c>
      <c r="AJ219" s="1"/>
      <c r="AK219" s="1">
        <f>AJ219/AI219*100</f>
        <v>0</v>
      </c>
      <c r="AL219" s="1">
        <f>3555+AL224</f>
        <v>4174</v>
      </c>
      <c r="AM219" s="1"/>
      <c r="AN219" s="1">
        <f>AM219/AL219*100</f>
        <v>0</v>
      </c>
      <c r="AO219" s="1">
        <f>5363.1+AO224</f>
        <v>8894.5</v>
      </c>
      <c r="AP219" s="1"/>
      <c r="AQ219" s="1">
        <f>AP219/AO219*100</f>
        <v>0</v>
      </c>
      <c r="AR219" s="100"/>
      <c r="AS219" s="100"/>
    </row>
    <row r="220" spans="1:45" x14ac:dyDescent="0.25">
      <c r="A220" s="121"/>
      <c r="B220" s="101"/>
      <c r="C220" s="101"/>
      <c r="D220" s="26" t="s">
        <v>21</v>
      </c>
      <c r="E220" s="1">
        <f t="shared" si="281"/>
        <v>0</v>
      </c>
      <c r="F220" s="1">
        <f t="shared" si="281"/>
        <v>0</v>
      </c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25"/>
      <c r="AS220" s="25"/>
    </row>
    <row r="221" spans="1:45" ht="12.6" customHeight="1" x14ac:dyDescent="0.25">
      <c r="A221" s="121" t="s">
        <v>130</v>
      </c>
      <c r="B221" s="101" t="s">
        <v>132</v>
      </c>
      <c r="C221" s="101" t="s">
        <v>145</v>
      </c>
      <c r="D221" s="26" t="s">
        <v>3</v>
      </c>
      <c r="E221" s="1">
        <f t="shared" si="281"/>
        <v>46148.2</v>
      </c>
      <c r="F221" s="1">
        <f t="shared" si="281"/>
        <v>6265</v>
      </c>
      <c r="G221" s="1">
        <f>F221/E221*100</f>
        <v>13.575827442890514</v>
      </c>
      <c r="H221" s="1">
        <f>H222+H223+H224+H225</f>
        <v>0</v>
      </c>
      <c r="I221" s="1"/>
      <c r="J221" s="27"/>
      <c r="K221" s="1">
        <f t="shared" ref="K221:L221" si="287">K222+K223+K224+K225</f>
        <v>4527</v>
      </c>
      <c r="L221" s="1">
        <f t="shared" si="287"/>
        <v>3818.3999999999996</v>
      </c>
      <c r="M221" s="1">
        <f t="shared" ref="M221:M224" si="288">L221/K221*100</f>
        <v>84.347249834327371</v>
      </c>
      <c r="N221" s="1">
        <f t="shared" ref="N221:O221" si="289">N222+N223+N224+N225</f>
        <v>4546</v>
      </c>
      <c r="O221" s="1">
        <f t="shared" si="289"/>
        <v>2446.6000000000004</v>
      </c>
      <c r="P221" s="1">
        <f t="shared" ref="P221:P224" si="290">O221/N221*100</f>
        <v>53.818741750989886</v>
      </c>
      <c r="Q221" s="1">
        <f t="shared" ref="Q221:R221" si="291">Q222+Q223+Q224+Q225</f>
        <v>4275</v>
      </c>
      <c r="R221" s="1">
        <f t="shared" si="291"/>
        <v>0</v>
      </c>
      <c r="S221" s="1">
        <f>R221/Q221*100</f>
        <v>0</v>
      </c>
      <c r="T221" s="1">
        <f t="shared" ref="T221:U221" si="292">T222+T223+T224+T225</f>
        <v>5008</v>
      </c>
      <c r="U221" s="1">
        <f t="shared" si="292"/>
        <v>0</v>
      </c>
      <c r="V221" s="1">
        <f>U221/T221*100</f>
        <v>0</v>
      </c>
      <c r="W221" s="1">
        <f t="shared" ref="W221:X221" si="293">W222+W223+W224+W225</f>
        <v>4373</v>
      </c>
      <c r="X221" s="1">
        <f t="shared" si="293"/>
        <v>0</v>
      </c>
      <c r="Y221" s="1">
        <f>X221/W221*100</f>
        <v>0</v>
      </c>
      <c r="Z221" s="1">
        <f t="shared" ref="Z221:AA221" si="294">Z222+Z223+Z224+Z225</f>
        <v>0</v>
      </c>
      <c r="AA221" s="1">
        <f t="shared" si="294"/>
        <v>0</v>
      </c>
      <c r="AB221" s="1"/>
      <c r="AC221" s="1">
        <f t="shared" ref="AC221:AD221" si="295">AC222+AC223+AC224+AC225</f>
        <v>0</v>
      </c>
      <c r="AD221" s="1">
        <f t="shared" si="295"/>
        <v>0</v>
      </c>
      <c r="AE221" s="27"/>
      <c r="AF221" s="1">
        <f t="shared" ref="AF221:AG221" si="296">AF222+AF223+AF224+AF225</f>
        <v>0</v>
      </c>
      <c r="AG221" s="1">
        <f t="shared" si="296"/>
        <v>0</v>
      </c>
      <c r="AH221" s="27"/>
      <c r="AI221" s="1">
        <f t="shared" ref="AI221:AJ221" si="297">AI222+AI223+AI224+AI225</f>
        <v>5290</v>
      </c>
      <c r="AJ221" s="1">
        <f t="shared" si="297"/>
        <v>0</v>
      </c>
      <c r="AK221" s="1">
        <f>AJ221/AI221*100</f>
        <v>0</v>
      </c>
      <c r="AL221" s="1">
        <f t="shared" ref="AL221:AM221" si="298">AL222+AL223+AL224+AL225</f>
        <v>5904</v>
      </c>
      <c r="AM221" s="1">
        <f t="shared" si="298"/>
        <v>0</v>
      </c>
      <c r="AN221" s="1">
        <f>AM221/AL221*100</f>
        <v>0</v>
      </c>
      <c r="AO221" s="1">
        <f t="shared" ref="AO221" si="299">AO222+AO223+AO224+AO225</f>
        <v>12225.199999999999</v>
      </c>
      <c r="AP221" s="1"/>
      <c r="AQ221" s="1">
        <f>AP221/AO221*100</f>
        <v>0</v>
      </c>
      <c r="AR221" s="25"/>
      <c r="AS221" s="25"/>
    </row>
    <row r="222" spans="1:45" ht="17.25" customHeight="1" x14ac:dyDescent="0.25">
      <c r="A222" s="121"/>
      <c r="B222" s="101"/>
      <c r="C222" s="101"/>
      <c r="D222" s="26" t="s">
        <v>20</v>
      </c>
      <c r="E222" s="1">
        <f t="shared" si="281"/>
        <v>15748.7</v>
      </c>
      <c r="F222" s="1">
        <f t="shared" si="281"/>
        <v>2276.1999999999998</v>
      </c>
      <c r="G222" s="1">
        <f>F222/E222*100</f>
        <v>14.453256459263303</v>
      </c>
      <c r="H222" s="1"/>
      <c r="I222" s="1"/>
      <c r="J222" s="1"/>
      <c r="K222" s="1">
        <v>1626</v>
      </c>
      <c r="L222" s="1">
        <v>1387.3</v>
      </c>
      <c r="M222" s="1">
        <f t="shared" si="288"/>
        <v>85.319803198031977</v>
      </c>
      <c r="N222" s="1">
        <v>1683</v>
      </c>
      <c r="O222" s="1">
        <v>888.9</v>
      </c>
      <c r="P222" s="1">
        <f t="shared" si="290"/>
        <v>52.816399286987526</v>
      </c>
      <c r="Q222" s="1">
        <v>1580</v>
      </c>
      <c r="R222" s="1"/>
      <c r="S222" s="1">
        <f t="shared" ref="S222" si="300">R222/Q222*100</f>
        <v>0</v>
      </c>
      <c r="T222" s="1">
        <v>1771</v>
      </c>
      <c r="U222" s="1"/>
      <c r="V222" s="1">
        <f>U222/T222*100</f>
        <v>0</v>
      </c>
      <c r="W222" s="1">
        <v>1633</v>
      </c>
      <c r="X222" s="1"/>
      <c r="Y222" s="1">
        <f>X222/W222*100</f>
        <v>0</v>
      </c>
      <c r="Z222" s="1"/>
      <c r="AA222" s="1">
        <v>0</v>
      </c>
      <c r="AB222" s="1"/>
      <c r="AC222" s="1"/>
      <c r="AD222" s="1"/>
      <c r="AE222" s="27"/>
      <c r="AF222" s="1"/>
      <c r="AG222" s="1"/>
      <c r="AH222" s="1"/>
      <c r="AI222" s="1">
        <v>1939</v>
      </c>
      <c r="AJ222" s="1"/>
      <c r="AK222" s="1">
        <f t="shared" ref="AK222:AK224" si="301">AJ222/AI222*100</f>
        <v>0</v>
      </c>
      <c r="AL222" s="1">
        <v>2053</v>
      </c>
      <c r="AM222" s="1"/>
      <c r="AN222" s="1">
        <f>AM222/AL222*100</f>
        <v>0</v>
      </c>
      <c r="AO222" s="1">
        <f>3195.6+268.1</f>
        <v>3463.7</v>
      </c>
      <c r="AP222" s="1"/>
      <c r="AQ222" s="1">
        <f>AP222/AO222*100</f>
        <v>0</v>
      </c>
      <c r="AR222" s="98" t="s">
        <v>185</v>
      </c>
      <c r="AS222" s="98" t="s">
        <v>184</v>
      </c>
    </row>
    <row r="223" spans="1:45" ht="25.5" customHeight="1" x14ac:dyDescent="0.25">
      <c r="A223" s="121"/>
      <c r="B223" s="101"/>
      <c r="C223" s="101"/>
      <c r="D223" s="26" t="s">
        <v>4</v>
      </c>
      <c r="E223" s="1">
        <f t="shared" si="281"/>
        <v>23623.1</v>
      </c>
      <c r="F223" s="1">
        <f t="shared" si="281"/>
        <v>3414.3</v>
      </c>
      <c r="G223" s="1">
        <f>F223/E223*100</f>
        <v>14.453225867900487</v>
      </c>
      <c r="H223" s="1">
        <v>0</v>
      </c>
      <c r="I223" s="1"/>
      <c r="J223" s="27"/>
      <c r="K223" s="1">
        <v>2488</v>
      </c>
      <c r="L223" s="1">
        <v>2080.9</v>
      </c>
      <c r="M223" s="1">
        <f t="shared" si="288"/>
        <v>83.637459807073952</v>
      </c>
      <c r="N223" s="1">
        <v>2467</v>
      </c>
      <c r="O223" s="1">
        <v>1333.4</v>
      </c>
      <c r="P223" s="1">
        <f t="shared" si="290"/>
        <v>54.049452776651805</v>
      </c>
      <c r="Q223" s="1">
        <v>2315</v>
      </c>
      <c r="R223" s="1"/>
      <c r="S223" s="1">
        <f>R223/Q223*100</f>
        <v>0</v>
      </c>
      <c r="T223" s="1">
        <v>2726</v>
      </c>
      <c r="U223" s="1"/>
      <c r="V223" s="1">
        <f t="shared" ref="V223:V224" si="302">U223/T223*100</f>
        <v>0</v>
      </c>
      <c r="W223" s="1">
        <v>2318</v>
      </c>
      <c r="X223" s="1"/>
      <c r="Y223" s="1">
        <f>X223/W223*100</f>
        <v>0</v>
      </c>
      <c r="Z223" s="1"/>
      <c r="AA223" s="1">
        <v>0</v>
      </c>
      <c r="AB223" s="1"/>
      <c r="AC223" s="1"/>
      <c r="AD223" s="1"/>
      <c r="AE223" s="27"/>
      <c r="AF223" s="1"/>
      <c r="AG223" s="1"/>
      <c r="AH223" s="27"/>
      <c r="AI223" s="1">
        <v>2847</v>
      </c>
      <c r="AJ223" s="1"/>
      <c r="AK223" s="1">
        <f t="shared" si="301"/>
        <v>0</v>
      </c>
      <c r="AL223" s="1">
        <v>3232</v>
      </c>
      <c r="AM223" s="1"/>
      <c r="AN223" s="1">
        <f>AM223/AL223*100</f>
        <v>0</v>
      </c>
      <c r="AO223" s="1">
        <f>4829.3+400.8</f>
        <v>5230.1000000000004</v>
      </c>
      <c r="AP223" s="38"/>
      <c r="AQ223" s="1">
        <f>AP223/AO223*100</f>
        <v>0</v>
      </c>
      <c r="AR223" s="99"/>
      <c r="AS223" s="99"/>
    </row>
    <row r="224" spans="1:45" ht="17.25" customHeight="1" x14ac:dyDescent="0.25">
      <c r="A224" s="121"/>
      <c r="B224" s="101"/>
      <c r="C224" s="101"/>
      <c r="D224" s="26" t="s">
        <v>43</v>
      </c>
      <c r="E224" s="1">
        <f t="shared" si="281"/>
        <v>6776.4</v>
      </c>
      <c r="F224" s="1">
        <f t="shared" si="281"/>
        <v>574.5</v>
      </c>
      <c r="G224" s="1">
        <f>F224/E224*100</f>
        <v>8.4779528953426606</v>
      </c>
      <c r="H224" s="1"/>
      <c r="I224" s="1"/>
      <c r="J224" s="27"/>
      <c r="K224" s="1">
        <v>413</v>
      </c>
      <c r="L224" s="1">
        <v>350.2</v>
      </c>
      <c r="M224" s="1">
        <f t="shared" si="288"/>
        <v>84.794188861985461</v>
      </c>
      <c r="N224" s="1">
        <v>396</v>
      </c>
      <c r="O224" s="1">
        <v>224.3</v>
      </c>
      <c r="P224" s="1">
        <f t="shared" si="290"/>
        <v>56.641414141414145</v>
      </c>
      <c r="Q224" s="1">
        <v>380</v>
      </c>
      <c r="R224" s="1"/>
      <c r="S224" s="1">
        <f>R224/Q224*100</f>
        <v>0</v>
      </c>
      <c r="T224" s="1">
        <v>511</v>
      </c>
      <c r="U224" s="1"/>
      <c r="V224" s="1">
        <f t="shared" si="302"/>
        <v>0</v>
      </c>
      <c r="W224" s="1">
        <v>422</v>
      </c>
      <c r="X224" s="1"/>
      <c r="Y224" s="1">
        <f>X224/W224*100</f>
        <v>0</v>
      </c>
      <c r="Z224" s="1">
        <v>0</v>
      </c>
      <c r="AA224" s="1">
        <v>0</v>
      </c>
      <c r="AB224" s="1"/>
      <c r="AC224" s="1">
        <v>0</v>
      </c>
      <c r="AD224" s="1"/>
      <c r="AE224" s="27"/>
      <c r="AF224" s="1">
        <v>0</v>
      </c>
      <c r="AG224" s="1"/>
      <c r="AH224" s="27"/>
      <c r="AI224" s="1">
        <v>504</v>
      </c>
      <c r="AJ224" s="1"/>
      <c r="AK224" s="1">
        <f t="shared" si="301"/>
        <v>0</v>
      </c>
      <c r="AL224" s="1">
        <v>619</v>
      </c>
      <c r="AM224" s="1"/>
      <c r="AN224" s="1">
        <f>AM224/AL224*100</f>
        <v>0</v>
      </c>
      <c r="AO224" s="1">
        <f>661.9+2869.5</f>
        <v>3531.4</v>
      </c>
      <c r="AP224" s="1"/>
      <c r="AQ224" s="1">
        <f>AP224/AO224*100</f>
        <v>0</v>
      </c>
      <c r="AR224" s="100"/>
      <c r="AS224" s="100"/>
    </row>
    <row r="225" spans="1:45" ht="13.15" customHeight="1" x14ac:dyDescent="0.25">
      <c r="A225" s="121"/>
      <c r="B225" s="101"/>
      <c r="C225" s="101"/>
      <c r="D225" s="26" t="s">
        <v>21</v>
      </c>
      <c r="E225" s="1">
        <f t="shared" si="281"/>
        <v>0</v>
      </c>
      <c r="F225" s="1">
        <f t="shared" si="281"/>
        <v>0</v>
      </c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25"/>
      <c r="AS225" s="25"/>
    </row>
    <row r="226" spans="1:45" x14ac:dyDescent="0.25">
      <c r="A226" s="122" t="s">
        <v>13</v>
      </c>
      <c r="B226" s="122"/>
      <c r="C226" s="122"/>
      <c r="D226" s="29" t="s">
        <v>3</v>
      </c>
      <c r="E226" s="30">
        <f t="shared" si="281"/>
        <v>189619.3</v>
      </c>
      <c r="F226" s="30">
        <f t="shared" si="281"/>
        <v>30404.6</v>
      </c>
      <c r="G226" s="30">
        <f>F226/E226*100</f>
        <v>16.034549225738097</v>
      </c>
      <c r="H226" s="30">
        <f>H227+H228+H229+H230</f>
        <v>0</v>
      </c>
      <c r="I226" s="30">
        <f>I227+I228+I229+I230</f>
        <v>0</v>
      </c>
      <c r="J226" s="30"/>
      <c r="K226" s="30">
        <f t="shared" ref="K226:AO226" si="303">K227+K228+K229+K230</f>
        <v>20036.3</v>
      </c>
      <c r="L226" s="30">
        <f t="shared" si="303"/>
        <v>16438</v>
      </c>
      <c r="M226" s="30">
        <f t="shared" ref="M226:M229" si="304">L226/K226*100</f>
        <v>82.041095411827541</v>
      </c>
      <c r="N226" s="30">
        <f t="shared" si="303"/>
        <v>18443.8</v>
      </c>
      <c r="O226" s="30">
        <f t="shared" si="303"/>
        <v>13966.6</v>
      </c>
      <c r="P226" s="30">
        <f t="shared" ref="P226:P229" si="305">O226/N226*100</f>
        <v>75.725175939882234</v>
      </c>
      <c r="Q226" s="30">
        <f t="shared" si="303"/>
        <v>18112.400000000001</v>
      </c>
      <c r="R226" s="30">
        <f t="shared" si="303"/>
        <v>0</v>
      </c>
      <c r="S226" s="30">
        <f>R226/Q226*100</f>
        <v>0</v>
      </c>
      <c r="T226" s="30">
        <f t="shared" si="303"/>
        <v>21622.400000000001</v>
      </c>
      <c r="U226" s="30">
        <f t="shared" si="303"/>
        <v>0</v>
      </c>
      <c r="V226" s="30">
        <f>U226/T226*100</f>
        <v>0</v>
      </c>
      <c r="W226" s="30">
        <f t="shared" si="303"/>
        <v>19644.400000000001</v>
      </c>
      <c r="X226" s="30">
        <f t="shared" si="303"/>
        <v>0</v>
      </c>
      <c r="Y226" s="30">
        <f>X226/W226*100</f>
        <v>0</v>
      </c>
      <c r="Z226" s="30">
        <f t="shared" ref="Z226:AA226" si="306">Z227+Z228+Z229+Z230</f>
        <v>121.6</v>
      </c>
      <c r="AA226" s="30">
        <f t="shared" si="306"/>
        <v>0</v>
      </c>
      <c r="AB226" s="30">
        <f>AA226/Z226*100</f>
        <v>0</v>
      </c>
      <c r="AC226" s="30">
        <f t="shared" si="303"/>
        <v>0</v>
      </c>
      <c r="AD226" s="30">
        <f t="shared" si="303"/>
        <v>0</v>
      </c>
      <c r="AE226" s="30"/>
      <c r="AF226" s="30">
        <f t="shared" si="303"/>
        <v>0</v>
      </c>
      <c r="AG226" s="30">
        <f t="shared" si="303"/>
        <v>0</v>
      </c>
      <c r="AH226" s="31"/>
      <c r="AI226" s="30">
        <f t="shared" si="303"/>
        <v>22339.4</v>
      </c>
      <c r="AJ226" s="30">
        <f t="shared" si="303"/>
        <v>0</v>
      </c>
      <c r="AK226" s="30">
        <f>AJ226/AI226*100</f>
        <v>0</v>
      </c>
      <c r="AL226" s="30">
        <f t="shared" si="303"/>
        <v>22473.4</v>
      </c>
      <c r="AM226" s="30">
        <f t="shared" si="303"/>
        <v>0</v>
      </c>
      <c r="AN226" s="30">
        <f>AM226/AL226*100</f>
        <v>0</v>
      </c>
      <c r="AO226" s="30">
        <f t="shared" si="303"/>
        <v>46825.599999999999</v>
      </c>
      <c r="AP226" s="30"/>
      <c r="AQ226" s="30">
        <f>AP226/AO226*100</f>
        <v>0</v>
      </c>
      <c r="AR226" s="25"/>
      <c r="AS226" s="25"/>
    </row>
    <row r="227" spans="1:45" ht="15" customHeight="1" x14ac:dyDescent="0.25">
      <c r="A227" s="122"/>
      <c r="B227" s="122"/>
      <c r="C227" s="122"/>
      <c r="D227" s="29" t="s">
        <v>20</v>
      </c>
      <c r="E227" s="30">
        <f t="shared" si="281"/>
        <v>15748.7</v>
      </c>
      <c r="F227" s="30">
        <f t="shared" si="281"/>
        <v>2276.1999999999998</v>
      </c>
      <c r="G227" s="30">
        <f>F227/E227*100</f>
        <v>14.453256459263303</v>
      </c>
      <c r="H227" s="30">
        <f t="shared" ref="H227:I230" si="307">H197+H202+H207+H212+H217</f>
        <v>0</v>
      </c>
      <c r="I227" s="30">
        <f t="shared" si="307"/>
        <v>0</v>
      </c>
      <c r="J227" s="30"/>
      <c r="K227" s="30">
        <f t="shared" ref="K227:L230" si="308">K197+K202+K207+K212+K217</f>
        <v>1626</v>
      </c>
      <c r="L227" s="30">
        <f t="shared" si="308"/>
        <v>1387.3</v>
      </c>
      <c r="M227" s="30">
        <f t="shared" si="304"/>
        <v>85.319803198031977</v>
      </c>
      <c r="N227" s="30">
        <f t="shared" ref="N227:O230" si="309">N197+N202+N207+N212+N217</f>
        <v>1683</v>
      </c>
      <c r="O227" s="30">
        <f t="shared" si="309"/>
        <v>888.9</v>
      </c>
      <c r="P227" s="30">
        <f t="shared" si="305"/>
        <v>52.816399286987526</v>
      </c>
      <c r="Q227" s="30">
        <f t="shared" ref="Q227:R230" si="310">Q197+Q202+Q207+Q212+Q217</f>
        <v>1580</v>
      </c>
      <c r="R227" s="30">
        <f t="shared" si="310"/>
        <v>0</v>
      </c>
      <c r="S227" s="30">
        <f>R227/Q227*100</f>
        <v>0</v>
      </c>
      <c r="T227" s="30">
        <f t="shared" ref="T227:U230" si="311">T197+T202+T207+T212+T217</f>
        <v>1771</v>
      </c>
      <c r="U227" s="30">
        <f t="shared" si="311"/>
        <v>0</v>
      </c>
      <c r="V227" s="30">
        <f>U227/T227*100</f>
        <v>0</v>
      </c>
      <c r="W227" s="30">
        <f t="shared" ref="W227:X230" si="312">W197+W202+W207+W212+W217</f>
        <v>1633</v>
      </c>
      <c r="X227" s="30">
        <f t="shared" si="312"/>
        <v>0</v>
      </c>
      <c r="Y227" s="30">
        <f t="shared" ref="Y227:Y229" si="313">X227/W227*100</f>
        <v>0</v>
      </c>
      <c r="Z227" s="30">
        <f t="shared" ref="Z227:AA230" si="314">Z197+Z202+Z207+Z212+Z217</f>
        <v>0</v>
      </c>
      <c r="AA227" s="30">
        <f t="shared" si="314"/>
        <v>0</v>
      </c>
      <c r="AB227" s="30"/>
      <c r="AC227" s="30">
        <f t="shared" ref="AC227:AD230" si="315">AC197+AC202+AC207+AC212+AC217</f>
        <v>0</v>
      </c>
      <c r="AD227" s="30">
        <f t="shared" si="315"/>
        <v>0</v>
      </c>
      <c r="AE227" s="30"/>
      <c r="AF227" s="30">
        <f t="shared" ref="AF227:AG229" si="316">AF197+AF202+AF207+AF212+AF217</f>
        <v>0</v>
      </c>
      <c r="AG227" s="30">
        <f t="shared" si="316"/>
        <v>0</v>
      </c>
      <c r="AH227" s="31"/>
      <c r="AI227" s="30">
        <f t="shared" ref="AI227:AJ229" si="317">AI197+AI202+AI207+AI212+AI217</f>
        <v>1939</v>
      </c>
      <c r="AJ227" s="30">
        <f t="shared" si="317"/>
        <v>0</v>
      </c>
      <c r="AK227" s="30">
        <f>AJ227/AI227*100</f>
        <v>0</v>
      </c>
      <c r="AL227" s="30">
        <f t="shared" ref="AL227:AM229" si="318">AL197+AL202+AL207+AL212+AL217</f>
        <v>2053</v>
      </c>
      <c r="AM227" s="30">
        <f t="shared" si="318"/>
        <v>0</v>
      </c>
      <c r="AN227" s="30">
        <f>AM227/AL227*100</f>
        <v>0</v>
      </c>
      <c r="AO227" s="30">
        <f>AO197+AO202+AO207+AO212+AO217</f>
        <v>3463.7</v>
      </c>
      <c r="AP227" s="38"/>
      <c r="AQ227" s="30">
        <f>AP227/AO227*100</f>
        <v>0</v>
      </c>
      <c r="AR227" s="25"/>
      <c r="AS227" s="25"/>
    </row>
    <row r="228" spans="1:45" ht="25.5" customHeight="1" x14ac:dyDescent="0.25">
      <c r="A228" s="122"/>
      <c r="B228" s="122"/>
      <c r="C228" s="122"/>
      <c r="D228" s="29" t="s">
        <v>4</v>
      </c>
      <c r="E228" s="30">
        <f t="shared" si="281"/>
        <v>138756.5</v>
      </c>
      <c r="F228" s="30">
        <f t="shared" si="281"/>
        <v>23313.4</v>
      </c>
      <c r="G228" s="30">
        <f t="shared" ref="G228:G229" si="319">F228/E228*100</f>
        <v>16.801663345500934</v>
      </c>
      <c r="H228" s="30">
        <f t="shared" si="307"/>
        <v>0</v>
      </c>
      <c r="I228" s="30">
        <f t="shared" si="307"/>
        <v>0</v>
      </c>
      <c r="J228" s="30"/>
      <c r="K228" s="30">
        <f t="shared" si="308"/>
        <v>15058.3</v>
      </c>
      <c r="L228" s="30">
        <f t="shared" si="308"/>
        <v>12138.4</v>
      </c>
      <c r="M228" s="30">
        <f t="shared" si="304"/>
        <v>80.609364934952822</v>
      </c>
      <c r="N228" s="30">
        <f t="shared" si="309"/>
        <v>13414.8</v>
      </c>
      <c r="O228" s="30">
        <f t="shared" si="309"/>
        <v>11175</v>
      </c>
      <c r="P228" s="30">
        <f t="shared" si="305"/>
        <v>83.303515520171757</v>
      </c>
      <c r="Q228" s="30">
        <f t="shared" si="310"/>
        <v>13204.4</v>
      </c>
      <c r="R228" s="30">
        <f t="shared" si="310"/>
        <v>0</v>
      </c>
      <c r="S228" s="30">
        <f t="shared" ref="S228:S229" si="320">R228/Q228*100</f>
        <v>0</v>
      </c>
      <c r="T228" s="30">
        <f t="shared" si="311"/>
        <v>15577.4</v>
      </c>
      <c r="U228" s="30">
        <f t="shared" si="311"/>
        <v>0</v>
      </c>
      <c r="V228" s="30">
        <f t="shared" ref="V228:V229" si="321">U228/T228*100</f>
        <v>0</v>
      </c>
      <c r="W228" s="30">
        <f t="shared" si="312"/>
        <v>14413.4</v>
      </c>
      <c r="X228" s="30">
        <f t="shared" si="312"/>
        <v>0</v>
      </c>
      <c r="Y228" s="30">
        <f t="shared" si="313"/>
        <v>0</v>
      </c>
      <c r="Z228" s="30">
        <f t="shared" si="314"/>
        <v>3</v>
      </c>
      <c r="AA228" s="30">
        <f t="shared" si="314"/>
        <v>0</v>
      </c>
      <c r="AB228" s="30">
        <f t="shared" ref="AB228" si="322">AA228/Z228*100</f>
        <v>0</v>
      </c>
      <c r="AC228" s="30">
        <f t="shared" si="315"/>
        <v>0</v>
      </c>
      <c r="AD228" s="30">
        <f t="shared" si="315"/>
        <v>0</v>
      </c>
      <c r="AE228" s="30"/>
      <c r="AF228" s="30">
        <f t="shared" si="316"/>
        <v>0</v>
      </c>
      <c r="AG228" s="30">
        <f t="shared" si="316"/>
        <v>0</v>
      </c>
      <c r="AH228" s="31"/>
      <c r="AI228" s="30">
        <f t="shared" si="317"/>
        <v>16371.4</v>
      </c>
      <c r="AJ228" s="30">
        <f t="shared" si="317"/>
        <v>0</v>
      </c>
      <c r="AK228" s="30">
        <f t="shared" ref="AK228:AK229" si="323">AJ228/AI228*100</f>
        <v>0</v>
      </c>
      <c r="AL228" s="30">
        <f t="shared" si="318"/>
        <v>16246.4</v>
      </c>
      <c r="AM228" s="30">
        <f t="shared" si="318"/>
        <v>0</v>
      </c>
      <c r="AN228" s="30">
        <f t="shared" ref="AN228:AN229" si="324">AM228/AL228*100</f>
        <v>0</v>
      </c>
      <c r="AO228" s="30">
        <f>AO198+AO203+AO208+AO213+AO218</f>
        <v>34467.4</v>
      </c>
      <c r="AP228" s="38"/>
      <c r="AQ228" s="30">
        <f t="shared" ref="AQ228:AQ229" si="325">AP228/AO228*100</f>
        <v>0</v>
      </c>
      <c r="AR228" s="25"/>
      <c r="AS228" s="25"/>
    </row>
    <row r="229" spans="1:45" x14ac:dyDescent="0.25">
      <c r="A229" s="122"/>
      <c r="B229" s="122"/>
      <c r="C229" s="122"/>
      <c r="D229" s="29" t="s">
        <v>43</v>
      </c>
      <c r="E229" s="30">
        <f t="shared" si="281"/>
        <v>35114.1</v>
      </c>
      <c r="F229" s="30">
        <f t="shared" si="281"/>
        <v>4815</v>
      </c>
      <c r="G229" s="30">
        <f t="shared" si="319"/>
        <v>13.712440301759123</v>
      </c>
      <c r="H229" s="30">
        <f t="shared" si="307"/>
        <v>0</v>
      </c>
      <c r="I229" s="30">
        <f t="shared" si="307"/>
        <v>0</v>
      </c>
      <c r="J229" s="30"/>
      <c r="K229" s="30">
        <f t="shared" si="308"/>
        <v>3352</v>
      </c>
      <c r="L229" s="30">
        <f t="shared" si="308"/>
        <v>2912.3</v>
      </c>
      <c r="M229" s="30">
        <f t="shared" si="304"/>
        <v>86.882458233890219</v>
      </c>
      <c r="N229" s="30">
        <f t="shared" si="309"/>
        <v>3346</v>
      </c>
      <c r="O229" s="30">
        <f t="shared" si="309"/>
        <v>1902.7</v>
      </c>
      <c r="P229" s="30">
        <f t="shared" si="305"/>
        <v>56.864913329348475</v>
      </c>
      <c r="Q229" s="30">
        <f t="shared" si="310"/>
        <v>3328</v>
      </c>
      <c r="R229" s="30">
        <f t="shared" si="310"/>
        <v>0</v>
      </c>
      <c r="S229" s="30">
        <f t="shared" si="320"/>
        <v>0</v>
      </c>
      <c r="T229" s="30">
        <f t="shared" si="311"/>
        <v>4274</v>
      </c>
      <c r="U229" s="30">
        <f t="shared" si="311"/>
        <v>0</v>
      </c>
      <c r="V229" s="30">
        <f t="shared" si="321"/>
        <v>0</v>
      </c>
      <c r="W229" s="30">
        <f t="shared" si="312"/>
        <v>3598</v>
      </c>
      <c r="X229" s="30">
        <f t="shared" si="312"/>
        <v>0</v>
      </c>
      <c r="Y229" s="30">
        <f t="shared" si="313"/>
        <v>0</v>
      </c>
      <c r="Z229" s="30">
        <f t="shared" si="314"/>
        <v>118.6</v>
      </c>
      <c r="AA229" s="30">
        <f t="shared" si="314"/>
        <v>0</v>
      </c>
      <c r="AB229" s="30"/>
      <c r="AC229" s="30">
        <f t="shared" si="315"/>
        <v>0</v>
      </c>
      <c r="AD229" s="30">
        <f t="shared" si="315"/>
        <v>0</v>
      </c>
      <c r="AE229" s="30"/>
      <c r="AF229" s="30">
        <f t="shared" si="316"/>
        <v>0</v>
      </c>
      <c r="AG229" s="30">
        <f t="shared" si="316"/>
        <v>0</v>
      </c>
      <c r="AH229" s="31"/>
      <c r="AI229" s="30">
        <f t="shared" si="317"/>
        <v>4029</v>
      </c>
      <c r="AJ229" s="30">
        <f t="shared" si="317"/>
        <v>0</v>
      </c>
      <c r="AK229" s="30">
        <f t="shared" si="323"/>
        <v>0</v>
      </c>
      <c r="AL229" s="30">
        <f t="shared" si="318"/>
        <v>4174</v>
      </c>
      <c r="AM229" s="30">
        <f t="shared" si="318"/>
        <v>0</v>
      </c>
      <c r="AN229" s="30">
        <f t="shared" si="324"/>
        <v>0</v>
      </c>
      <c r="AO229" s="30">
        <f>AO199+AO204+AO209+AO214+AO219</f>
        <v>8894.5</v>
      </c>
      <c r="AP229" s="38"/>
      <c r="AQ229" s="30">
        <f t="shared" si="325"/>
        <v>0</v>
      </c>
      <c r="AR229" s="25"/>
      <c r="AS229" s="25"/>
    </row>
    <row r="230" spans="1:45" ht="14.25" customHeight="1" x14ac:dyDescent="0.25">
      <c r="A230" s="122"/>
      <c r="B230" s="122"/>
      <c r="C230" s="122"/>
      <c r="D230" s="29" t="s">
        <v>21</v>
      </c>
      <c r="E230" s="30">
        <f t="shared" si="281"/>
        <v>0</v>
      </c>
      <c r="F230" s="30">
        <f t="shared" si="281"/>
        <v>0</v>
      </c>
      <c r="G230" s="30"/>
      <c r="H230" s="30">
        <f t="shared" si="307"/>
        <v>0</v>
      </c>
      <c r="I230" s="30">
        <f t="shared" si="307"/>
        <v>0</v>
      </c>
      <c r="J230" s="30"/>
      <c r="K230" s="30">
        <f t="shared" si="308"/>
        <v>0</v>
      </c>
      <c r="L230" s="30">
        <f t="shared" si="308"/>
        <v>0</v>
      </c>
      <c r="M230" s="30"/>
      <c r="N230" s="30">
        <f t="shared" si="309"/>
        <v>0</v>
      </c>
      <c r="O230" s="30">
        <f t="shared" si="309"/>
        <v>0</v>
      </c>
      <c r="P230" s="30"/>
      <c r="Q230" s="30">
        <f t="shared" si="310"/>
        <v>0</v>
      </c>
      <c r="R230" s="30">
        <f t="shared" si="310"/>
        <v>0</v>
      </c>
      <c r="S230" s="30"/>
      <c r="T230" s="30">
        <f t="shared" si="311"/>
        <v>0</v>
      </c>
      <c r="U230" s="30">
        <f t="shared" si="311"/>
        <v>0</v>
      </c>
      <c r="V230" s="30"/>
      <c r="W230" s="30">
        <f t="shared" si="312"/>
        <v>0</v>
      </c>
      <c r="X230" s="30">
        <f t="shared" si="312"/>
        <v>0</v>
      </c>
      <c r="Y230" s="30"/>
      <c r="Z230" s="30">
        <f t="shared" si="314"/>
        <v>0</v>
      </c>
      <c r="AA230" s="30">
        <f t="shared" si="314"/>
        <v>0</v>
      </c>
      <c r="AB230" s="30"/>
      <c r="AC230" s="30">
        <f t="shared" si="315"/>
        <v>0</v>
      </c>
      <c r="AD230" s="30">
        <f t="shared" si="315"/>
        <v>0</v>
      </c>
      <c r="AE230" s="30"/>
      <c r="AF230" s="30">
        <f>AF200+AF205+AF210+AF215+AF220</f>
        <v>0</v>
      </c>
      <c r="AG230" s="30"/>
      <c r="AH230" s="30"/>
      <c r="AI230" s="30">
        <f>AI200+AI205+AI210+AI215+AI220</f>
        <v>0</v>
      </c>
      <c r="AJ230" s="30"/>
      <c r="AK230" s="30"/>
      <c r="AL230" s="30">
        <f>AL200+AL205+AL210+AL215+AL220</f>
        <v>0</v>
      </c>
      <c r="AM230" s="30"/>
      <c r="AN230" s="30"/>
      <c r="AO230" s="30">
        <f>AO200+AO205+AO210+AO215+AO220</f>
        <v>0</v>
      </c>
      <c r="AP230" s="38"/>
      <c r="AQ230" s="40"/>
      <c r="AR230" s="25"/>
      <c r="AS230" s="25"/>
    </row>
    <row r="231" spans="1:45" ht="13.5" customHeight="1" x14ac:dyDescent="0.25">
      <c r="A231" s="26" t="s">
        <v>75</v>
      </c>
      <c r="B231" s="23" t="s">
        <v>14</v>
      </c>
      <c r="C231" s="23"/>
      <c r="D231" s="23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3"/>
      <c r="AQ231" s="23"/>
      <c r="AR231" s="25"/>
      <c r="AS231" s="25"/>
    </row>
    <row r="232" spans="1:45" ht="22.5" customHeight="1" x14ac:dyDescent="0.25">
      <c r="A232" s="123" t="s">
        <v>76</v>
      </c>
      <c r="B232" s="101" t="s">
        <v>140</v>
      </c>
      <c r="C232" s="101" t="s">
        <v>153</v>
      </c>
      <c r="D232" s="26" t="s">
        <v>3</v>
      </c>
      <c r="E232" s="1">
        <f t="shared" ref="E232:F267" si="326">H232+K232+N232+Q232+T232+W232+Z232+AC232+AF232+AI232+AL232+AO232</f>
        <v>477.9</v>
      </c>
      <c r="F232" s="1">
        <f t="shared" si="326"/>
        <v>14.3</v>
      </c>
      <c r="G232" s="1">
        <f>F232/E232*100</f>
        <v>2.9922577945176818</v>
      </c>
      <c r="H232" s="1">
        <f>H233+H234+H235+H236</f>
        <v>0</v>
      </c>
      <c r="I232" s="1">
        <f>I233+I234+I235+I236</f>
        <v>0</v>
      </c>
      <c r="J232" s="27"/>
      <c r="K232" s="1">
        <f>K233+K234+K235+K236</f>
        <v>14.3</v>
      </c>
      <c r="L232" s="1">
        <f>L233+L234+L235+L236</f>
        <v>14.3</v>
      </c>
      <c r="M232" s="1">
        <f>L232/K232*100</f>
        <v>100</v>
      </c>
      <c r="N232" s="1">
        <f t="shared" ref="N232:AO232" si="327">N233+N234+N235+N236</f>
        <v>0</v>
      </c>
      <c r="O232" s="1"/>
      <c r="P232" s="1"/>
      <c r="Q232" s="1">
        <f t="shared" si="327"/>
        <v>102</v>
      </c>
      <c r="R232" s="1">
        <f t="shared" si="327"/>
        <v>0</v>
      </c>
      <c r="S232" s="1">
        <f>R232/Q232*100</f>
        <v>0</v>
      </c>
      <c r="T232" s="1">
        <f t="shared" si="327"/>
        <v>0</v>
      </c>
      <c r="U232" s="1">
        <f t="shared" si="327"/>
        <v>0</v>
      </c>
      <c r="V232" s="27"/>
      <c r="W232" s="1">
        <f t="shared" si="327"/>
        <v>105.7</v>
      </c>
      <c r="X232" s="1">
        <f t="shared" si="327"/>
        <v>0</v>
      </c>
      <c r="Y232" s="1">
        <f>X232/W232*100</f>
        <v>0</v>
      </c>
      <c r="Z232" s="1">
        <f t="shared" si="327"/>
        <v>0</v>
      </c>
      <c r="AA232" s="1">
        <f t="shared" si="327"/>
        <v>0</v>
      </c>
      <c r="AB232" s="1"/>
      <c r="AC232" s="1">
        <f t="shared" si="327"/>
        <v>0</v>
      </c>
      <c r="AD232" s="1">
        <f t="shared" si="327"/>
        <v>0</v>
      </c>
      <c r="AE232" s="1"/>
      <c r="AF232" s="1">
        <f t="shared" si="327"/>
        <v>0</v>
      </c>
      <c r="AG232" s="1">
        <f t="shared" si="327"/>
        <v>0</v>
      </c>
      <c r="AH232" s="1"/>
      <c r="AI232" s="1">
        <f t="shared" si="327"/>
        <v>102</v>
      </c>
      <c r="AJ232" s="1">
        <f t="shared" si="327"/>
        <v>0</v>
      </c>
      <c r="AK232" s="1">
        <f>AJ232/AI232*100</f>
        <v>0</v>
      </c>
      <c r="AL232" s="1">
        <f t="shared" si="327"/>
        <v>153.9</v>
      </c>
      <c r="AM232" s="1">
        <f t="shared" si="327"/>
        <v>0</v>
      </c>
      <c r="AN232" s="1">
        <f>AM232/AL232*100</f>
        <v>0</v>
      </c>
      <c r="AO232" s="1">
        <f t="shared" si="327"/>
        <v>0</v>
      </c>
      <c r="AP232" s="1"/>
      <c r="AQ232" s="1" t="e">
        <f>AP232/AO232*100</f>
        <v>#DIV/0!</v>
      </c>
      <c r="AR232" s="25"/>
      <c r="AS232" s="25"/>
    </row>
    <row r="233" spans="1:45" ht="21" customHeight="1" x14ac:dyDescent="0.25">
      <c r="A233" s="123"/>
      <c r="B233" s="101"/>
      <c r="C233" s="101"/>
      <c r="D233" s="26" t="s">
        <v>20</v>
      </c>
      <c r="E233" s="1">
        <f t="shared" si="326"/>
        <v>0</v>
      </c>
      <c r="F233" s="1">
        <f t="shared" si="326"/>
        <v>0</v>
      </c>
      <c r="G233" s="1"/>
      <c r="H233" s="1">
        <v>0</v>
      </c>
      <c r="I233" s="1"/>
      <c r="J233" s="27"/>
      <c r="K233" s="1"/>
      <c r="L233" s="1"/>
      <c r="M233" s="1"/>
      <c r="N233" s="1">
        <v>0</v>
      </c>
      <c r="O233" s="1"/>
      <c r="P233" s="1"/>
      <c r="Q233" s="1"/>
      <c r="R233" s="1"/>
      <c r="S233" s="1"/>
      <c r="T233" s="1"/>
      <c r="U233" s="1"/>
      <c r="V233" s="27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25"/>
      <c r="AS233" s="25"/>
    </row>
    <row r="234" spans="1:45" ht="25.5" customHeight="1" x14ac:dyDescent="0.25">
      <c r="A234" s="123"/>
      <c r="B234" s="101"/>
      <c r="C234" s="101"/>
      <c r="D234" s="26" t="s">
        <v>4</v>
      </c>
      <c r="E234" s="1">
        <f t="shared" si="326"/>
        <v>0</v>
      </c>
      <c r="F234" s="1">
        <f t="shared" si="326"/>
        <v>0</v>
      </c>
      <c r="G234" s="1"/>
      <c r="H234" s="1"/>
      <c r="I234" s="1"/>
      <c r="J234" s="27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27"/>
      <c r="W234" s="1">
        <f>1338-1338</f>
        <v>0</v>
      </c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34"/>
      <c r="AS234" s="3"/>
    </row>
    <row r="235" spans="1:45" ht="26.25" customHeight="1" x14ac:dyDescent="0.25">
      <c r="A235" s="123"/>
      <c r="B235" s="101"/>
      <c r="C235" s="101"/>
      <c r="D235" s="26" t="s">
        <v>43</v>
      </c>
      <c r="E235" s="1">
        <f>H235+K235+N235+Q235+T235+W235+Z235+AC235+AF235+AI235+AL235+AO235</f>
        <v>477.9</v>
      </c>
      <c r="F235" s="1">
        <f>I235+L235+O235+R235+U235+X235+AA235+AD235+AG235+AJ235+AM235+AP235</f>
        <v>14.3</v>
      </c>
      <c r="G235" s="1">
        <f t="shared" ref="G235" si="328">F235/E235*100</f>
        <v>2.9922577945176818</v>
      </c>
      <c r="H235" s="1"/>
      <c r="I235" s="1"/>
      <c r="J235" s="27"/>
      <c r="K235" s="1">
        <v>14.3</v>
      </c>
      <c r="L235" s="1">
        <v>14.3</v>
      </c>
      <c r="M235" s="1">
        <f t="shared" ref="M235" si="329">L235/K235*100</f>
        <v>100</v>
      </c>
      <c r="N235" s="1"/>
      <c r="O235" s="1"/>
      <c r="P235" s="1"/>
      <c r="Q235" s="1">
        <v>102</v>
      </c>
      <c r="R235" s="1"/>
      <c r="S235" s="1">
        <f t="shared" ref="S235" si="330">R235/Q235*100</f>
        <v>0</v>
      </c>
      <c r="T235" s="1"/>
      <c r="U235" s="1"/>
      <c r="V235" s="27"/>
      <c r="W235" s="1">
        <v>105.7</v>
      </c>
      <c r="X235" s="1"/>
      <c r="Y235" s="1">
        <f t="shared" ref="Y235" si="331">X235/W235*100</f>
        <v>0</v>
      </c>
      <c r="Z235" s="1"/>
      <c r="AA235" s="1"/>
      <c r="AB235" s="1"/>
      <c r="AC235" s="1"/>
      <c r="AD235" s="1"/>
      <c r="AE235" s="1"/>
      <c r="AF235" s="1"/>
      <c r="AG235" s="1"/>
      <c r="AH235" s="1"/>
      <c r="AI235" s="1">
        <v>102</v>
      </c>
      <c r="AJ235" s="1"/>
      <c r="AK235" s="1">
        <f t="shared" ref="AK235" si="332">AJ235/AI235*100</f>
        <v>0</v>
      </c>
      <c r="AL235" s="1">
        <v>153.9</v>
      </c>
      <c r="AM235" s="1"/>
      <c r="AN235" s="1">
        <f t="shared" ref="AN235" si="333">AM235/AL235*100</f>
        <v>0</v>
      </c>
      <c r="AO235" s="1"/>
      <c r="AP235" s="1"/>
      <c r="AQ235" s="1" t="e">
        <f t="shared" ref="AQ235" si="334">AP235/AO235*100</f>
        <v>#DIV/0!</v>
      </c>
      <c r="AR235" s="3" t="s">
        <v>186</v>
      </c>
      <c r="AS235" s="3"/>
    </row>
    <row r="236" spans="1:45" ht="22.5" customHeight="1" x14ac:dyDescent="0.25">
      <c r="A236" s="123"/>
      <c r="B236" s="101"/>
      <c r="C236" s="101"/>
      <c r="D236" s="26" t="s">
        <v>21</v>
      </c>
      <c r="E236" s="1">
        <f t="shared" si="326"/>
        <v>0</v>
      </c>
      <c r="F236" s="1">
        <f t="shared" si="326"/>
        <v>0</v>
      </c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25"/>
      <c r="AS236" s="25"/>
    </row>
    <row r="237" spans="1:45" ht="15" customHeight="1" x14ac:dyDescent="0.25">
      <c r="A237" s="150" t="s">
        <v>142</v>
      </c>
      <c r="B237" s="101" t="s">
        <v>141</v>
      </c>
      <c r="C237" s="101" t="s">
        <v>154</v>
      </c>
      <c r="D237" s="26" t="s">
        <v>3</v>
      </c>
      <c r="E237" s="1">
        <f t="shared" si="326"/>
        <v>0</v>
      </c>
      <c r="F237" s="1">
        <f t="shared" si="326"/>
        <v>0</v>
      </c>
      <c r="G237" s="1"/>
      <c r="H237" s="1">
        <f>H238+H239+H240+H241</f>
        <v>0</v>
      </c>
      <c r="I237" s="1"/>
      <c r="J237" s="27"/>
      <c r="K237" s="1">
        <f>K238+K239+K240+K241</f>
        <v>0</v>
      </c>
      <c r="L237" s="1">
        <f>L238+L239+L240+L241</f>
        <v>0</v>
      </c>
      <c r="M237" s="1"/>
      <c r="N237" s="1">
        <f t="shared" ref="N237" si="335">N238+N239+N240+N241</f>
        <v>0</v>
      </c>
      <c r="O237" s="1"/>
      <c r="P237" s="1"/>
      <c r="Q237" s="1">
        <f t="shared" ref="Q237:R237" si="336">Q238+Q239+Q240+Q241</f>
        <v>0</v>
      </c>
      <c r="R237" s="1">
        <f t="shared" si="336"/>
        <v>0</v>
      </c>
      <c r="S237" s="1"/>
      <c r="T237" s="1">
        <f t="shared" ref="T237:U237" si="337">T238+T239+T240+T241</f>
        <v>0</v>
      </c>
      <c r="U237" s="1">
        <f t="shared" si="337"/>
        <v>0</v>
      </c>
      <c r="V237" s="27"/>
      <c r="W237" s="1">
        <f t="shared" ref="W237:X237" si="338">W238+W239+W240+W241</f>
        <v>0</v>
      </c>
      <c r="X237" s="1">
        <f t="shared" si="338"/>
        <v>0</v>
      </c>
      <c r="Y237" s="1"/>
      <c r="Z237" s="1">
        <f t="shared" ref="Z237:AA237" si="339">Z238+Z239+Z240+Z241</f>
        <v>0</v>
      </c>
      <c r="AA237" s="1">
        <f t="shared" si="339"/>
        <v>0</v>
      </c>
      <c r="AB237" s="1"/>
      <c r="AC237" s="1">
        <f t="shared" ref="AC237:AD237" si="340">AC238+AC239+AC240+AC241</f>
        <v>0</v>
      </c>
      <c r="AD237" s="1">
        <f t="shared" si="340"/>
        <v>0</v>
      </c>
      <c r="AE237" s="1"/>
      <c r="AF237" s="1">
        <f t="shared" ref="AF237:AG237" si="341">AF238+AF239+AF240+AF241</f>
        <v>0</v>
      </c>
      <c r="AG237" s="1">
        <f t="shared" si="341"/>
        <v>0</v>
      </c>
      <c r="AH237" s="1"/>
      <c r="AI237" s="1">
        <f t="shared" ref="AI237:AJ237" si="342">AI238+AI239+AI240+AI241</f>
        <v>0</v>
      </c>
      <c r="AJ237" s="1">
        <f t="shared" si="342"/>
        <v>0</v>
      </c>
      <c r="AK237" s="1"/>
      <c r="AL237" s="1">
        <f t="shared" ref="AL237:AM237" si="343">AL238+AL239+AL240+AL241</f>
        <v>0</v>
      </c>
      <c r="AM237" s="1">
        <f t="shared" si="343"/>
        <v>0</v>
      </c>
      <c r="AN237" s="1"/>
      <c r="AO237" s="1">
        <f t="shared" ref="AO237" si="344">AO238+AO239+AO240+AO241</f>
        <v>0</v>
      </c>
      <c r="AP237" s="1"/>
      <c r="AQ237" s="1"/>
      <c r="AR237" s="25"/>
      <c r="AS237" s="25"/>
    </row>
    <row r="238" spans="1:45" ht="15" customHeight="1" x14ac:dyDescent="0.25">
      <c r="A238" s="123"/>
      <c r="B238" s="101"/>
      <c r="C238" s="101"/>
      <c r="D238" s="26" t="s">
        <v>20</v>
      </c>
      <c r="E238" s="1">
        <f t="shared" si="326"/>
        <v>0</v>
      </c>
      <c r="F238" s="1">
        <f t="shared" si="326"/>
        <v>0</v>
      </c>
      <c r="G238" s="1"/>
      <c r="H238" s="1">
        <v>0</v>
      </c>
      <c r="I238" s="1"/>
      <c r="J238" s="27"/>
      <c r="K238" s="1"/>
      <c r="L238" s="1"/>
      <c r="M238" s="1"/>
      <c r="N238" s="1">
        <v>0</v>
      </c>
      <c r="O238" s="1"/>
      <c r="P238" s="1"/>
      <c r="Q238" s="1"/>
      <c r="R238" s="1"/>
      <c r="S238" s="1"/>
      <c r="T238" s="1"/>
      <c r="U238" s="1"/>
      <c r="V238" s="27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25"/>
      <c r="AS238" s="25"/>
    </row>
    <row r="239" spans="1:45" ht="24" x14ac:dyDescent="0.25">
      <c r="A239" s="123"/>
      <c r="B239" s="101"/>
      <c r="C239" s="101"/>
      <c r="D239" s="26" t="s">
        <v>4</v>
      </c>
      <c r="E239" s="1">
        <f t="shared" si="326"/>
        <v>0</v>
      </c>
      <c r="F239" s="1">
        <f t="shared" si="326"/>
        <v>0</v>
      </c>
      <c r="G239" s="1"/>
      <c r="H239" s="1"/>
      <c r="I239" s="1"/>
      <c r="J239" s="27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27"/>
      <c r="W239" s="1">
        <f>1338-1338</f>
        <v>0</v>
      </c>
      <c r="X239" s="1"/>
      <c r="Y239" s="1"/>
      <c r="Z239" s="1"/>
      <c r="AA239" s="1"/>
      <c r="AB239" s="1"/>
      <c r="AC239" s="1"/>
      <c r="AD239" s="1"/>
      <c r="AE239" s="1"/>
      <c r="AF239" s="1"/>
      <c r="AG239" s="1">
        <v>0</v>
      </c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34"/>
      <c r="AS239" s="3"/>
    </row>
    <row r="240" spans="1:45" x14ac:dyDescent="0.25">
      <c r="A240" s="123"/>
      <c r="B240" s="101"/>
      <c r="C240" s="101"/>
      <c r="D240" s="26" t="s">
        <v>43</v>
      </c>
      <c r="E240" s="1">
        <f>H240+K240+N240+Q240+T240+W240+Z240+AC240+AF240+AI240+AL240+AO240</f>
        <v>0</v>
      </c>
      <c r="F240" s="1">
        <f>I240+L240+O240+R240+U240+X240+AA240+AD240+AG240+AJ240+AM240+AP240</f>
        <v>0</v>
      </c>
      <c r="G240" s="1"/>
      <c r="H240" s="1"/>
      <c r="I240" s="1"/>
      <c r="J240" s="27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27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>
        <v>0</v>
      </c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3"/>
      <c r="AS240" s="4"/>
    </row>
    <row r="241" spans="1:45" x14ac:dyDescent="0.25">
      <c r="A241" s="123"/>
      <c r="B241" s="101"/>
      <c r="C241" s="101"/>
      <c r="D241" s="26" t="s">
        <v>21</v>
      </c>
      <c r="E241" s="1">
        <f t="shared" ref="E241:F241" si="345">H241+K241+N241+Q241+T241+W241+Z241+AC241+AF241+AI241+AL241+AO241</f>
        <v>0</v>
      </c>
      <c r="F241" s="1">
        <f t="shared" si="345"/>
        <v>0</v>
      </c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38"/>
      <c r="AR241" s="25"/>
      <c r="AS241" s="25"/>
    </row>
    <row r="242" spans="1:45" ht="12" customHeight="1" x14ac:dyDescent="0.25">
      <c r="A242" s="123" t="s">
        <v>101</v>
      </c>
      <c r="B242" s="101" t="s">
        <v>162</v>
      </c>
      <c r="C242" s="101" t="s">
        <v>153</v>
      </c>
      <c r="D242" s="26" t="s">
        <v>3</v>
      </c>
      <c r="E242" s="1">
        <f t="shared" si="326"/>
        <v>0</v>
      </c>
      <c r="F242" s="1">
        <f t="shared" si="326"/>
        <v>0</v>
      </c>
      <c r="G242" s="1"/>
      <c r="H242" s="1">
        <f>H243+H244+H245+H246</f>
        <v>0</v>
      </c>
      <c r="I242" s="1">
        <f>I243+I244+I245+I246</f>
        <v>0</v>
      </c>
      <c r="J242" s="27"/>
      <c r="K242" s="1">
        <f t="shared" ref="K242:AO242" si="346">K243+K244+K245+K246</f>
        <v>0</v>
      </c>
      <c r="L242" s="1"/>
      <c r="M242" s="27"/>
      <c r="N242" s="1">
        <f t="shared" si="346"/>
        <v>0</v>
      </c>
      <c r="O242" s="1">
        <f t="shared" si="346"/>
        <v>0</v>
      </c>
      <c r="P242" s="1"/>
      <c r="Q242" s="1">
        <f t="shared" si="346"/>
        <v>0</v>
      </c>
      <c r="R242" s="1">
        <f t="shared" si="346"/>
        <v>0</v>
      </c>
      <c r="S242" s="1"/>
      <c r="T242" s="1">
        <f t="shared" si="346"/>
        <v>0</v>
      </c>
      <c r="U242" s="1"/>
      <c r="V242" s="27"/>
      <c r="W242" s="1">
        <f t="shared" si="346"/>
        <v>0</v>
      </c>
      <c r="X242" s="1"/>
      <c r="Y242" s="27"/>
      <c r="Z242" s="1">
        <f t="shared" si="346"/>
        <v>0</v>
      </c>
      <c r="AA242" s="1"/>
      <c r="AB242" s="27"/>
      <c r="AC242" s="1">
        <f t="shared" si="346"/>
        <v>0</v>
      </c>
      <c r="AD242" s="1">
        <f t="shared" si="346"/>
        <v>0</v>
      </c>
      <c r="AE242" s="27"/>
      <c r="AF242" s="1">
        <f t="shared" si="346"/>
        <v>0</v>
      </c>
      <c r="AG242" s="1">
        <f t="shared" si="346"/>
        <v>0</v>
      </c>
      <c r="AH242" s="1"/>
      <c r="AI242" s="1">
        <f t="shared" si="346"/>
        <v>0</v>
      </c>
      <c r="AJ242" s="1">
        <f t="shared" si="346"/>
        <v>0</v>
      </c>
      <c r="AK242" s="1"/>
      <c r="AL242" s="1">
        <f t="shared" si="346"/>
        <v>0</v>
      </c>
      <c r="AM242" s="1">
        <f t="shared" si="346"/>
        <v>0</v>
      </c>
      <c r="AN242" s="1"/>
      <c r="AO242" s="1">
        <f t="shared" si="346"/>
        <v>0</v>
      </c>
      <c r="AP242" s="1"/>
      <c r="AQ242" s="27"/>
      <c r="AR242" s="25"/>
      <c r="AS242" s="25"/>
    </row>
    <row r="243" spans="1:45" x14ac:dyDescent="0.25">
      <c r="A243" s="123"/>
      <c r="B243" s="101"/>
      <c r="C243" s="101"/>
      <c r="D243" s="26" t="s">
        <v>20</v>
      </c>
      <c r="E243" s="1">
        <f t="shared" si="326"/>
        <v>0</v>
      </c>
      <c r="F243" s="1">
        <f t="shared" si="326"/>
        <v>0</v>
      </c>
      <c r="G243" s="1"/>
      <c r="H243" s="1"/>
      <c r="I243" s="1"/>
      <c r="J243" s="27"/>
      <c r="K243" s="1"/>
      <c r="L243" s="1"/>
      <c r="M243" s="27"/>
      <c r="N243" s="1"/>
      <c r="O243" s="1"/>
      <c r="P243" s="1"/>
      <c r="Q243" s="1"/>
      <c r="R243" s="1"/>
      <c r="S243" s="1"/>
      <c r="T243" s="1"/>
      <c r="U243" s="1"/>
      <c r="V243" s="27"/>
      <c r="W243" s="1"/>
      <c r="X243" s="1"/>
      <c r="Y243" s="27"/>
      <c r="Z243" s="1"/>
      <c r="AA243" s="1"/>
      <c r="AB243" s="27"/>
      <c r="AC243" s="1"/>
      <c r="AD243" s="1"/>
      <c r="AE243" s="27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27"/>
      <c r="AR243" s="25"/>
      <c r="AS243" s="25"/>
    </row>
    <row r="244" spans="1:45" ht="24" x14ac:dyDescent="0.25">
      <c r="A244" s="123"/>
      <c r="B244" s="101"/>
      <c r="C244" s="101"/>
      <c r="D244" s="26" t="s">
        <v>4</v>
      </c>
      <c r="E244" s="1">
        <f t="shared" si="326"/>
        <v>0</v>
      </c>
      <c r="F244" s="1">
        <f t="shared" si="326"/>
        <v>0</v>
      </c>
      <c r="G244" s="1"/>
      <c r="H244" s="1"/>
      <c r="I244" s="1"/>
      <c r="J244" s="27"/>
      <c r="K244" s="1"/>
      <c r="L244" s="1"/>
      <c r="M244" s="27"/>
      <c r="N244" s="1"/>
      <c r="O244" s="1"/>
      <c r="P244" s="1"/>
      <c r="Q244" s="1"/>
      <c r="R244" s="1"/>
      <c r="S244" s="1"/>
      <c r="T244" s="1"/>
      <c r="U244" s="1"/>
      <c r="V244" s="27"/>
      <c r="W244" s="1"/>
      <c r="X244" s="1"/>
      <c r="Y244" s="27"/>
      <c r="Z244" s="1"/>
      <c r="AA244" s="1"/>
      <c r="AB244" s="27"/>
      <c r="AC244" s="1"/>
      <c r="AD244" s="1"/>
      <c r="AE244" s="27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27"/>
      <c r="AR244" s="25"/>
      <c r="AS244" s="25"/>
    </row>
    <row r="245" spans="1:45" x14ac:dyDescent="0.25">
      <c r="A245" s="123"/>
      <c r="B245" s="101"/>
      <c r="C245" s="101"/>
      <c r="D245" s="26" t="s">
        <v>43</v>
      </c>
      <c r="E245" s="1">
        <f t="shared" si="326"/>
        <v>0</v>
      </c>
      <c r="F245" s="1">
        <f t="shared" si="326"/>
        <v>0</v>
      </c>
      <c r="G245" s="1"/>
      <c r="H245" s="1"/>
      <c r="I245" s="1"/>
      <c r="J245" s="27"/>
      <c r="K245" s="1"/>
      <c r="L245" s="1"/>
      <c r="M245" s="27"/>
      <c r="N245" s="1">
        <f>10-10</f>
        <v>0</v>
      </c>
      <c r="O245" s="1">
        <v>0</v>
      </c>
      <c r="P245" s="1"/>
      <c r="Q245" s="1"/>
      <c r="R245" s="1">
        <v>0</v>
      </c>
      <c r="S245" s="1"/>
      <c r="T245" s="1"/>
      <c r="U245" s="1"/>
      <c r="V245" s="27"/>
      <c r="W245" s="1">
        <f>35-35</f>
        <v>0</v>
      </c>
      <c r="X245" s="1"/>
      <c r="Y245" s="27"/>
      <c r="Z245" s="1"/>
      <c r="AA245" s="1"/>
      <c r="AB245" s="27"/>
      <c r="AC245" s="1"/>
      <c r="AD245" s="1"/>
      <c r="AE245" s="27"/>
      <c r="AF245" s="1">
        <f>50-50</f>
        <v>0</v>
      </c>
      <c r="AG245" s="1">
        <v>0</v>
      </c>
      <c r="AH245" s="1"/>
      <c r="AI245" s="1"/>
      <c r="AJ245" s="1"/>
      <c r="AK245" s="1"/>
      <c r="AL245" s="1"/>
      <c r="AM245" s="1"/>
      <c r="AN245" s="1"/>
      <c r="AO245" s="1">
        <f>25-25</f>
        <v>0</v>
      </c>
      <c r="AP245" s="1"/>
      <c r="AQ245" s="27"/>
      <c r="AR245" s="34"/>
      <c r="AS245" s="94"/>
    </row>
    <row r="246" spans="1:45" ht="15" customHeight="1" x14ac:dyDescent="0.25">
      <c r="A246" s="123"/>
      <c r="B246" s="101"/>
      <c r="C246" s="101"/>
      <c r="D246" s="26" t="s">
        <v>21</v>
      </c>
      <c r="E246" s="1">
        <f t="shared" si="326"/>
        <v>0</v>
      </c>
      <c r="F246" s="1">
        <f t="shared" si="326"/>
        <v>0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38"/>
      <c r="AR246" s="25"/>
      <c r="AS246" s="25"/>
    </row>
    <row r="247" spans="1:45" ht="14.25" customHeight="1" x14ac:dyDescent="0.25">
      <c r="A247" s="151" t="s">
        <v>77</v>
      </c>
      <c r="B247" s="98" t="s">
        <v>102</v>
      </c>
      <c r="C247" s="98" t="s">
        <v>152</v>
      </c>
      <c r="D247" s="26" t="s">
        <v>3</v>
      </c>
      <c r="E247" s="1">
        <f>H247+K247+N247+Q247+T247+W247+Z247+AC247+AF247+AI247+AL247+AO247</f>
        <v>417.3</v>
      </c>
      <c r="F247" s="1">
        <f t="shared" si="326"/>
        <v>117.5</v>
      </c>
      <c r="G247" s="1">
        <f>F247/E247*100</f>
        <v>28.157201054397312</v>
      </c>
      <c r="H247" s="1">
        <f>H248+H249+H250+H251</f>
        <v>0</v>
      </c>
      <c r="I247" s="1">
        <f>I248+I249+I250+I251</f>
        <v>0</v>
      </c>
      <c r="J247" s="27"/>
      <c r="K247" s="1">
        <f>K248+K249+K250+K251</f>
        <v>11.5</v>
      </c>
      <c r="L247" s="1">
        <f>L248+L249+L250+L251</f>
        <v>11.5</v>
      </c>
      <c r="M247" s="1">
        <f>L247/K247*100</f>
        <v>100</v>
      </c>
      <c r="N247" s="1">
        <f t="shared" ref="N247:AO247" si="347">N248+N249+N250+N251</f>
        <v>106</v>
      </c>
      <c r="O247" s="1">
        <f t="shared" si="347"/>
        <v>106</v>
      </c>
      <c r="P247" s="1">
        <f>O247/N247*100</f>
        <v>100</v>
      </c>
      <c r="Q247" s="1">
        <f t="shared" si="347"/>
        <v>6</v>
      </c>
      <c r="R247" s="1">
        <f t="shared" si="347"/>
        <v>0</v>
      </c>
      <c r="S247" s="1">
        <f t="shared" ref="S247" si="348">R247/Q247*100</f>
        <v>0</v>
      </c>
      <c r="T247" s="1">
        <f t="shared" si="347"/>
        <v>24</v>
      </c>
      <c r="U247" s="1">
        <f t="shared" si="347"/>
        <v>0</v>
      </c>
      <c r="V247" s="1">
        <f>U247/T247*100</f>
        <v>0</v>
      </c>
      <c r="W247" s="1">
        <f t="shared" si="347"/>
        <v>269.8</v>
      </c>
      <c r="X247" s="1">
        <f t="shared" si="347"/>
        <v>0</v>
      </c>
      <c r="Y247" s="1">
        <f>X247/W247*100</f>
        <v>0</v>
      </c>
      <c r="Z247" s="1">
        <f t="shared" si="347"/>
        <v>0</v>
      </c>
      <c r="AA247" s="1"/>
      <c r="AB247" s="27"/>
      <c r="AC247" s="1">
        <f t="shared" si="347"/>
        <v>0</v>
      </c>
      <c r="AD247" s="1">
        <f t="shared" si="347"/>
        <v>0</v>
      </c>
      <c r="AE247" s="1"/>
      <c r="AF247" s="1">
        <f t="shared" si="347"/>
        <v>0</v>
      </c>
      <c r="AG247" s="1">
        <f t="shared" si="347"/>
        <v>0</v>
      </c>
      <c r="AH247" s="1" t="e">
        <f>AG247/AF247*100</f>
        <v>#DIV/0!</v>
      </c>
      <c r="AI247" s="1">
        <f t="shared" si="347"/>
        <v>0</v>
      </c>
      <c r="AJ247" s="1">
        <f t="shared" si="347"/>
        <v>0</v>
      </c>
      <c r="AK247" s="1" t="e">
        <f>AJ247/AI247*100</f>
        <v>#DIV/0!</v>
      </c>
      <c r="AL247" s="1">
        <f t="shared" si="347"/>
        <v>0</v>
      </c>
      <c r="AM247" s="1">
        <f t="shared" si="347"/>
        <v>0</v>
      </c>
      <c r="AN247" s="1"/>
      <c r="AO247" s="1">
        <f t="shared" si="347"/>
        <v>0</v>
      </c>
      <c r="AP247" s="1"/>
      <c r="AQ247" s="27"/>
      <c r="AR247" s="25"/>
      <c r="AS247" s="25"/>
    </row>
    <row r="248" spans="1:45" ht="17.25" customHeight="1" x14ac:dyDescent="0.25">
      <c r="A248" s="152"/>
      <c r="B248" s="99"/>
      <c r="C248" s="99"/>
      <c r="D248" s="26" t="s">
        <v>20</v>
      </c>
      <c r="E248" s="1">
        <f t="shared" si="326"/>
        <v>0</v>
      </c>
      <c r="F248" s="1">
        <f>I248+L248+O248+R248+U248+X248+AA248+AD248+AG248+AJ248+AM248+AP248</f>
        <v>0</v>
      </c>
      <c r="G248" s="1"/>
      <c r="H248" s="1"/>
      <c r="I248" s="1"/>
      <c r="J248" s="27"/>
      <c r="K248" s="1"/>
      <c r="L248" s="1"/>
      <c r="M248" s="1"/>
      <c r="N248" s="1"/>
      <c r="O248" s="1"/>
      <c r="P248" s="1"/>
      <c r="Q248" s="1"/>
      <c r="R248" s="1"/>
      <c r="S248" s="27"/>
      <c r="T248" s="1"/>
      <c r="U248" s="1"/>
      <c r="V248" s="1"/>
      <c r="W248" s="1"/>
      <c r="X248" s="1"/>
      <c r="Y248" s="1"/>
      <c r="Z248" s="1"/>
      <c r="AA248" s="1"/>
      <c r="AB248" s="27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27"/>
      <c r="AR248" s="25"/>
      <c r="AS248" s="25"/>
    </row>
    <row r="249" spans="1:45" ht="24" x14ac:dyDescent="0.25">
      <c r="A249" s="152"/>
      <c r="B249" s="99"/>
      <c r="C249" s="99"/>
      <c r="D249" s="26" t="s">
        <v>4</v>
      </c>
      <c r="E249" s="1">
        <f t="shared" si="326"/>
        <v>0</v>
      </c>
      <c r="F249" s="1">
        <f t="shared" si="326"/>
        <v>0</v>
      </c>
      <c r="G249" s="1"/>
      <c r="H249" s="1"/>
      <c r="I249" s="1"/>
      <c r="J249" s="27"/>
      <c r="K249" s="1"/>
      <c r="L249" s="1"/>
      <c r="M249" s="1"/>
      <c r="N249" s="1"/>
      <c r="O249" s="1"/>
      <c r="P249" s="1"/>
      <c r="Q249" s="1"/>
      <c r="R249" s="1"/>
      <c r="S249" s="27"/>
      <c r="T249" s="1"/>
      <c r="U249" s="1"/>
      <c r="V249" s="1"/>
      <c r="W249" s="1"/>
      <c r="X249" s="1"/>
      <c r="Y249" s="1"/>
      <c r="Z249" s="1"/>
      <c r="AA249" s="1"/>
      <c r="AB249" s="27"/>
      <c r="AC249" s="1"/>
      <c r="AD249" s="1">
        <v>0</v>
      </c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27"/>
      <c r="AR249" s="94"/>
      <c r="AS249" s="94"/>
    </row>
    <row r="250" spans="1:45" ht="40.5" customHeight="1" x14ac:dyDescent="0.25">
      <c r="A250" s="152"/>
      <c r="B250" s="99"/>
      <c r="C250" s="99"/>
      <c r="D250" s="26" t="s">
        <v>43</v>
      </c>
      <c r="E250" s="1">
        <f t="shared" si="326"/>
        <v>417.3</v>
      </c>
      <c r="F250" s="1">
        <f t="shared" si="326"/>
        <v>117.5</v>
      </c>
      <c r="G250" s="1">
        <f t="shared" ref="G250" si="349">F250/E250*100</f>
        <v>28.157201054397312</v>
      </c>
      <c r="H250" s="1"/>
      <c r="I250" s="1"/>
      <c r="J250" s="27"/>
      <c r="K250" s="1">
        <v>11.5</v>
      </c>
      <c r="L250" s="1">
        <v>11.5</v>
      </c>
      <c r="M250" s="1">
        <f t="shared" ref="M250" si="350">L250/K250*100</f>
        <v>100</v>
      </c>
      <c r="N250" s="1">
        <v>106</v>
      </c>
      <c r="O250" s="1">
        <v>106</v>
      </c>
      <c r="P250" s="1">
        <f t="shared" ref="P250" si="351">O250/N250*100</f>
        <v>100</v>
      </c>
      <c r="Q250" s="1">
        <v>6</v>
      </c>
      <c r="R250" s="1"/>
      <c r="S250" s="1">
        <f t="shared" ref="S250" si="352">R250/Q250*100</f>
        <v>0</v>
      </c>
      <c r="T250" s="1">
        <v>24</v>
      </c>
      <c r="U250" s="1"/>
      <c r="V250" s="1">
        <f t="shared" ref="V250" si="353">U250/T250*100</f>
        <v>0</v>
      </c>
      <c r="W250" s="1">
        <f>259.5+10.3</f>
        <v>269.8</v>
      </c>
      <c r="X250" s="1"/>
      <c r="Y250" s="1">
        <f t="shared" ref="Y250" si="354">X250/W250*100</f>
        <v>0</v>
      </c>
      <c r="Z250" s="1"/>
      <c r="AA250" s="1"/>
      <c r="AB250" s="27"/>
      <c r="AC250" s="1"/>
      <c r="AD250" s="1"/>
      <c r="AE250" s="27"/>
      <c r="AF250" s="1"/>
      <c r="AG250" s="1"/>
      <c r="AH250" s="1" t="e">
        <f t="shared" ref="AH250" si="355">AG250/AF250*100</f>
        <v>#DIV/0!</v>
      </c>
      <c r="AI250" s="1"/>
      <c r="AJ250" s="1"/>
      <c r="AK250" s="1" t="e">
        <f t="shared" ref="AK250" si="356">AJ250/AI250*100</f>
        <v>#DIV/0!</v>
      </c>
      <c r="AL250" s="1"/>
      <c r="AM250" s="1"/>
      <c r="AN250" s="1"/>
      <c r="AO250" s="1"/>
      <c r="AP250" s="1"/>
      <c r="AQ250" s="27"/>
      <c r="AR250" s="3" t="s">
        <v>187</v>
      </c>
      <c r="AS250" s="94"/>
    </row>
    <row r="251" spans="1:45" ht="15.75" customHeight="1" x14ac:dyDescent="0.25">
      <c r="A251" s="152"/>
      <c r="B251" s="99"/>
      <c r="C251" s="99"/>
      <c r="D251" s="26" t="s">
        <v>21</v>
      </c>
      <c r="E251" s="1">
        <f t="shared" si="326"/>
        <v>0</v>
      </c>
      <c r="F251" s="1">
        <f t="shared" si="326"/>
        <v>0</v>
      </c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38"/>
      <c r="AR251" s="25"/>
      <c r="AS251" s="25"/>
    </row>
    <row r="252" spans="1:45" ht="14.45" hidden="1" customHeight="1" x14ac:dyDescent="0.25">
      <c r="A252" s="153"/>
      <c r="B252" s="100"/>
      <c r="C252" s="100"/>
      <c r="D252" s="29" t="s">
        <v>115</v>
      </c>
      <c r="E252" s="1"/>
      <c r="F252" s="1">
        <f t="shared" si="326"/>
        <v>0</v>
      </c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38"/>
      <c r="AR252" s="96"/>
      <c r="AS252" s="25"/>
    </row>
    <row r="253" spans="1:45" ht="12" customHeight="1" x14ac:dyDescent="0.25">
      <c r="A253" s="123" t="s">
        <v>149</v>
      </c>
      <c r="B253" s="101" t="s">
        <v>150</v>
      </c>
      <c r="C253" s="101" t="s">
        <v>151</v>
      </c>
      <c r="D253" s="26" t="s">
        <v>3</v>
      </c>
      <c r="E253" s="1">
        <f t="shared" ref="E253:E262" si="357">H253+K253+N253+Q253+T253+W253+Z253+AC253+AF253+AI253+AL253+AO253</f>
        <v>214.3</v>
      </c>
      <c r="F253" s="1">
        <f t="shared" si="326"/>
        <v>0</v>
      </c>
      <c r="G253" s="1">
        <f>F253/E253*100</f>
        <v>0</v>
      </c>
      <c r="H253" s="1">
        <f>H254+H255+H256+H257</f>
        <v>0</v>
      </c>
      <c r="I253" s="1"/>
      <c r="J253" s="27"/>
      <c r="K253" s="1">
        <f t="shared" ref="K253" si="358">K254+K255+K256+K257</f>
        <v>0</v>
      </c>
      <c r="L253" s="1"/>
      <c r="M253" s="27"/>
      <c r="N253" s="1">
        <f t="shared" ref="N253:O253" si="359">N254+N255+N256+N257</f>
        <v>0</v>
      </c>
      <c r="O253" s="1">
        <f t="shared" si="359"/>
        <v>0</v>
      </c>
      <c r="P253" s="27"/>
      <c r="Q253" s="1">
        <f t="shared" ref="Q253:R253" si="360">Q254+Q255+Q256+Q257</f>
        <v>0</v>
      </c>
      <c r="R253" s="1">
        <f t="shared" si="360"/>
        <v>0</v>
      </c>
      <c r="S253" s="1"/>
      <c r="T253" s="1">
        <f t="shared" ref="T253" si="361">T254+T255+T256+T257</f>
        <v>0</v>
      </c>
      <c r="U253" s="1"/>
      <c r="V253" s="27"/>
      <c r="W253" s="1">
        <f t="shared" ref="W253" si="362">W254+W255+W256+W257</f>
        <v>214.3</v>
      </c>
      <c r="X253" s="1"/>
      <c r="Y253" s="27"/>
      <c r="Z253" s="1">
        <f t="shared" ref="Z253" si="363">Z254+Z255+Z256+Z257</f>
        <v>0</v>
      </c>
      <c r="AA253" s="1"/>
      <c r="AB253" s="27"/>
      <c r="AC253" s="1">
        <f t="shared" ref="AC253:AD253" si="364">AC254+AC255+AC256+AC257</f>
        <v>0</v>
      </c>
      <c r="AD253" s="1">
        <f t="shared" si="364"/>
        <v>0</v>
      </c>
      <c r="AE253" s="27"/>
      <c r="AF253" s="1">
        <f t="shared" ref="AF253:AG253" si="365">AF254+AF255+AF256+AF257</f>
        <v>0</v>
      </c>
      <c r="AG253" s="1">
        <f t="shared" si="365"/>
        <v>0</v>
      </c>
      <c r="AH253" s="1" t="e">
        <f>AG253/AF253*100</f>
        <v>#DIV/0!</v>
      </c>
      <c r="AI253" s="1">
        <f t="shared" ref="AI253:AJ253" si="366">AI254+AI255+AI256+AI257</f>
        <v>0</v>
      </c>
      <c r="AJ253" s="1">
        <f t="shared" si="366"/>
        <v>0</v>
      </c>
      <c r="AK253" s="1"/>
      <c r="AL253" s="1">
        <f t="shared" ref="AL253:AM253" si="367">AL254+AL255+AL256+AL257</f>
        <v>0</v>
      </c>
      <c r="AM253" s="1">
        <f t="shared" si="367"/>
        <v>0</v>
      </c>
      <c r="AN253" s="1"/>
      <c r="AO253" s="1">
        <f t="shared" ref="AO253" si="368">AO254+AO255+AO256+AO257</f>
        <v>0</v>
      </c>
      <c r="AP253" s="1"/>
      <c r="AQ253" s="27"/>
      <c r="AR253" s="25"/>
      <c r="AS253" s="25"/>
    </row>
    <row r="254" spans="1:45" x14ac:dyDescent="0.25">
      <c r="A254" s="123"/>
      <c r="B254" s="101"/>
      <c r="C254" s="101"/>
      <c r="D254" s="26" t="s">
        <v>20</v>
      </c>
      <c r="E254" s="1">
        <f t="shared" si="357"/>
        <v>0</v>
      </c>
      <c r="F254" s="1">
        <f t="shared" si="326"/>
        <v>0</v>
      </c>
      <c r="G254" s="1"/>
      <c r="H254" s="1"/>
      <c r="I254" s="1"/>
      <c r="J254" s="27"/>
      <c r="K254" s="1"/>
      <c r="L254" s="1"/>
      <c r="M254" s="27"/>
      <c r="N254" s="1"/>
      <c r="O254" s="1"/>
      <c r="P254" s="27"/>
      <c r="Q254" s="1"/>
      <c r="R254" s="1"/>
      <c r="S254" s="1"/>
      <c r="T254" s="1"/>
      <c r="U254" s="1"/>
      <c r="V254" s="27"/>
      <c r="W254" s="1"/>
      <c r="X254" s="1"/>
      <c r="Y254" s="27"/>
      <c r="Z254" s="1"/>
      <c r="AA254" s="1"/>
      <c r="AB254" s="27"/>
      <c r="AC254" s="1"/>
      <c r="AD254" s="1"/>
      <c r="AE254" s="27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27"/>
      <c r="AR254" s="25"/>
      <c r="AS254" s="25"/>
    </row>
    <row r="255" spans="1:45" ht="24" x14ac:dyDescent="0.25">
      <c r="A255" s="123"/>
      <c r="B255" s="101"/>
      <c r="C255" s="101"/>
      <c r="D255" s="26" t="s">
        <v>4</v>
      </c>
      <c r="E255" s="1">
        <f t="shared" si="357"/>
        <v>0</v>
      </c>
      <c r="F255" s="1">
        <f t="shared" si="326"/>
        <v>0</v>
      </c>
      <c r="G255" s="1"/>
      <c r="H255" s="1"/>
      <c r="I255" s="1"/>
      <c r="J255" s="27"/>
      <c r="K255" s="1"/>
      <c r="L255" s="1"/>
      <c r="M255" s="27"/>
      <c r="N255" s="1"/>
      <c r="O255" s="1"/>
      <c r="P255" s="27"/>
      <c r="Q255" s="1"/>
      <c r="R255" s="1"/>
      <c r="S255" s="1"/>
      <c r="T255" s="1"/>
      <c r="U255" s="1"/>
      <c r="V255" s="27"/>
      <c r="W255" s="1"/>
      <c r="X255" s="1"/>
      <c r="Y255" s="27"/>
      <c r="Z255" s="1"/>
      <c r="AA255" s="1"/>
      <c r="AB255" s="27"/>
      <c r="AC255" s="1"/>
      <c r="AD255" s="1"/>
      <c r="AE255" s="27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27"/>
      <c r="AR255" s="25"/>
      <c r="AS255" s="25"/>
    </row>
    <row r="256" spans="1:45" x14ac:dyDescent="0.25">
      <c r="A256" s="123"/>
      <c r="B256" s="101"/>
      <c r="C256" s="101"/>
      <c r="D256" s="26" t="s">
        <v>43</v>
      </c>
      <c r="E256" s="1">
        <f t="shared" si="357"/>
        <v>214.3</v>
      </c>
      <c r="F256" s="1">
        <f t="shared" si="326"/>
        <v>0</v>
      </c>
      <c r="G256" s="1">
        <f t="shared" ref="G256" si="369">F256/E256*100</f>
        <v>0</v>
      </c>
      <c r="H256" s="1"/>
      <c r="I256" s="1"/>
      <c r="J256" s="27"/>
      <c r="K256" s="1"/>
      <c r="L256" s="1"/>
      <c r="M256" s="27"/>
      <c r="N256" s="1">
        <f>60-60</f>
        <v>0</v>
      </c>
      <c r="O256" s="1"/>
      <c r="P256" s="27"/>
      <c r="Q256" s="1"/>
      <c r="R256" s="1">
        <v>0</v>
      </c>
      <c r="S256" s="1"/>
      <c r="T256" s="1"/>
      <c r="U256" s="1"/>
      <c r="V256" s="27"/>
      <c r="W256" s="1">
        <v>214.3</v>
      </c>
      <c r="X256" s="1"/>
      <c r="Y256" s="27"/>
      <c r="Z256" s="1"/>
      <c r="AA256" s="1"/>
      <c r="AB256" s="27"/>
      <c r="AC256" s="1"/>
      <c r="AD256" s="1"/>
      <c r="AE256" s="27"/>
      <c r="AF256" s="1"/>
      <c r="AG256" s="1"/>
      <c r="AH256" s="1" t="e">
        <f t="shared" ref="AH256" si="370">AG256/AF256*100</f>
        <v>#DIV/0!</v>
      </c>
      <c r="AI256" s="1"/>
      <c r="AJ256" s="1"/>
      <c r="AK256" s="1"/>
      <c r="AL256" s="1"/>
      <c r="AM256" s="1"/>
      <c r="AN256" s="1"/>
      <c r="AO256" s="1"/>
      <c r="AP256" s="1"/>
      <c r="AQ256" s="27"/>
      <c r="AR256" s="34"/>
      <c r="AS256" s="94"/>
    </row>
    <row r="257" spans="1:45" ht="12" customHeight="1" x14ac:dyDescent="0.25">
      <c r="A257" s="123"/>
      <c r="B257" s="101"/>
      <c r="C257" s="101"/>
      <c r="D257" s="26" t="s">
        <v>21</v>
      </c>
      <c r="E257" s="1">
        <f t="shared" si="357"/>
        <v>0</v>
      </c>
      <c r="F257" s="1">
        <f t="shared" si="326"/>
        <v>0</v>
      </c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38"/>
      <c r="AR257" s="25"/>
      <c r="AS257" s="25"/>
    </row>
    <row r="258" spans="1:45" ht="12" customHeight="1" x14ac:dyDescent="0.25">
      <c r="A258" s="123" t="s">
        <v>157</v>
      </c>
      <c r="B258" s="101" t="s">
        <v>158</v>
      </c>
      <c r="C258" s="101" t="s">
        <v>151</v>
      </c>
      <c r="D258" s="26" t="s">
        <v>3</v>
      </c>
      <c r="E258" s="1">
        <f t="shared" si="357"/>
        <v>17670.2</v>
      </c>
      <c r="F258" s="1">
        <f t="shared" si="326"/>
        <v>3197.8009999999999</v>
      </c>
      <c r="G258" s="1">
        <f>F258/E258*100</f>
        <v>18.097140949168654</v>
      </c>
      <c r="H258" s="1">
        <f>H259+H260+H261+H262</f>
        <v>400</v>
      </c>
      <c r="I258" s="1">
        <f>I259+I260+I261+I262</f>
        <v>400</v>
      </c>
      <c r="J258" s="1">
        <f>I258/H258*100</f>
        <v>100</v>
      </c>
      <c r="K258" s="1">
        <f t="shared" ref="K258:L258" si="371">K259+K260+K261+K262</f>
        <v>1383.6</v>
      </c>
      <c r="L258" s="1">
        <f t="shared" si="371"/>
        <v>1396.501</v>
      </c>
      <c r="M258" s="1">
        <f>L258/K258*100</f>
        <v>100.93242266551026</v>
      </c>
      <c r="N258" s="1">
        <f t="shared" ref="N258:O258" si="372">N259+N260+N261+N262</f>
        <v>1414.1</v>
      </c>
      <c r="O258" s="1">
        <f t="shared" si="372"/>
        <v>1401.3</v>
      </c>
      <c r="P258" s="1">
        <f>O258/N258*100</f>
        <v>99.094830634325731</v>
      </c>
      <c r="Q258" s="1">
        <f t="shared" ref="Q258:R258" si="373">Q259+Q260+Q261+Q262</f>
        <v>1645.8000000000002</v>
      </c>
      <c r="R258" s="1">
        <f t="shared" si="373"/>
        <v>0</v>
      </c>
      <c r="S258" s="1">
        <f>R258/Q258*100</f>
        <v>0</v>
      </c>
      <c r="T258" s="1">
        <f t="shared" ref="T258:U258" si="374">T259+T260+T261+T262</f>
        <v>1287.2</v>
      </c>
      <c r="U258" s="1">
        <f t="shared" si="374"/>
        <v>0</v>
      </c>
      <c r="V258" s="1">
        <f>U258/T258*100</f>
        <v>0</v>
      </c>
      <c r="W258" s="1">
        <f t="shared" ref="W258:X258" si="375">W259+W260+W261+W262</f>
        <v>2260.5</v>
      </c>
      <c r="X258" s="1">
        <f t="shared" si="375"/>
        <v>0</v>
      </c>
      <c r="Y258" s="1">
        <f>X258/W258*100</f>
        <v>0</v>
      </c>
      <c r="Z258" s="1">
        <f t="shared" ref="Z258:AA258" si="376">Z259+Z260+Z261+Z262</f>
        <v>2110.1999999999998</v>
      </c>
      <c r="AA258" s="1">
        <f t="shared" si="376"/>
        <v>0</v>
      </c>
      <c r="AB258" s="1">
        <f>AA258/Z258*100</f>
        <v>0</v>
      </c>
      <c r="AC258" s="1">
        <f t="shared" ref="AC258:AD258" si="377">AC259+AC260+AC261+AC262</f>
        <v>1242.5999999999999</v>
      </c>
      <c r="AD258" s="1">
        <f t="shared" si="377"/>
        <v>0</v>
      </c>
      <c r="AE258" s="1">
        <f>AD258/AC258*100</f>
        <v>0</v>
      </c>
      <c r="AF258" s="1">
        <f t="shared" ref="AF258:AG258" si="378">AF259+AF260+AF261+AF262</f>
        <v>1065.5</v>
      </c>
      <c r="AG258" s="1">
        <f t="shared" si="378"/>
        <v>0</v>
      </c>
      <c r="AH258" s="1"/>
      <c r="AI258" s="1">
        <f t="shared" ref="AI258:AJ258" si="379">AI259+AI260+AI261+AI262</f>
        <v>1288.4000000000001</v>
      </c>
      <c r="AJ258" s="1">
        <f t="shared" si="379"/>
        <v>0</v>
      </c>
      <c r="AK258" s="1">
        <f>AJ258/AI258*100</f>
        <v>0</v>
      </c>
      <c r="AL258" s="1">
        <f t="shared" ref="AL258:AM258" si="380">AL259+AL260+AL261+AL262</f>
        <v>1368.2</v>
      </c>
      <c r="AM258" s="1">
        <f t="shared" si="380"/>
        <v>0</v>
      </c>
      <c r="AN258" s="1">
        <f>AM258/AL258*100</f>
        <v>0</v>
      </c>
      <c r="AO258" s="1">
        <f t="shared" ref="AO258" si="381">AO259+AO260+AO261+AO262</f>
        <v>2204.1</v>
      </c>
      <c r="AP258" s="1"/>
      <c r="AQ258" s="27"/>
      <c r="AR258" s="25"/>
      <c r="AS258" s="25"/>
    </row>
    <row r="259" spans="1:45" x14ac:dyDescent="0.25">
      <c r="A259" s="123"/>
      <c r="B259" s="101"/>
      <c r="C259" s="101"/>
      <c r="D259" s="26" t="s">
        <v>20</v>
      </c>
      <c r="E259" s="1">
        <f t="shared" si="357"/>
        <v>0</v>
      </c>
      <c r="F259" s="1">
        <f t="shared" si="326"/>
        <v>0</v>
      </c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27"/>
      <c r="AR259" s="25"/>
      <c r="AS259" s="25"/>
    </row>
    <row r="260" spans="1:45" ht="24" x14ac:dyDescent="0.25">
      <c r="A260" s="123"/>
      <c r="B260" s="101"/>
      <c r="C260" s="101"/>
      <c r="D260" s="26" t="s">
        <v>4</v>
      </c>
      <c r="E260" s="1">
        <f t="shared" si="357"/>
        <v>200</v>
      </c>
      <c r="F260" s="1">
        <f t="shared" si="326"/>
        <v>0</v>
      </c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>
        <v>200</v>
      </c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27"/>
      <c r="AR260" s="25"/>
      <c r="AS260" s="25"/>
    </row>
    <row r="261" spans="1:45" ht="26.25" customHeight="1" x14ac:dyDescent="0.25">
      <c r="A261" s="123"/>
      <c r="B261" s="101"/>
      <c r="C261" s="101"/>
      <c r="D261" s="26" t="s">
        <v>43</v>
      </c>
      <c r="E261" s="1">
        <f t="shared" si="357"/>
        <v>17470.2</v>
      </c>
      <c r="F261" s="1">
        <f t="shared" si="326"/>
        <v>3197.8009999999999</v>
      </c>
      <c r="G261" s="1">
        <f t="shared" ref="G261" si="382">F261/E261*100</f>
        <v>18.304318210438346</v>
      </c>
      <c r="H261" s="1">
        <v>400</v>
      </c>
      <c r="I261" s="1">
        <v>400</v>
      </c>
      <c r="J261" s="1">
        <f t="shared" ref="J261" si="383">I261/H261*100</f>
        <v>100</v>
      </c>
      <c r="K261" s="1">
        <v>1383.6</v>
      </c>
      <c r="L261" s="1">
        <v>1396.501</v>
      </c>
      <c r="M261" s="1">
        <f t="shared" ref="M261" si="384">L261/K261*100</f>
        <v>100.93242266551026</v>
      </c>
      <c r="N261" s="1">
        <f>1414.1</f>
        <v>1414.1</v>
      </c>
      <c r="O261" s="1">
        <v>1401.3</v>
      </c>
      <c r="P261" s="1">
        <f t="shared" ref="P261" si="385">O261/N261*100</f>
        <v>99.094830634325731</v>
      </c>
      <c r="Q261" s="1">
        <f>1149.7+296.1</f>
        <v>1445.8000000000002</v>
      </c>
      <c r="R261" s="1"/>
      <c r="S261" s="1">
        <f t="shared" ref="S261" si="386">R261/Q261*100</f>
        <v>0</v>
      </c>
      <c r="T261" s="1">
        <v>1287.2</v>
      </c>
      <c r="U261" s="1"/>
      <c r="V261" s="1">
        <f t="shared" ref="V261" si="387">U261/T261*100</f>
        <v>0</v>
      </c>
      <c r="W261" s="1">
        <v>2260.5</v>
      </c>
      <c r="X261" s="1"/>
      <c r="Y261" s="1">
        <f t="shared" ref="Y261" si="388">X261/W261*100</f>
        <v>0</v>
      </c>
      <c r="Z261" s="1">
        <v>2110.1999999999998</v>
      </c>
      <c r="AA261" s="1"/>
      <c r="AB261" s="1">
        <f t="shared" ref="AB261" si="389">AA261/Z261*100</f>
        <v>0</v>
      </c>
      <c r="AC261" s="1">
        <v>1242.5999999999999</v>
      </c>
      <c r="AD261" s="1"/>
      <c r="AE261" s="1">
        <f t="shared" ref="AE261" si="390">AD261/AC261*100</f>
        <v>0</v>
      </c>
      <c r="AF261" s="1">
        <v>1065.5</v>
      </c>
      <c r="AG261" s="1"/>
      <c r="AH261" s="1"/>
      <c r="AI261" s="1">
        <v>1288.4000000000001</v>
      </c>
      <c r="AJ261" s="1"/>
      <c r="AK261" s="1">
        <f t="shared" ref="AK261" si="391">AJ261/AI261*100</f>
        <v>0</v>
      </c>
      <c r="AL261" s="1">
        <v>1368.2</v>
      </c>
      <c r="AM261" s="1"/>
      <c r="AN261" s="1">
        <f t="shared" ref="AN261" si="392">AM261/AL261*100</f>
        <v>0</v>
      </c>
      <c r="AO261" s="1">
        <v>2204.1</v>
      </c>
      <c r="AP261" s="1"/>
      <c r="AQ261" s="27"/>
      <c r="AR261" s="94" t="s">
        <v>191</v>
      </c>
      <c r="AS261" s="94"/>
    </row>
    <row r="262" spans="1:45" ht="12" customHeight="1" x14ac:dyDescent="0.25">
      <c r="A262" s="123"/>
      <c r="B262" s="101"/>
      <c r="C262" s="101"/>
      <c r="D262" s="26" t="s">
        <v>21</v>
      </c>
      <c r="E262" s="1">
        <f t="shared" si="357"/>
        <v>0</v>
      </c>
      <c r="F262" s="1">
        <f t="shared" si="326"/>
        <v>0</v>
      </c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38"/>
      <c r="AR262" s="25"/>
      <c r="AS262" s="25"/>
    </row>
    <row r="263" spans="1:45" ht="12.6" customHeight="1" x14ac:dyDescent="0.25">
      <c r="A263" s="126" t="s">
        <v>15</v>
      </c>
      <c r="B263" s="127"/>
      <c r="C263" s="128"/>
      <c r="D263" s="29" t="s">
        <v>3</v>
      </c>
      <c r="E263" s="30">
        <f>H263+K263+N263+Q263+T263+W263+Z263+AC263+AF263+AI263+AL263+AO263</f>
        <v>18779.699999999997</v>
      </c>
      <c r="F263" s="30">
        <f>I263+L263+O263+R263+U263+X263+AA263+AD263+AG263+AJ263+AM263+AP263</f>
        <v>3329.6009999999997</v>
      </c>
      <c r="G263" s="30">
        <f>F263/E263*100</f>
        <v>17.729788015783001</v>
      </c>
      <c r="H263" s="30">
        <f>H264+H265+H266+H267</f>
        <v>400</v>
      </c>
      <c r="I263" s="30">
        <f>I264+I265+I266+I267</f>
        <v>400</v>
      </c>
      <c r="J263" s="30">
        <f>I263/H263*100</f>
        <v>100</v>
      </c>
      <c r="K263" s="30">
        <f t="shared" ref="K263:AO263" si="393">K265+K266</f>
        <v>1409.3999999999999</v>
      </c>
      <c r="L263" s="30">
        <f t="shared" si="393"/>
        <v>1422.3009999999999</v>
      </c>
      <c r="M263" s="30">
        <f>L263/K263*100</f>
        <v>100.91535405136938</v>
      </c>
      <c r="N263" s="30">
        <f t="shared" si="393"/>
        <v>1520.1</v>
      </c>
      <c r="O263" s="30">
        <f t="shared" si="393"/>
        <v>1507.3</v>
      </c>
      <c r="P263" s="30">
        <f>O263/N263*100</f>
        <v>99.157950134859547</v>
      </c>
      <c r="Q263" s="30">
        <f t="shared" si="393"/>
        <v>1753.8000000000002</v>
      </c>
      <c r="R263" s="30">
        <f t="shared" si="393"/>
        <v>0</v>
      </c>
      <c r="S263" s="30">
        <f>R263/Q263*100</f>
        <v>0</v>
      </c>
      <c r="T263" s="30">
        <f t="shared" si="393"/>
        <v>1311.2</v>
      </c>
      <c r="U263" s="30">
        <f t="shared" si="393"/>
        <v>0</v>
      </c>
      <c r="V263" s="30">
        <f>U263/T263*100</f>
        <v>0</v>
      </c>
      <c r="W263" s="30">
        <f t="shared" si="393"/>
        <v>2850.3</v>
      </c>
      <c r="X263" s="30">
        <f t="shared" si="393"/>
        <v>0</v>
      </c>
      <c r="Y263" s="30">
        <f>X263/W263*100</f>
        <v>0</v>
      </c>
      <c r="Z263" s="30">
        <f t="shared" ref="Z263:AA263" si="394">Z265+Z266</f>
        <v>2110.1999999999998</v>
      </c>
      <c r="AA263" s="30">
        <f t="shared" si="394"/>
        <v>0</v>
      </c>
      <c r="AB263" s="30">
        <f>AA263/Z263*100</f>
        <v>0</v>
      </c>
      <c r="AC263" s="30">
        <f t="shared" si="393"/>
        <v>1242.5999999999999</v>
      </c>
      <c r="AD263" s="30">
        <f t="shared" si="393"/>
        <v>0</v>
      </c>
      <c r="AE263" s="30">
        <f>AD263/AC263*100</f>
        <v>0</v>
      </c>
      <c r="AF263" s="30">
        <f>AF265+AF266</f>
        <v>1065.5</v>
      </c>
      <c r="AG263" s="30">
        <f>AG265+AG266</f>
        <v>0</v>
      </c>
      <c r="AH263" s="30">
        <f>AG263/AF263*100</f>
        <v>0</v>
      </c>
      <c r="AI263" s="30">
        <f t="shared" si="393"/>
        <v>1390.4</v>
      </c>
      <c r="AJ263" s="30">
        <f t="shared" si="393"/>
        <v>0</v>
      </c>
      <c r="AK263" s="30">
        <f>AJ263/AI263*100</f>
        <v>0</v>
      </c>
      <c r="AL263" s="30">
        <f t="shared" si="393"/>
        <v>1522.1000000000001</v>
      </c>
      <c r="AM263" s="30">
        <f t="shared" si="393"/>
        <v>0</v>
      </c>
      <c r="AN263" s="30">
        <f>AM263/AL263*100</f>
        <v>0</v>
      </c>
      <c r="AO263" s="30">
        <f t="shared" si="393"/>
        <v>2204.1</v>
      </c>
      <c r="AP263" s="30"/>
      <c r="AQ263" s="30">
        <f>AP263/AO263*100</f>
        <v>0</v>
      </c>
      <c r="AR263" s="25"/>
      <c r="AS263" s="25"/>
    </row>
    <row r="264" spans="1:45" x14ac:dyDescent="0.25">
      <c r="A264" s="129"/>
      <c r="B264" s="130"/>
      <c r="C264" s="131"/>
      <c r="D264" s="29" t="s">
        <v>20</v>
      </c>
      <c r="E264" s="30">
        <f t="shared" si="326"/>
        <v>0</v>
      </c>
      <c r="F264" s="30">
        <f t="shared" si="326"/>
        <v>0</v>
      </c>
      <c r="G264" s="30"/>
      <c r="H264" s="30">
        <f>H233+H243+H248+H254+H259</f>
        <v>0</v>
      </c>
      <c r="I264" s="30">
        <f>I233+I243+I248+I254+I259</f>
        <v>0</v>
      </c>
      <c r="J264" s="30"/>
      <c r="K264" s="30">
        <f>K233+K243+K248+K254+K259</f>
        <v>0</v>
      </c>
      <c r="L264" s="30">
        <f>L233+L243+L248+L254+L259</f>
        <v>0</v>
      </c>
      <c r="M264" s="30"/>
      <c r="N264" s="30">
        <f>N233+N243+N248+N254+N259</f>
        <v>0</v>
      </c>
      <c r="O264" s="30">
        <f>O233+O243+O248+O254+O259</f>
        <v>0</v>
      </c>
      <c r="P264" s="30"/>
      <c r="Q264" s="30">
        <f>Q233+Q243+Q248+Q254+Q259</f>
        <v>0</v>
      </c>
      <c r="R264" s="30">
        <f>R233+R243+R248+R254+R259</f>
        <v>0</v>
      </c>
      <c r="S264" s="30"/>
      <c r="T264" s="30">
        <f>T233+T243+T248+T254+T259</f>
        <v>0</v>
      </c>
      <c r="U264" s="30">
        <f>U233+U243+U248+U254+U259</f>
        <v>0</v>
      </c>
      <c r="V264" s="30"/>
      <c r="W264" s="30">
        <f>W233+W243+W248+W254+W259</f>
        <v>0</v>
      </c>
      <c r="X264" s="30">
        <f>X233+X243+X248+X254+X259</f>
        <v>0</v>
      </c>
      <c r="Y264" s="30"/>
      <c r="Z264" s="30">
        <f>Z233+Z243+Z248+Z254+Z259</f>
        <v>0</v>
      </c>
      <c r="AA264" s="30">
        <f>AA233+AA243+AA248+AA254+AA259</f>
        <v>0</v>
      </c>
      <c r="AB264" s="30"/>
      <c r="AC264" s="30">
        <f>AC233+AC243+AC248+AC254+AC259</f>
        <v>0</v>
      </c>
      <c r="AD264" s="30">
        <f>AD233+AD243+AD248+AD254+AD259</f>
        <v>0</v>
      </c>
      <c r="AE264" s="30"/>
      <c r="AF264" s="30">
        <f>AF233+AF243+AF248+AF254+AF259</f>
        <v>0</v>
      </c>
      <c r="AG264" s="30">
        <f>AG233+AG243+AG248+AG254+AG259</f>
        <v>0</v>
      </c>
      <c r="AH264" s="30"/>
      <c r="AI264" s="30">
        <f>AI233+AI243+AI248+AI254+AI259</f>
        <v>0</v>
      </c>
      <c r="AJ264" s="30">
        <f>AJ233+AJ243+AJ248+AJ254+AJ259</f>
        <v>0</v>
      </c>
      <c r="AK264" s="30"/>
      <c r="AL264" s="30">
        <f>AL233+AL243+AL248+AL254+AL259</f>
        <v>0</v>
      </c>
      <c r="AM264" s="30">
        <f>AM233+AM243+AM248+AM254+AM259</f>
        <v>0</v>
      </c>
      <c r="AN264" s="30"/>
      <c r="AO264" s="30">
        <f>AO233+AO243+AO248+AO254+AO259</f>
        <v>0</v>
      </c>
      <c r="AP264" s="1"/>
      <c r="AQ264" s="30"/>
      <c r="AR264" s="25"/>
      <c r="AS264" s="25"/>
    </row>
    <row r="265" spans="1:45" ht="24" customHeight="1" x14ac:dyDescent="0.25">
      <c r="A265" s="129"/>
      <c r="B265" s="130"/>
      <c r="C265" s="131"/>
      <c r="D265" s="29" t="s">
        <v>4</v>
      </c>
      <c r="E265" s="30">
        <f t="shared" si="326"/>
        <v>200</v>
      </c>
      <c r="F265" s="30">
        <f t="shared" si="326"/>
        <v>0</v>
      </c>
      <c r="G265" s="30"/>
      <c r="H265" s="30">
        <f t="shared" ref="H265:I267" si="395">H234+H244+H249+H255+H260</f>
        <v>0</v>
      </c>
      <c r="I265" s="30">
        <f t="shared" si="395"/>
        <v>0</v>
      </c>
      <c r="J265" s="30"/>
      <c r="K265" s="30">
        <f t="shared" ref="K265:L267" si="396">K234+K244+K249+K255+K260</f>
        <v>0</v>
      </c>
      <c r="L265" s="30">
        <f t="shared" si="396"/>
        <v>0</v>
      </c>
      <c r="M265" s="30"/>
      <c r="N265" s="30">
        <f t="shared" ref="N265:O267" si="397">N234+N244+N249+N255+N260</f>
        <v>0</v>
      </c>
      <c r="O265" s="30">
        <f t="shared" si="397"/>
        <v>0</v>
      </c>
      <c r="P265" s="30"/>
      <c r="Q265" s="30">
        <f t="shared" ref="Q265:R267" si="398">Q234+Q244+Q249+Q255+Q260</f>
        <v>200</v>
      </c>
      <c r="R265" s="30">
        <f t="shared" si="398"/>
        <v>0</v>
      </c>
      <c r="S265" s="30"/>
      <c r="T265" s="30">
        <f t="shared" ref="T265:U267" si="399">T234+T244+T249+T255+T260</f>
        <v>0</v>
      </c>
      <c r="U265" s="30">
        <f t="shared" si="399"/>
        <v>0</v>
      </c>
      <c r="V265" s="30"/>
      <c r="W265" s="30">
        <f t="shared" ref="W265:X267" si="400">W234+W244+W249+W255+W260</f>
        <v>0</v>
      </c>
      <c r="X265" s="30">
        <f t="shared" si="400"/>
        <v>0</v>
      </c>
      <c r="Y265" s="30"/>
      <c r="Z265" s="30">
        <f t="shared" ref="Z265:AA267" si="401">Z234+Z244+Z249+Z255+Z260</f>
        <v>0</v>
      </c>
      <c r="AA265" s="30">
        <f t="shared" si="401"/>
        <v>0</v>
      </c>
      <c r="AB265" s="30"/>
      <c r="AC265" s="30">
        <f t="shared" ref="AC265:AD267" si="402">AC234+AC244+AC249+AC255+AC260</f>
        <v>0</v>
      </c>
      <c r="AD265" s="30">
        <f t="shared" si="402"/>
        <v>0</v>
      </c>
      <c r="AE265" s="30"/>
      <c r="AF265" s="30">
        <f t="shared" ref="AF265:AG267" si="403">AF234+AF244+AF249+AF255+AF260</f>
        <v>0</v>
      </c>
      <c r="AG265" s="30">
        <f t="shared" si="403"/>
        <v>0</v>
      </c>
      <c r="AH265" s="30"/>
      <c r="AI265" s="30">
        <f t="shared" ref="AI265:AJ267" si="404">AI234+AI244+AI249+AI255+AI260</f>
        <v>0</v>
      </c>
      <c r="AJ265" s="30">
        <f t="shared" si="404"/>
        <v>0</v>
      </c>
      <c r="AK265" s="30"/>
      <c r="AL265" s="30">
        <f t="shared" ref="AL265:AM267" si="405">AL234+AL244+AL249+AL255+AL260</f>
        <v>0</v>
      </c>
      <c r="AM265" s="30">
        <f t="shared" si="405"/>
        <v>0</v>
      </c>
      <c r="AN265" s="30"/>
      <c r="AO265" s="30">
        <f t="shared" ref="AO265:AO267" si="406">AO234+AO244+AO249+AO255+AO260</f>
        <v>0</v>
      </c>
      <c r="AP265" s="1"/>
      <c r="AQ265" s="30"/>
      <c r="AR265" s="25"/>
      <c r="AS265" s="25"/>
    </row>
    <row r="266" spans="1:45" ht="12.6" customHeight="1" x14ac:dyDescent="0.25">
      <c r="A266" s="129"/>
      <c r="B266" s="130"/>
      <c r="C266" s="131"/>
      <c r="D266" s="29" t="s">
        <v>43</v>
      </c>
      <c r="E266" s="30">
        <f t="shared" si="326"/>
        <v>18579.7</v>
      </c>
      <c r="F266" s="30">
        <f t="shared" si="326"/>
        <v>3329.6009999999997</v>
      </c>
      <c r="G266" s="30">
        <f t="shared" ref="G266" si="407">F266/E266*100</f>
        <v>17.920639192236688</v>
      </c>
      <c r="H266" s="30">
        <f t="shared" si="395"/>
        <v>400</v>
      </c>
      <c r="I266" s="30">
        <f t="shared" si="395"/>
        <v>400</v>
      </c>
      <c r="J266" s="30">
        <f t="shared" ref="J266" si="408">I266/H266*100</f>
        <v>100</v>
      </c>
      <c r="K266" s="30">
        <f t="shared" si="396"/>
        <v>1409.3999999999999</v>
      </c>
      <c r="L266" s="30">
        <f t="shared" si="396"/>
        <v>1422.3009999999999</v>
      </c>
      <c r="M266" s="30">
        <f t="shared" ref="M266" si="409">L266/K266*100</f>
        <v>100.91535405136938</v>
      </c>
      <c r="N266" s="30">
        <f t="shared" si="397"/>
        <v>1520.1</v>
      </c>
      <c r="O266" s="30">
        <f t="shared" si="397"/>
        <v>1507.3</v>
      </c>
      <c r="P266" s="30">
        <f t="shared" ref="P266" si="410">O266/N266*100</f>
        <v>99.157950134859547</v>
      </c>
      <c r="Q266" s="30">
        <f t="shared" si="398"/>
        <v>1553.8000000000002</v>
      </c>
      <c r="R266" s="30">
        <f t="shared" si="398"/>
        <v>0</v>
      </c>
      <c r="S266" s="30">
        <f t="shared" ref="S266" si="411">R266/Q266*100</f>
        <v>0</v>
      </c>
      <c r="T266" s="30">
        <f t="shared" si="399"/>
        <v>1311.2</v>
      </c>
      <c r="U266" s="30">
        <f t="shared" si="399"/>
        <v>0</v>
      </c>
      <c r="V266" s="30">
        <f t="shared" ref="V266" si="412">U266/T266*100</f>
        <v>0</v>
      </c>
      <c r="W266" s="30">
        <f t="shared" si="400"/>
        <v>2850.3</v>
      </c>
      <c r="X266" s="30">
        <f t="shared" si="400"/>
        <v>0</v>
      </c>
      <c r="Y266" s="30">
        <f t="shared" ref="Y266" si="413">X266/W266*100</f>
        <v>0</v>
      </c>
      <c r="Z266" s="30">
        <f t="shared" si="401"/>
        <v>2110.1999999999998</v>
      </c>
      <c r="AA266" s="30">
        <f t="shared" si="401"/>
        <v>0</v>
      </c>
      <c r="AB266" s="30">
        <f t="shared" ref="AB266" si="414">AA266/Z266*100</f>
        <v>0</v>
      </c>
      <c r="AC266" s="30">
        <f t="shared" si="402"/>
        <v>1242.5999999999999</v>
      </c>
      <c r="AD266" s="30">
        <f t="shared" si="402"/>
        <v>0</v>
      </c>
      <c r="AE266" s="30">
        <f>AD266/AC266*100</f>
        <v>0</v>
      </c>
      <c r="AF266" s="30">
        <f t="shared" si="403"/>
        <v>1065.5</v>
      </c>
      <c r="AG266" s="30">
        <f t="shared" si="403"/>
        <v>0</v>
      </c>
      <c r="AH266" s="30">
        <f t="shared" ref="AH266" si="415">AG266/AF266*100</f>
        <v>0</v>
      </c>
      <c r="AI266" s="30">
        <f t="shared" si="404"/>
        <v>1390.4</v>
      </c>
      <c r="AJ266" s="30">
        <f t="shared" si="404"/>
        <v>0</v>
      </c>
      <c r="AK266" s="30">
        <f t="shared" ref="AK266" si="416">AJ266/AI266*100</f>
        <v>0</v>
      </c>
      <c r="AL266" s="30">
        <f t="shared" si="405"/>
        <v>1522.1000000000001</v>
      </c>
      <c r="AM266" s="30">
        <f t="shared" si="405"/>
        <v>0</v>
      </c>
      <c r="AN266" s="30">
        <f t="shared" ref="AN266" si="417">AM266/AL266*100</f>
        <v>0</v>
      </c>
      <c r="AO266" s="30">
        <f t="shared" si="406"/>
        <v>2204.1</v>
      </c>
      <c r="AP266" s="1"/>
      <c r="AQ266" s="30">
        <f t="shared" ref="AQ266" si="418">AP266/AO266*100</f>
        <v>0</v>
      </c>
      <c r="AR266" s="25"/>
      <c r="AS266" s="25"/>
    </row>
    <row r="267" spans="1:45" ht="14.25" customHeight="1" x14ac:dyDescent="0.25">
      <c r="A267" s="129"/>
      <c r="B267" s="130"/>
      <c r="C267" s="131"/>
      <c r="D267" s="29" t="s">
        <v>21</v>
      </c>
      <c r="E267" s="42">
        <f t="shared" si="326"/>
        <v>0</v>
      </c>
      <c r="F267" s="42">
        <f t="shared" si="326"/>
        <v>0</v>
      </c>
      <c r="G267" s="1"/>
      <c r="H267" s="30">
        <f t="shared" si="395"/>
        <v>0</v>
      </c>
      <c r="I267" s="1">
        <f>I236+I246+I251+I257</f>
        <v>0</v>
      </c>
      <c r="J267" s="42"/>
      <c r="K267" s="30">
        <f t="shared" si="396"/>
        <v>0</v>
      </c>
      <c r="L267" s="1">
        <f>L236+L246+L251+L257</f>
        <v>0</v>
      </c>
      <c r="M267" s="30"/>
      <c r="N267" s="30">
        <f t="shared" si="397"/>
        <v>0</v>
      </c>
      <c r="O267" s="1">
        <f>O236+O246+O251+O257</f>
        <v>0</v>
      </c>
      <c r="P267" s="42"/>
      <c r="Q267" s="30">
        <f t="shared" si="398"/>
        <v>0</v>
      </c>
      <c r="R267" s="1">
        <f>R236+R246+R251+R257</f>
        <v>0</v>
      </c>
      <c r="S267" s="42"/>
      <c r="T267" s="30">
        <f t="shared" si="399"/>
        <v>0</v>
      </c>
      <c r="U267" s="1">
        <f>U236+U246+U251+U257</f>
        <v>0</v>
      </c>
      <c r="V267" s="1"/>
      <c r="W267" s="30">
        <f t="shared" si="400"/>
        <v>0</v>
      </c>
      <c r="X267" s="30">
        <f>X236+X246+X251+X257</f>
        <v>0</v>
      </c>
      <c r="Y267" s="1"/>
      <c r="Z267" s="30">
        <f t="shared" si="401"/>
        <v>0</v>
      </c>
      <c r="AA267" s="30">
        <f>AA236+AA246+AA251+AA257</f>
        <v>0</v>
      </c>
      <c r="AB267" s="42"/>
      <c r="AC267" s="30">
        <f t="shared" si="402"/>
        <v>0</v>
      </c>
      <c r="AD267" s="30">
        <f>AD236+AD246+AD251+AD257</f>
        <v>0</v>
      </c>
      <c r="AE267" s="42"/>
      <c r="AF267" s="30">
        <f t="shared" si="403"/>
        <v>0</v>
      </c>
      <c r="AG267" s="30">
        <f t="shared" si="403"/>
        <v>0</v>
      </c>
      <c r="AH267" s="42"/>
      <c r="AI267" s="30">
        <f t="shared" si="404"/>
        <v>0</v>
      </c>
      <c r="AJ267" s="30">
        <f>AJ236+AJ246+AJ251+AJ257</f>
        <v>0</v>
      </c>
      <c r="AK267" s="42"/>
      <c r="AL267" s="30">
        <f t="shared" si="405"/>
        <v>0</v>
      </c>
      <c r="AM267" s="30">
        <f t="shared" si="405"/>
        <v>0</v>
      </c>
      <c r="AN267" s="42"/>
      <c r="AO267" s="30">
        <f t="shared" si="406"/>
        <v>0</v>
      </c>
      <c r="AP267" s="43"/>
      <c r="AQ267" s="44"/>
      <c r="AR267" s="25"/>
      <c r="AS267" s="25"/>
    </row>
    <row r="268" spans="1:45" ht="12" hidden="1" customHeight="1" x14ac:dyDescent="0.25">
      <c r="A268" s="132"/>
      <c r="B268" s="133"/>
      <c r="C268" s="134"/>
      <c r="D268" s="29" t="s">
        <v>115</v>
      </c>
      <c r="E268" s="42"/>
      <c r="F268" s="42"/>
      <c r="G268" s="1"/>
      <c r="H268" s="43"/>
      <c r="I268" s="43"/>
      <c r="J268" s="42"/>
      <c r="K268" s="43"/>
      <c r="L268" s="43"/>
      <c r="M268" s="30"/>
      <c r="N268" s="43"/>
      <c r="O268" s="43"/>
      <c r="P268" s="42"/>
      <c r="Q268" s="43"/>
      <c r="R268" s="43"/>
      <c r="S268" s="42"/>
      <c r="T268" s="43"/>
      <c r="U268" s="43"/>
      <c r="V268" s="1"/>
      <c r="W268" s="43"/>
      <c r="X268" s="43"/>
      <c r="Y268" s="1"/>
      <c r="Z268" s="42"/>
      <c r="AA268" s="42"/>
      <c r="AB268" s="42"/>
      <c r="AC268" s="43"/>
      <c r="AD268" s="43"/>
      <c r="AE268" s="42"/>
      <c r="AF268" s="43"/>
      <c r="AG268" s="43"/>
      <c r="AH268" s="42"/>
      <c r="AI268" s="43"/>
      <c r="AJ268" s="43"/>
      <c r="AK268" s="42"/>
      <c r="AL268" s="43"/>
      <c r="AM268" s="43"/>
      <c r="AN268" s="42"/>
      <c r="AO268" s="43"/>
      <c r="AP268" s="43"/>
      <c r="AQ268" s="44"/>
      <c r="AR268" s="25"/>
      <c r="AS268" s="25"/>
    </row>
    <row r="269" spans="1:45" ht="18.600000000000001" customHeight="1" x14ac:dyDescent="0.25">
      <c r="A269" s="45" t="s">
        <v>78</v>
      </c>
      <c r="B269" s="23" t="s">
        <v>16</v>
      </c>
      <c r="C269" s="46"/>
      <c r="D269" s="46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  <c r="AF269" s="47"/>
      <c r="AG269" s="47"/>
      <c r="AH269" s="47"/>
      <c r="AI269" s="47"/>
      <c r="AJ269" s="47"/>
      <c r="AK269" s="47"/>
      <c r="AL269" s="47"/>
      <c r="AM269" s="47"/>
      <c r="AN269" s="47"/>
      <c r="AO269" s="47"/>
      <c r="AP269" s="46"/>
      <c r="AQ269" s="46"/>
      <c r="AR269" s="25"/>
      <c r="AS269" s="25"/>
    </row>
    <row r="270" spans="1:45" ht="15" customHeight="1" x14ac:dyDescent="0.25">
      <c r="A270" s="123" t="s">
        <v>79</v>
      </c>
      <c r="B270" s="101" t="s">
        <v>103</v>
      </c>
      <c r="C270" s="101" t="s">
        <v>148</v>
      </c>
      <c r="D270" s="26" t="s">
        <v>3</v>
      </c>
      <c r="E270" s="1">
        <f t="shared" ref="E270:F289" si="419">H270+K270+N270+Q270+T270+W270+Z270+AC270+AF270+AI270+AL270+AO270</f>
        <v>13867.800000000003</v>
      </c>
      <c r="F270" s="1">
        <f t="shared" si="419"/>
        <v>553.1</v>
      </c>
      <c r="G270" s="1">
        <f>F270/E270*100</f>
        <v>3.9883759500425442</v>
      </c>
      <c r="H270" s="1">
        <f>H271+H272+H273+H274</f>
        <v>0</v>
      </c>
      <c r="I270" s="1"/>
      <c r="J270" s="27"/>
      <c r="K270" s="1">
        <f t="shared" ref="K270:AO270" si="420">K271+K272+K273+K274</f>
        <v>0</v>
      </c>
      <c r="L270" s="1">
        <f t="shared" si="420"/>
        <v>0</v>
      </c>
      <c r="M270" s="1"/>
      <c r="N270" s="1">
        <f t="shared" si="420"/>
        <v>805.90000000000009</v>
      </c>
      <c r="O270" s="1">
        <f t="shared" si="420"/>
        <v>553.1</v>
      </c>
      <c r="P270" s="1">
        <f t="shared" ref="P270" si="421">O270/N270*100</f>
        <v>68.631343839186002</v>
      </c>
      <c r="Q270" s="1">
        <f t="shared" si="420"/>
        <v>3016.8</v>
      </c>
      <c r="R270" s="1">
        <f t="shared" si="420"/>
        <v>0</v>
      </c>
      <c r="S270" s="1">
        <f>R270/Q270*100</f>
        <v>0</v>
      </c>
      <c r="T270" s="1">
        <f t="shared" si="420"/>
        <v>0</v>
      </c>
      <c r="U270" s="1">
        <f t="shared" si="420"/>
        <v>0</v>
      </c>
      <c r="V270" s="1"/>
      <c r="W270" s="1">
        <f t="shared" si="420"/>
        <v>2619.9</v>
      </c>
      <c r="X270" s="1">
        <f t="shared" si="420"/>
        <v>0</v>
      </c>
      <c r="Y270" s="1">
        <f>X270/W270*100</f>
        <v>0</v>
      </c>
      <c r="Z270" s="1">
        <f t="shared" si="420"/>
        <v>3889.3</v>
      </c>
      <c r="AA270" s="1">
        <f t="shared" si="420"/>
        <v>0</v>
      </c>
      <c r="AB270" s="1">
        <f>AA270/Z270*100</f>
        <v>0</v>
      </c>
      <c r="AC270" s="1">
        <f t="shared" si="420"/>
        <v>1139.5</v>
      </c>
      <c r="AD270" s="1">
        <f t="shared" si="420"/>
        <v>0</v>
      </c>
      <c r="AE270" s="1">
        <f>AD270/AC270*100</f>
        <v>0</v>
      </c>
      <c r="AF270" s="1">
        <f t="shared" si="420"/>
        <v>0</v>
      </c>
      <c r="AG270" s="1">
        <f t="shared" si="420"/>
        <v>0</v>
      </c>
      <c r="AH270" s="1" t="e">
        <f>AG270/AF270*100</f>
        <v>#DIV/0!</v>
      </c>
      <c r="AI270" s="1">
        <f t="shared" si="420"/>
        <v>966.2</v>
      </c>
      <c r="AJ270" s="1">
        <f t="shared" si="420"/>
        <v>0</v>
      </c>
      <c r="AK270" s="1">
        <f>AJ270/AI270*100</f>
        <v>0</v>
      </c>
      <c r="AL270" s="1">
        <f t="shared" si="420"/>
        <v>1430.1999999999998</v>
      </c>
      <c r="AM270" s="1">
        <f t="shared" si="420"/>
        <v>0</v>
      </c>
      <c r="AN270" s="1">
        <f>AM270/AL270*100</f>
        <v>0</v>
      </c>
      <c r="AO270" s="1">
        <f t="shared" si="420"/>
        <v>0</v>
      </c>
      <c r="AP270" s="1"/>
      <c r="AQ270" s="1" t="e">
        <f>AP270/AO270*100</f>
        <v>#DIV/0!</v>
      </c>
      <c r="AR270" s="25"/>
      <c r="AS270" s="25"/>
    </row>
    <row r="271" spans="1:45" ht="15" customHeight="1" x14ac:dyDescent="0.25">
      <c r="A271" s="123"/>
      <c r="B271" s="101"/>
      <c r="C271" s="101"/>
      <c r="D271" s="26" t="s">
        <v>20</v>
      </c>
      <c r="E271" s="1">
        <f t="shared" si="419"/>
        <v>0</v>
      </c>
      <c r="F271" s="1">
        <f t="shared" si="419"/>
        <v>0</v>
      </c>
      <c r="G271" s="1"/>
      <c r="H271" s="1"/>
      <c r="I271" s="1"/>
      <c r="J271" s="27"/>
      <c r="K271" s="1"/>
      <c r="L271" s="1"/>
      <c r="M271" s="27"/>
      <c r="N271" s="1"/>
      <c r="O271" s="1"/>
      <c r="P271" s="27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25"/>
      <c r="AS271" s="25"/>
    </row>
    <row r="272" spans="1:45" ht="24" x14ac:dyDescent="0.25">
      <c r="A272" s="123"/>
      <c r="B272" s="101"/>
      <c r="C272" s="101"/>
      <c r="D272" s="26" t="s">
        <v>4</v>
      </c>
      <c r="E272" s="1">
        <f t="shared" si="419"/>
        <v>7956.2999999999993</v>
      </c>
      <c r="F272" s="1">
        <f t="shared" si="419"/>
        <v>0</v>
      </c>
      <c r="G272" s="1">
        <f t="shared" ref="G272:G273" si="422">F272/E272*100</f>
        <v>0</v>
      </c>
      <c r="H272" s="1"/>
      <c r="I272" s="1"/>
      <c r="J272" s="27"/>
      <c r="K272" s="1"/>
      <c r="L272" s="1"/>
      <c r="M272" s="1"/>
      <c r="N272" s="1"/>
      <c r="O272" s="1"/>
      <c r="P272" s="1"/>
      <c r="Q272" s="1">
        <f>1293+860.5</f>
        <v>2153.5</v>
      </c>
      <c r="R272" s="1"/>
      <c r="S272" s="1">
        <f t="shared" ref="S272:S273" si="423">R272/Q272*100</f>
        <v>0</v>
      </c>
      <c r="T272" s="1"/>
      <c r="U272" s="1"/>
      <c r="V272" s="1"/>
      <c r="W272" s="1">
        <v>762.7</v>
      </c>
      <c r="X272" s="1"/>
      <c r="Y272" s="1">
        <f t="shared" ref="Y272:Y273" si="424">X272/W272*100</f>
        <v>0</v>
      </c>
      <c r="Z272" s="1">
        <v>2672</v>
      </c>
      <c r="AA272" s="1"/>
      <c r="AB272" s="1">
        <f t="shared" ref="AB272:AB273" si="425">AA272/Z272*100</f>
        <v>0</v>
      </c>
      <c r="AC272" s="1">
        <f>2000-860.5</f>
        <v>1139.5</v>
      </c>
      <c r="AD272" s="1"/>
      <c r="AE272" s="1">
        <f t="shared" ref="AE272:AE273" si="426">AD272/AC272*100</f>
        <v>0</v>
      </c>
      <c r="AF272" s="1"/>
      <c r="AG272" s="1"/>
      <c r="AH272" s="1"/>
      <c r="AI272" s="1"/>
      <c r="AJ272" s="1"/>
      <c r="AK272" s="1" t="e">
        <f t="shared" ref="AK272:AK273" si="427">AJ272/AI272*100</f>
        <v>#DIV/0!</v>
      </c>
      <c r="AL272" s="1">
        <v>1228.5999999999999</v>
      </c>
      <c r="AM272" s="1"/>
      <c r="AN272" s="1">
        <f t="shared" ref="AN272:AN273" si="428">AM272/AL272*100</f>
        <v>0</v>
      </c>
      <c r="AO272" s="1"/>
      <c r="AP272" s="1"/>
      <c r="AQ272" s="1" t="e">
        <f t="shared" ref="AQ272" si="429">AP272/AO272*100</f>
        <v>#DIV/0!</v>
      </c>
      <c r="AR272" s="3"/>
      <c r="AS272" s="4"/>
    </row>
    <row r="273" spans="1:45" ht="36.75" customHeight="1" x14ac:dyDescent="0.25">
      <c r="A273" s="123"/>
      <c r="B273" s="101"/>
      <c r="C273" s="101"/>
      <c r="D273" s="26" t="s">
        <v>43</v>
      </c>
      <c r="E273" s="1">
        <f t="shared" si="419"/>
        <v>5911.5000000000009</v>
      </c>
      <c r="F273" s="1">
        <f t="shared" si="419"/>
        <v>553.1</v>
      </c>
      <c r="G273" s="1">
        <f t="shared" si="422"/>
        <v>9.3563393385773477</v>
      </c>
      <c r="H273" s="1"/>
      <c r="I273" s="1"/>
      <c r="J273" s="27"/>
      <c r="K273" s="1"/>
      <c r="L273" s="1"/>
      <c r="M273" s="1"/>
      <c r="N273" s="1">
        <f>852.7-46.8</f>
        <v>805.90000000000009</v>
      </c>
      <c r="O273" s="1">
        <v>553.1</v>
      </c>
      <c r="P273" s="1">
        <f t="shared" ref="P273" si="430">O273/N273*100</f>
        <v>68.631343839186002</v>
      </c>
      <c r="Q273" s="1">
        <f>229+200+434.3</f>
        <v>863.3</v>
      </c>
      <c r="R273" s="1"/>
      <c r="S273" s="1">
        <f t="shared" si="423"/>
        <v>0</v>
      </c>
      <c r="T273" s="1"/>
      <c r="U273" s="1"/>
      <c r="V273" s="1"/>
      <c r="W273" s="1">
        <f>837.2+1020</f>
        <v>1857.2</v>
      </c>
      <c r="X273" s="1"/>
      <c r="Y273" s="1">
        <f t="shared" si="424"/>
        <v>0</v>
      </c>
      <c r="Z273" s="1">
        <f>1589.9-372.6</f>
        <v>1217.3000000000002</v>
      </c>
      <c r="AA273" s="1"/>
      <c r="AB273" s="1">
        <f t="shared" si="425"/>
        <v>0</v>
      </c>
      <c r="AC273" s="1"/>
      <c r="AD273" s="1"/>
      <c r="AE273" s="1" t="e">
        <f t="shared" si="426"/>
        <v>#DIV/0!</v>
      </c>
      <c r="AF273" s="1"/>
      <c r="AG273" s="1"/>
      <c r="AH273" s="1" t="e">
        <f t="shared" ref="AH273" si="431">AG273/AF273*100</f>
        <v>#DIV/0!</v>
      </c>
      <c r="AI273" s="1">
        <v>966.2</v>
      </c>
      <c r="AJ273" s="1"/>
      <c r="AK273" s="1">
        <f t="shared" si="427"/>
        <v>0</v>
      </c>
      <c r="AL273" s="1">
        <f>216.5-14.9</f>
        <v>201.6</v>
      </c>
      <c r="AM273" s="1"/>
      <c r="AN273" s="1">
        <f t="shared" si="428"/>
        <v>0</v>
      </c>
      <c r="AO273" s="1"/>
      <c r="AP273" s="1"/>
      <c r="AQ273" s="1"/>
      <c r="AR273" s="94" t="s">
        <v>188</v>
      </c>
      <c r="AS273" s="4" t="s">
        <v>189</v>
      </c>
    </row>
    <row r="274" spans="1:45" ht="21.6" customHeight="1" x14ac:dyDescent="0.25">
      <c r="A274" s="123"/>
      <c r="B274" s="101"/>
      <c r="C274" s="101"/>
      <c r="D274" s="26" t="s">
        <v>21</v>
      </c>
      <c r="E274" s="1">
        <f t="shared" si="419"/>
        <v>0</v>
      </c>
      <c r="F274" s="1">
        <f t="shared" si="419"/>
        <v>0</v>
      </c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38"/>
      <c r="AR274" s="25"/>
      <c r="AS274" s="25"/>
    </row>
    <row r="275" spans="1:45" ht="12.6" customHeight="1" x14ac:dyDescent="0.25">
      <c r="A275" s="123" t="s">
        <v>80</v>
      </c>
      <c r="B275" s="101" t="s">
        <v>104</v>
      </c>
      <c r="C275" s="101" t="s">
        <v>145</v>
      </c>
      <c r="D275" s="26" t="s">
        <v>3</v>
      </c>
      <c r="E275" s="1">
        <f t="shared" si="419"/>
        <v>9734</v>
      </c>
      <c r="F275" s="1">
        <f t="shared" si="419"/>
        <v>0</v>
      </c>
      <c r="G275" s="1">
        <f>F275/E275*100</f>
        <v>0</v>
      </c>
      <c r="H275" s="1">
        <f>H276+H277+H278+H279</f>
        <v>0</v>
      </c>
      <c r="I275" s="1"/>
      <c r="J275" s="27"/>
      <c r="K275" s="1">
        <f t="shared" ref="K275:AO275" si="432">K276+K277+K278+K279</f>
        <v>0</v>
      </c>
      <c r="L275" s="1"/>
      <c r="M275" s="27"/>
      <c r="N275" s="1">
        <f t="shared" si="432"/>
        <v>0</v>
      </c>
      <c r="O275" s="1"/>
      <c r="P275" s="27"/>
      <c r="Q275" s="1">
        <f t="shared" si="432"/>
        <v>0</v>
      </c>
      <c r="R275" s="1">
        <f t="shared" si="432"/>
        <v>0</v>
      </c>
      <c r="S275" s="1"/>
      <c r="T275" s="1">
        <f t="shared" si="432"/>
        <v>0</v>
      </c>
      <c r="U275" s="1">
        <f t="shared" si="432"/>
        <v>0</v>
      </c>
      <c r="V275" s="1" t="e">
        <f>U275/T275*100</f>
        <v>#DIV/0!</v>
      </c>
      <c r="W275" s="1">
        <f t="shared" si="432"/>
        <v>4617</v>
      </c>
      <c r="X275" s="1">
        <f t="shared" si="432"/>
        <v>0</v>
      </c>
      <c r="Y275" s="1">
        <f>X275/W275*100</f>
        <v>0</v>
      </c>
      <c r="Z275" s="1">
        <f t="shared" si="432"/>
        <v>5117</v>
      </c>
      <c r="AA275" s="1">
        <f t="shared" si="432"/>
        <v>0</v>
      </c>
      <c r="AB275" s="1">
        <f>AA275/Z275*100</f>
        <v>0</v>
      </c>
      <c r="AC275" s="1">
        <f t="shared" si="432"/>
        <v>0</v>
      </c>
      <c r="AD275" s="1">
        <f t="shared" si="432"/>
        <v>0</v>
      </c>
      <c r="AE275" s="1" t="e">
        <f>AD275/AC275*100</f>
        <v>#DIV/0!</v>
      </c>
      <c r="AF275" s="1">
        <f t="shared" si="432"/>
        <v>0</v>
      </c>
      <c r="AG275" s="1">
        <f t="shared" si="432"/>
        <v>0</v>
      </c>
      <c r="AH275" s="1"/>
      <c r="AI275" s="1">
        <f t="shared" si="432"/>
        <v>0</v>
      </c>
      <c r="AJ275" s="1">
        <f t="shared" si="432"/>
        <v>0</v>
      </c>
      <c r="AK275" s="1"/>
      <c r="AL275" s="1">
        <f t="shared" si="432"/>
        <v>0</v>
      </c>
      <c r="AM275" s="1">
        <f t="shared" si="432"/>
        <v>0</v>
      </c>
      <c r="AN275" s="1"/>
      <c r="AO275" s="1">
        <f t="shared" si="432"/>
        <v>0</v>
      </c>
      <c r="AP275" s="1"/>
      <c r="AQ275" s="27"/>
      <c r="AR275" s="25"/>
      <c r="AS275" s="25"/>
    </row>
    <row r="276" spans="1:45" ht="12.6" customHeight="1" x14ac:dyDescent="0.25">
      <c r="A276" s="123"/>
      <c r="B276" s="101"/>
      <c r="C276" s="101"/>
      <c r="D276" s="26" t="s">
        <v>20</v>
      </c>
      <c r="E276" s="1">
        <f t="shared" si="419"/>
        <v>0</v>
      </c>
      <c r="F276" s="1">
        <f t="shared" si="419"/>
        <v>0</v>
      </c>
      <c r="G276" s="1"/>
      <c r="H276" s="1"/>
      <c r="I276" s="1"/>
      <c r="J276" s="27"/>
      <c r="K276" s="1"/>
      <c r="L276" s="1"/>
      <c r="M276" s="27"/>
      <c r="N276" s="1"/>
      <c r="O276" s="1"/>
      <c r="P276" s="27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27"/>
      <c r="AR276" s="25"/>
      <c r="AS276" s="25"/>
    </row>
    <row r="277" spans="1:45" ht="24" x14ac:dyDescent="0.25">
      <c r="A277" s="123"/>
      <c r="B277" s="101"/>
      <c r="C277" s="101"/>
      <c r="D277" s="26" t="s">
        <v>4</v>
      </c>
      <c r="E277" s="1">
        <f t="shared" si="419"/>
        <v>9434</v>
      </c>
      <c r="F277" s="1">
        <f t="shared" si="419"/>
        <v>0</v>
      </c>
      <c r="G277" s="1">
        <f t="shared" ref="G277:G278" si="433">F277/E277*100</f>
        <v>0</v>
      </c>
      <c r="H277" s="1"/>
      <c r="I277" s="1"/>
      <c r="J277" s="27"/>
      <c r="K277" s="1"/>
      <c r="L277" s="1"/>
      <c r="M277" s="27"/>
      <c r="N277" s="1"/>
      <c r="O277" s="1"/>
      <c r="P277" s="27"/>
      <c r="Q277" s="1"/>
      <c r="R277" s="1"/>
      <c r="S277" s="1"/>
      <c r="T277" s="1"/>
      <c r="U277" s="1"/>
      <c r="V277" s="1" t="e">
        <f t="shared" ref="V277" si="434">U277/T277*100</f>
        <v>#DIV/0!</v>
      </c>
      <c r="W277" s="1">
        <f>4000+317</f>
        <v>4317</v>
      </c>
      <c r="X277" s="1"/>
      <c r="Y277" s="1">
        <f t="shared" ref="Y277:Y278" si="435">X277/W277*100</f>
        <v>0</v>
      </c>
      <c r="Z277" s="1">
        <f>5434-317</f>
        <v>5117</v>
      </c>
      <c r="AA277" s="1"/>
      <c r="AB277" s="1">
        <f t="shared" ref="AB277:AB278" si="436">AA277/Z277*100</f>
        <v>0</v>
      </c>
      <c r="AC277" s="1"/>
      <c r="AD277" s="1"/>
      <c r="AE277" s="1" t="e">
        <f t="shared" ref="AE277" si="437">AD277/AC277*100</f>
        <v>#DIV/0!</v>
      </c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27"/>
      <c r="AR277" s="3"/>
      <c r="AS277" s="3"/>
    </row>
    <row r="278" spans="1:45" x14ac:dyDescent="0.25">
      <c r="A278" s="123"/>
      <c r="B278" s="101"/>
      <c r="C278" s="101"/>
      <c r="D278" s="26" t="s">
        <v>43</v>
      </c>
      <c r="E278" s="1">
        <f t="shared" si="419"/>
        <v>300</v>
      </c>
      <c r="F278" s="1">
        <f t="shared" si="419"/>
        <v>0</v>
      </c>
      <c r="G278" s="1">
        <f t="shared" si="433"/>
        <v>0</v>
      </c>
      <c r="H278" s="1"/>
      <c r="I278" s="1"/>
      <c r="J278" s="27"/>
      <c r="K278" s="1"/>
      <c r="L278" s="1"/>
      <c r="M278" s="27"/>
      <c r="N278" s="1"/>
      <c r="O278" s="1"/>
      <c r="P278" s="27"/>
      <c r="Q278" s="1"/>
      <c r="R278" s="1"/>
      <c r="S278" s="1"/>
      <c r="T278" s="1"/>
      <c r="U278" s="1"/>
      <c r="V278" s="1"/>
      <c r="W278" s="1">
        <v>300</v>
      </c>
      <c r="X278" s="1"/>
      <c r="Y278" s="1">
        <f t="shared" si="435"/>
        <v>0</v>
      </c>
      <c r="Z278" s="1"/>
      <c r="AA278" s="1"/>
      <c r="AB278" s="1" t="e">
        <f t="shared" si="436"/>
        <v>#DIV/0!</v>
      </c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27"/>
      <c r="AR278" s="93"/>
      <c r="AS278" s="4"/>
    </row>
    <row r="279" spans="1:45" ht="12.6" customHeight="1" x14ac:dyDescent="0.25">
      <c r="A279" s="123"/>
      <c r="B279" s="101"/>
      <c r="C279" s="101"/>
      <c r="D279" s="26" t="s">
        <v>21</v>
      </c>
      <c r="E279" s="1">
        <f t="shared" si="419"/>
        <v>0</v>
      </c>
      <c r="F279" s="1">
        <f t="shared" si="419"/>
        <v>0</v>
      </c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38"/>
      <c r="AR279" s="25"/>
      <c r="AS279" s="25"/>
    </row>
    <row r="280" spans="1:45" ht="12" customHeight="1" x14ac:dyDescent="0.25">
      <c r="A280" s="123" t="s">
        <v>81</v>
      </c>
      <c r="B280" s="101" t="s">
        <v>105</v>
      </c>
      <c r="C280" s="101" t="s">
        <v>145</v>
      </c>
      <c r="D280" s="26" t="s">
        <v>3</v>
      </c>
      <c r="E280" s="1">
        <f t="shared" si="419"/>
        <v>0</v>
      </c>
      <c r="F280" s="1">
        <f t="shared" si="419"/>
        <v>0</v>
      </c>
      <c r="G280" s="1"/>
      <c r="H280" s="1">
        <f>H281+H282+H283+H284</f>
        <v>0</v>
      </c>
      <c r="I280" s="1"/>
      <c r="J280" s="1"/>
      <c r="K280" s="1">
        <f t="shared" ref="K280:AO280" si="438">K281+K282+K283+K284</f>
        <v>0</v>
      </c>
      <c r="L280" s="1"/>
      <c r="M280" s="1"/>
      <c r="N280" s="1">
        <f t="shared" si="438"/>
        <v>0</v>
      </c>
      <c r="O280" s="1"/>
      <c r="P280" s="1"/>
      <c r="Q280" s="1">
        <f t="shared" si="438"/>
        <v>0</v>
      </c>
      <c r="R280" s="1"/>
      <c r="S280" s="1"/>
      <c r="T280" s="1">
        <f t="shared" si="438"/>
        <v>0</v>
      </c>
      <c r="U280" s="1"/>
      <c r="V280" s="1"/>
      <c r="W280" s="1">
        <f t="shared" si="438"/>
        <v>0</v>
      </c>
      <c r="X280" s="1"/>
      <c r="Y280" s="1"/>
      <c r="Z280" s="1">
        <f t="shared" si="438"/>
        <v>0</v>
      </c>
      <c r="AA280" s="1"/>
      <c r="AB280" s="1"/>
      <c r="AC280" s="1">
        <f t="shared" si="438"/>
        <v>0</v>
      </c>
      <c r="AD280" s="1"/>
      <c r="AE280" s="1"/>
      <c r="AF280" s="1">
        <f t="shared" si="438"/>
        <v>0</v>
      </c>
      <c r="AG280" s="1"/>
      <c r="AH280" s="1"/>
      <c r="AI280" s="1">
        <f t="shared" si="438"/>
        <v>0</v>
      </c>
      <c r="AJ280" s="1"/>
      <c r="AK280" s="1"/>
      <c r="AL280" s="1">
        <f t="shared" si="438"/>
        <v>0</v>
      </c>
      <c r="AM280" s="1"/>
      <c r="AN280" s="1"/>
      <c r="AO280" s="1">
        <f t="shared" si="438"/>
        <v>0</v>
      </c>
      <c r="AP280" s="1"/>
      <c r="AQ280" s="38"/>
      <c r="AR280" s="25"/>
      <c r="AS280" s="25"/>
    </row>
    <row r="281" spans="1:45" x14ac:dyDescent="0.25">
      <c r="A281" s="123"/>
      <c r="B281" s="101"/>
      <c r="C281" s="101"/>
      <c r="D281" s="26" t="s">
        <v>20</v>
      </c>
      <c r="E281" s="1">
        <f t="shared" si="419"/>
        <v>0</v>
      </c>
      <c r="F281" s="1">
        <f t="shared" si="419"/>
        <v>0</v>
      </c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38"/>
      <c r="AR281" s="25"/>
      <c r="AS281" s="25"/>
    </row>
    <row r="282" spans="1:45" ht="24" x14ac:dyDescent="0.25">
      <c r="A282" s="123"/>
      <c r="B282" s="101"/>
      <c r="C282" s="101"/>
      <c r="D282" s="26" t="s">
        <v>4</v>
      </c>
      <c r="E282" s="1">
        <f t="shared" si="419"/>
        <v>0</v>
      </c>
      <c r="F282" s="1">
        <f t="shared" si="419"/>
        <v>0</v>
      </c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38"/>
      <c r="AR282" s="25"/>
      <c r="AS282" s="25"/>
    </row>
    <row r="283" spans="1:45" x14ac:dyDescent="0.25">
      <c r="A283" s="123"/>
      <c r="B283" s="101"/>
      <c r="C283" s="101"/>
      <c r="D283" s="26" t="s">
        <v>43</v>
      </c>
      <c r="E283" s="1">
        <f t="shared" si="419"/>
        <v>0</v>
      </c>
      <c r="F283" s="1">
        <f t="shared" si="419"/>
        <v>0</v>
      </c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38"/>
      <c r="AR283" s="25"/>
      <c r="AS283" s="25"/>
    </row>
    <row r="284" spans="1:45" ht="15.75" customHeight="1" x14ac:dyDescent="0.25">
      <c r="A284" s="123"/>
      <c r="B284" s="101"/>
      <c r="C284" s="101"/>
      <c r="D284" s="26" t="s">
        <v>21</v>
      </c>
      <c r="E284" s="1">
        <f t="shared" si="419"/>
        <v>0</v>
      </c>
      <c r="F284" s="1">
        <f t="shared" si="419"/>
        <v>0</v>
      </c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38"/>
      <c r="AR284" s="25"/>
      <c r="AS284" s="25"/>
    </row>
    <row r="285" spans="1:45" ht="12.75" customHeight="1" x14ac:dyDescent="0.25">
      <c r="A285" s="125" t="s">
        <v>17</v>
      </c>
      <c r="B285" s="125"/>
      <c r="C285" s="125"/>
      <c r="D285" s="29" t="s">
        <v>3</v>
      </c>
      <c r="E285" s="30">
        <f t="shared" si="419"/>
        <v>23601.800000000003</v>
      </c>
      <c r="F285" s="30">
        <f t="shared" si="419"/>
        <v>553.1</v>
      </c>
      <c r="G285" s="30">
        <f>F285/E285*100</f>
        <v>2.3434653289155909</v>
      </c>
      <c r="H285" s="30">
        <f>H286+H287+H288+H289</f>
        <v>0</v>
      </c>
      <c r="I285" s="30">
        <f>I286+I287+I288+I289</f>
        <v>0</v>
      </c>
      <c r="J285" s="31"/>
      <c r="K285" s="30">
        <f t="shared" ref="K285:AO285" si="439">K286+K287+K288+K289</f>
        <v>0</v>
      </c>
      <c r="L285" s="30">
        <f t="shared" si="439"/>
        <v>0</v>
      </c>
      <c r="M285" s="30"/>
      <c r="N285" s="30">
        <f t="shared" si="439"/>
        <v>805.90000000000009</v>
      </c>
      <c r="O285" s="30">
        <f t="shared" si="439"/>
        <v>553.1</v>
      </c>
      <c r="P285" s="30">
        <f>O285/N285*100</f>
        <v>68.631343839186002</v>
      </c>
      <c r="Q285" s="30">
        <f t="shared" si="439"/>
        <v>3016.8</v>
      </c>
      <c r="R285" s="30">
        <f t="shared" si="439"/>
        <v>0</v>
      </c>
      <c r="S285" s="30">
        <f>R285/Q285*100</f>
        <v>0</v>
      </c>
      <c r="T285" s="30">
        <f t="shared" si="439"/>
        <v>0</v>
      </c>
      <c r="U285" s="30">
        <f t="shared" si="439"/>
        <v>0</v>
      </c>
      <c r="V285" s="30" t="e">
        <f>U285/T285*100</f>
        <v>#DIV/0!</v>
      </c>
      <c r="W285" s="30">
        <f t="shared" si="439"/>
        <v>7236.9</v>
      </c>
      <c r="X285" s="30">
        <f t="shared" si="439"/>
        <v>0</v>
      </c>
      <c r="Y285" s="30">
        <f>X285/W285*100</f>
        <v>0</v>
      </c>
      <c r="Z285" s="30">
        <f t="shared" si="439"/>
        <v>9006.2999999999993</v>
      </c>
      <c r="AA285" s="30">
        <f t="shared" si="439"/>
        <v>0</v>
      </c>
      <c r="AB285" s="30">
        <f>AA285/Z285*100</f>
        <v>0</v>
      </c>
      <c r="AC285" s="30">
        <f t="shared" si="439"/>
        <v>1139.5</v>
      </c>
      <c r="AD285" s="30">
        <f t="shared" si="439"/>
        <v>0</v>
      </c>
      <c r="AE285" s="30">
        <f>AD285/AC285*100</f>
        <v>0</v>
      </c>
      <c r="AF285" s="30">
        <f t="shared" si="439"/>
        <v>0</v>
      </c>
      <c r="AG285" s="30">
        <f t="shared" si="439"/>
        <v>0</v>
      </c>
      <c r="AH285" s="30" t="e">
        <f>AG285/AF285*100</f>
        <v>#DIV/0!</v>
      </c>
      <c r="AI285" s="30">
        <f t="shared" si="439"/>
        <v>966.2</v>
      </c>
      <c r="AJ285" s="30">
        <f t="shared" si="439"/>
        <v>0</v>
      </c>
      <c r="AK285" s="30">
        <f>AJ285/AI285*100</f>
        <v>0</v>
      </c>
      <c r="AL285" s="30">
        <f t="shared" si="439"/>
        <v>1430.1999999999998</v>
      </c>
      <c r="AM285" s="30">
        <f t="shared" si="439"/>
        <v>0</v>
      </c>
      <c r="AN285" s="30">
        <f>AM285/AL285*100</f>
        <v>0</v>
      </c>
      <c r="AO285" s="30">
        <f t="shared" si="439"/>
        <v>0</v>
      </c>
      <c r="AP285" s="48"/>
      <c r="AQ285" s="30" t="e">
        <f>AP285/AO285*100</f>
        <v>#DIV/0!</v>
      </c>
      <c r="AR285" s="25"/>
      <c r="AS285" s="25"/>
    </row>
    <row r="286" spans="1:45" ht="13.5" customHeight="1" x14ac:dyDescent="0.25">
      <c r="A286" s="125"/>
      <c r="B286" s="125"/>
      <c r="C286" s="125"/>
      <c r="D286" s="29" t="s">
        <v>20</v>
      </c>
      <c r="E286" s="30">
        <f t="shared" si="419"/>
        <v>0</v>
      </c>
      <c r="F286" s="30">
        <f t="shared" si="419"/>
        <v>0</v>
      </c>
      <c r="G286" s="30"/>
      <c r="H286" s="30">
        <f t="shared" ref="H286:I289" si="440">H271+H276+H281</f>
        <v>0</v>
      </c>
      <c r="I286" s="30">
        <f t="shared" si="440"/>
        <v>0</v>
      </c>
      <c r="J286" s="31"/>
      <c r="K286" s="30">
        <f t="shared" ref="K286:AO289" si="441">K271+K276+K281</f>
        <v>0</v>
      </c>
      <c r="L286" s="30">
        <f t="shared" si="441"/>
        <v>0</v>
      </c>
      <c r="M286" s="30"/>
      <c r="N286" s="30">
        <f t="shared" si="441"/>
        <v>0</v>
      </c>
      <c r="O286" s="30">
        <f t="shared" si="441"/>
        <v>0</v>
      </c>
      <c r="P286" s="30"/>
      <c r="Q286" s="30">
        <f t="shared" si="441"/>
        <v>0</v>
      </c>
      <c r="R286" s="30">
        <f t="shared" si="441"/>
        <v>0</v>
      </c>
      <c r="S286" s="30"/>
      <c r="T286" s="30">
        <f t="shared" si="441"/>
        <v>0</v>
      </c>
      <c r="U286" s="30">
        <f t="shared" si="441"/>
        <v>0</v>
      </c>
      <c r="V286" s="30"/>
      <c r="W286" s="30">
        <f t="shared" si="441"/>
        <v>0</v>
      </c>
      <c r="X286" s="30">
        <f t="shared" si="441"/>
        <v>0</v>
      </c>
      <c r="Y286" s="30"/>
      <c r="Z286" s="30">
        <f t="shared" si="441"/>
        <v>0</v>
      </c>
      <c r="AA286" s="30">
        <f t="shared" si="441"/>
        <v>0</v>
      </c>
      <c r="AB286" s="30"/>
      <c r="AC286" s="30">
        <f t="shared" si="441"/>
        <v>0</v>
      </c>
      <c r="AD286" s="30">
        <f t="shared" si="441"/>
        <v>0</v>
      </c>
      <c r="AE286" s="30"/>
      <c r="AF286" s="30">
        <f t="shared" si="441"/>
        <v>0</v>
      </c>
      <c r="AG286" s="30">
        <f t="shared" si="441"/>
        <v>0</v>
      </c>
      <c r="AH286" s="30"/>
      <c r="AI286" s="30">
        <f t="shared" si="441"/>
        <v>0</v>
      </c>
      <c r="AJ286" s="30">
        <f t="shared" si="441"/>
        <v>0</v>
      </c>
      <c r="AK286" s="30"/>
      <c r="AL286" s="30">
        <f t="shared" si="441"/>
        <v>0</v>
      </c>
      <c r="AM286" s="30">
        <f t="shared" si="441"/>
        <v>0</v>
      </c>
      <c r="AN286" s="30"/>
      <c r="AO286" s="30">
        <f t="shared" si="441"/>
        <v>0</v>
      </c>
      <c r="AP286" s="49"/>
      <c r="AQ286" s="30"/>
      <c r="AR286" s="25"/>
      <c r="AS286" s="25"/>
    </row>
    <row r="287" spans="1:45" ht="25.5" customHeight="1" x14ac:dyDescent="0.25">
      <c r="A287" s="125"/>
      <c r="B287" s="125"/>
      <c r="C287" s="125"/>
      <c r="D287" s="29" t="s">
        <v>4</v>
      </c>
      <c r="E287" s="30">
        <f t="shared" si="419"/>
        <v>17390.3</v>
      </c>
      <c r="F287" s="30">
        <f t="shared" si="419"/>
        <v>0</v>
      </c>
      <c r="G287" s="30">
        <f t="shared" ref="G287:G288" si="442">F287/E287*100</f>
        <v>0</v>
      </c>
      <c r="H287" s="30">
        <f t="shared" si="440"/>
        <v>0</v>
      </c>
      <c r="I287" s="30">
        <f t="shared" si="440"/>
        <v>0</v>
      </c>
      <c r="J287" s="31"/>
      <c r="K287" s="30">
        <f t="shared" si="441"/>
        <v>0</v>
      </c>
      <c r="L287" s="30">
        <f t="shared" si="441"/>
        <v>0</v>
      </c>
      <c r="M287" s="30"/>
      <c r="N287" s="30">
        <f t="shared" si="441"/>
        <v>0</v>
      </c>
      <c r="O287" s="30">
        <f t="shared" si="441"/>
        <v>0</v>
      </c>
      <c r="P287" s="30"/>
      <c r="Q287" s="30">
        <f t="shared" si="441"/>
        <v>2153.5</v>
      </c>
      <c r="R287" s="30">
        <f t="shared" si="441"/>
        <v>0</v>
      </c>
      <c r="S287" s="30">
        <f t="shared" ref="S287:S288" si="443">R287/Q287*100</f>
        <v>0</v>
      </c>
      <c r="T287" s="30">
        <f t="shared" si="441"/>
        <v>0</v>
      </c>
      <c r="U287" s="30">
        <f t="shared" si="441"/>
        <v>0</v>
      </c>
      <c r="V287" s="30" t="e">
        <f t="shared" ref="V287" si="444">U287/T287*100</f>
        <v>#DIV/0!</v>
      </c>
      <c r="W287" s="30">
        <f t="shared" si="441"/>
        <v>5079.7</v>
      </c>
      <c r="X287" s="30">
        <f t="shared" si="441"/>
        <v>0</v>
      </c>
      <c r="Y287" s="30">
        <f t="shared" ref="Y287:Y288" si="445">X287/W287*100</f>
        <v>0</v>
      </c>
      <c r="Z287" s="30">
        <f t="shared" si="441"/>
        <v>7789</v>
      </c>
      <c r="AA287" s="30">
        <f t="shared" si="441"/>
        <v>0</v>
      </c>
      <c r="AB287" s="30">
        <f t="shared" ref="AB287:AB288" si="446">AA287/Z287*100</f>
        <v>0</v>
      </c>
      <c r="AC287" s="30">
        <f t="shared" si="441"/>
        <v>1139.5</v>
      </c>
      <c r="AD287" s="30">
        <f t="shared" si="441"/>
        <v>0</v>
      </c>
      <c r="AE287" s="30">
        <f t="shared" ref="AE287:AE288" si="447">AD287/AC287*100</f>
        <v>0</v>
      </c>
      <c r="AF287" s="30">
        <f t="shared" si="441"/>
        <v>0</v>
      </c>
      <c r="AG287" s="30">
        <f t="shared" si="441"/>
        <v>0</v>
      </c>
      <c r="AH287" s="30"/>
      <c r="AI287" s="30">
        <f t="shared" si="441"/>
        <v>0</v>
      </c>
      <c r="AJ287" s="30">
        <f t="shared" si="441"/>
        <v>0</v>
      </c>
      <c r="AK287" s="30" t="e">
        <f t="shared" ref="AK287:AK288" si="448">AJ287/AI287*100</f>
        <v>#DIV/0!</v>
      </c>
      <c r="AL287" s="30">
        <f t="shared" si="441"/>
        <v>1228.5999999999999</v>
      </c>
      <c r="AM287" s="30">
        <f t="shared" si="441"/>
        <v>0</v>
      </c>
      <c r="AN287" s="30">
        <f t="shared" ref="AN287:AN288" si="449">AM287/AL287*100</f>
        <v>0</v>
      </c>
      <c r="AO287" s="30">
        <f t="shared" si="441"/>
        <v>0</v>
      </c>
      <c r="AP287" s="49"/>
      <c r="AQ287" s="30" t="e">
        <f t="shared" ref="AQ287" si="450">AP287/AO287*100</f>
        <v>#DIV/0!</v>
      </c>
      <c r="AR287" s="25"/>
      <c r="AS287" s="25"/>
    </row>
    <row r="288" spans="1:45" ht="14.25" customHeight="1" x14ac:dyDescent="0.25">
      <c r="A288" s="125"/>
      <c r="B288" s="125"/>
      <c r="C288" s="125"/>
      <c r="D288" s="29" t="s">
        <v>43</v>
      </c>
      <c r="E288" s="30">
        <f t="shared" si="419"/>
        <v>6211.5</v>
      </c>
      <c r="F288" s="30">
        <f t="shared" si="419"/>
        <v>553.1</v>
      </c>
      <c r="G288" s="30">
        <f t="shared" si="442"/>
        <v>8.9044514207518315</v>
      </c>
      <c r="H288" s="30">
        <f t="shared" si="440"/>
        <v>0</v>
      </c>
      <c r="I288" s="30">
        <f t="shared" si="440"/>
        <v>0</v>
      </c>
      <c r="J288" s="31"/>
      <c r="K288" s="30">
        <f t="shared" si="441"/>
        <v>0</v>
      </c>
      <c r="L288" s="30">
        <f t="shared" si="441"/>
        <v>0</v>
      </c>
      <c r="M288" s="30"/>
      <c r="N288" s="30">
        <f t="shared" si="441"/>
        <v>805.90000000000009</v>
      </c>
      <c r="O288" s="30">
        <f t="shared" si="441"/>
        <v>553.1</v>
      </c>
      <c r="P288" s="30">
        <f t="shared" ref="P288" si="451">O288/N288*100</f>
        <v>68.631343839186002</v>
      </c>
      <c r="Q288" s="30">
        <f t="shared" si="441"/>
        <v>863.3</v>
      </c>
      <c r="R288" s="30">
        <f t="shared" si="441"/>
        <v>0</v>
      </c>
      <c r="S288" s="30">
        <f t="shared" si="443"/>
        <v>0</v>
      </c>
      <c r="T288" s="30">
        <f t="shared" si="441"/>
        <v>0</v>
      </c>
      <c r="U288" s="30">
        <f t="shared" si="441"/>
        <v>0</v>
      </c>
      <c r="V288" s="30"/>
      <c r="W288" s="30">
        <f t="shared" si="441"/>
        <v>2157.1999999999998</v>
      </c>
      <c r="X288" s="30">
        <f t="shared" si="441"/>
        <v>0</v>
      </c>
      <c r="Y288" s="30">
        <f t="shared" si="445"/>
        <v>0</v>
      </c>
      <c r="Z288" s="30">
        <f t="shared" si="441"/>
        <v>1217.3000000000002</v>
      </c>
      <c r="AA288" s="30">
        <f t="shared" si="441"/>
        <v>0</v>
      </c>
      <c r="AB288" s="30">
        <f t="shared" si="446"/>
        <v>0</v>
      </c>
      <c r="AC288" s="30">
        <f t="shared" si="441"/>
        <v>0</v>
      </c>
      <c r="AD288" s="30">
        <f t="shared" si="441"/>
        <v>0</v>
      </c>
      <c r="AE288" s="30" t="e">
        <f t="shared" si="447"/>
        <v>#DIV/0!</v>
      </c>
      <c r="AF288" s="30">
        <f t="shared" si="441"/>
        <v>0</v>
      </c>
      <c r="AG288" s="30">
        <f t="shared" si="441"/>
        <v>0</v>
      </c>
      <c r="AH288" s="30" t="e">
        <f t="shared" ref="AH288" si="452">AG288/AF288*100</f>
        <v>#DIV/0!</v>
      </c>
      <c r="AI288" s="30">
        <f t="shared" si="441"/>
        <v>966.2</v>
      </c>
      <c r="AJ288" s="30">
        <f t="shared" si="441"/>
        <v>0</v>
      </c>
      <c r="AK288" s="30">
        <f t="shared" si="448"/>
        <v>0</v>
      </c>
      <c r="AL288" s="30">
        <f t="shared" si="441"/>
        <v>201.6</v>
      </c>
      <c r="AM288" s="30">
        <f t="shared" si="441"/>
        <v>0</v>
      </c>
      <c r="AN288" s="30">
        <f t="shared" si="449"/>
        <v>0</v>
      </c>
      <c r="AO288" s="30">
        <f t="shared" si="441"/>
        <v>0</v>
      </c>
      <c r="AP288" s="49"/>
      <c r="AQ288" s="30"/>
      <c r="AR288" s="25"/>
      <c r="AS288" s="25"/>
    </row>
    <row r="289" spans="1:45" ht="15" customHeight="1" x14ac:dyDescent="0.25">
      <c r="A289" s="125"/>
      <c r="B289" s="125"/>
      <c r="C289" s="125"/>
      <c r="D289" s="29" t="s">
        <v>21</v>
      </c>
      <c r="E289" s="30">
        <f t="shared" si="419"/>
        <v>0</v>
      </c>
      <c r="F289" s="30">
        <f t="shared" si="419"/>
        <v>0</v>
      </c>
      <c r="G289" s="30"/>
      <c r="H289" s="30">
        <f t="shared" si="440"/>
        <v>0</v>
      </c>
      <c r="I289" s="30">
        <f t="shared" si="440"/>
        <v>0</v>
      </c>
      <c r="J289" s="30"/>
      <c r="K289" s="30">
        <f t="shared" si="441"/>
        <v>0</v>
      </c>
      <c r="L289" s="30">
        <f t="shared" si="441"/>
        <v>0</v>
      </c>
      <c r="M289" s="30"/>
      <c r="N289" s="30">
        <f t="shared" si="441"/>
        <v>0</v>
      </c>
      <c r="O289" s="30">
        <f t="shared" si="441"/>
        <v>0</v>
      </c>
      <c r="P289" s="30"/>
      <c r="Q289" s="30">
        <f t="shared" si="441"/>
        <v>0</v>
      </c>
      <c r="R289" s="30">
        <f t="shared" si="441"/>
        <v>0</v>
      </c>
      <c r="S289" s="30"/>
      <c r="T289" s="30">
        <f t="shared" si="441"/>
        <v>0</v>
      </c>
      <c r="U289" s="30">
        <f t="shared" si="441"/>
        <v>0</v>
      </c>
      <c r="V289" s="30"/>
      <c r="W289" s="30">
        <f t="shared" si="441"/>
        <v>0</v>
      </c>
      <c r="X289" s="30">
        <f t="shared" si="441"/>
        <v>0</v>
      </c>
      <c r="Y289" s="30"/>
      <c r="Z289" s="30">
        <f t="shared" si="441"/>
        <v>0</v>
      </c>
      <c r="AA289" s="30">
        <f t="shared" si="441"/>
        <v>0</v>
      </c>
      <c r="AB289" s="30"/>
      <c r="AC289" s="30">
        <f t="shared" si="441"/>
        <v>0</v>
      </c>
      <c r="AD289" s="30">
        <f t="shared" si="441"/>
        <v>0</v>
      </c>
      <c r="AE289" s="30"/>
      <c r="AF289" s="30">
        <f t="shared" si="441"/>
        <v>0</v>
      </c>
      <c r="AG289" s="30">
        <f t="shared" si="441"/>
        <v>0</v>
      </c>
      <c r="AH289" s="30"/>
      <c r="AI289" s="30">
        <f t="shared" si="441"/>
        <v>0</v>
      </c>
      <c r="AJ289" s="30">
        <f t="shared" si="441"/>
        <v>0</v>
      </c>
      <c r="AK289" s="30"/>
      <c r="AL289" s="30">
        <f t="shared" si="441"/>
        <v>0</v>
      </c>
      <c r="AM289" s="30">
        <f t="shared" si="441"/>
        <v>0</v>
      </c>
      <c r="AN289" s="30"/>
      <c r="AO289" s="30">
        <f t="shared" si="441"/>
        <v>0</v>
      </c>
      <c r="AP289" s="49"/>
      <c r="AQ289" s="30"/>
      <c r="AR289" s="25"/>
      <c r="AS289" s="25"/>
    </row>
    <row r="290" spans="1:45" ht="13.15" customHeight="1" x14ac:dyDescent="0.25">
      <c r="A290" s="126" t="s">
        <v>18</v>
      </c>
      <c r="B290" s="127"/>
      <c r="C290" s="128"/>
      <c r="D290" s="29" t="s">
        <v>3</v>
      </c>
      <c r="E290" s="30">
        <f t="shared" ref="E290:F307" si="453">H290+K290+N290+Q290+T290+W290+Z290+AC290+AF290+AI290+AL290+AO290</f>
        <v>3332893.3</v>
      </c>
      <c r="F290" s="30">
        <f t="shared" si="453"/>
        <v>345776.50099999999</v>
      </c>
      <c r="G290" s="30">
        <f>F290/E290*100</f>
        <v>10.374664589472458</v>
      </c>
      <c r="H290" s="30">
        <f>H291+H292+H293+H294</f>
        <v>52561.3</v>
      </c>
      <c r="I290" s="30">
        <f>I291+I292+I293+I294</f>
        <v>49161.1</v>
      </c>
      <c r="J290" s="30">
        <f>I290/H290*100</f>
        <v>93.53098192015797</v>
      </c>
      <c r="K290" s="30">
        <f>K291+K292+K293+K294</f>
        <v>173045.7</v>
      </c>
      <c r="L290" s="30">
        <f>L291+L292+L293+L294</f>
        <v>167047.50099999999</v>
      </c>
      <c r="M290" s="30">
        <f>L290/K290*100</f>
        <v>96.533748599358432</v>
      </c>
      <c r="N290" s="30">
        <f>N291+N292+N293+N294</f>
        <v>136887.70000000001</v>
      </c>
      <c r="O290" s="30">
        <f>O291+O292+O293+O294</f>
        <v>129567.90000000001</v>
      </c>
      <c r="P290" s="30">
        <f>O290/N290*100</f>
        <v>94.652697064820288</v>
      </c>
      <c r="Q290" s="30">
        <f t="shared" ref="Q290:AH291" si="454">Q291+Q292+Q293+Q294</f>
        <v>464109.10000000003</v>
      </c>
      <c r="R290" s="30">
        <f t="shared" si="454"/>
        <v>0</v>
      </c>
      <c r="S290" s="30">
        <f>R290/Q290*100</f>
        <v>0</v>
      </c>
      <c r="T290" s="30">
        <f t="shared" si="454"/>
        <v>413836</v>
      </c>
      <c r="U290" s="30">
        <f t="shared" si="454"/>
        <v>0</v>
      </c>
      <c r="V290" s="30">
        <f>U290/T290*100</f>
        <v>0</v>
      </c>
      <c r="W290" s="30">
        <f t="shared" si="454"/>
        <v>485999.2</v>
      </c>
      <c r="X290" s="30">
        <f t="shared" si="454"/>
        <v>0</v>
      </c>
      <c r="Y290" s="30">
        <f>X290/W290*100</f>
        <v>0</v>
      </c>
      <c r="Z290" s="30">
        <f t="shared" si="454"/>
        <v>394371.80000000005</v>
      </c>
      <c r="AA290" s="30">
        <f t="shared" si="454"/>
        <v>0</v>
      </c>
      <c r="AB290" s="30">
        <f>AA290/Z290*100</f>
        <v>0</v>
      </c>
      <c r="AC290" s="30">
        <f t="shared" si="454"/>
        <v>241298</v>
      </c>
      <c r="AD290" s="30">
        <f t="shared" si="454"/>
        <v>0</v>
      </c>
      <c r="AE290" s="30">
        <f>AD290/AC290*100</f>
        <v>0</v>
      </c>
      <c r="AF290" s="30">
        <f t="shared" si="454"/>
        <v>260535.3</v>
      </c>
      <c r="AG290" s="30">
        <f t="shared" si="454"/>
        <v>0</v>
      </c>
      <c r="AH290" s="30" t="e">
        <f t="shared" si="454"/>
        <v>#DIV/0!</v>
      </c>
      <c r="AI290" s="30">
        <f>AI291+AI292+AI293+AI294</f>
        <v>317871.90000000002</v>
      </c>
      <c r="AJ290" s="30">
        <f>AJ291+AJ292+AJ293+AJ294</f>
        <v>0</v>
      </c>
      <c r="AK290" s="30">
        <f>AJ290/AI290*100</f>
        <v>0</v>
      </c>
      <c r="AL290" s="30">
        <f t="shared" ref="AL290:AO290" si="455">AL291+AL292+AL293+AL294</f>
        <v>188958.2</v>
      </c>
      <c r="AM290" s="30">
        <f t="shared" si="455"/>
        <v>0</v>
      </c>
      <c r="AN290" s="30">
        <f>AM290/AL290*100</f>
        <v>0</v>
      </c>
      <c r="AO290" s="30">
        <f t="shared" si="455"/>
        <v>203419.1</v>
      </c>
      <c r="AP290" s="49"/>
      <c r="AQ290" s="30">
        <f>AP290/AO290*100</f>
        <v>0</v>
      </c>
      <c r="AR290" s="25"/>
      <c r="AS290" s="25"/>
    </row>
    <row r="291" spans="1:45" x14ac:dyDescent="0.25">
      <c r="A291" s="129"/>
      <c r="B291" s="130"/>
      <c r="C291" s="131"/>
      <c r="D291" s="29" t="s">
        <v>20</v>
      </c>
      <c r="E291" s="30">
        <f t="shared" si="453"/>
        <v>158428.5</v>
      </c>
      <c r="F291" s="30">
        <f t="shared" si="453"/>
        <v>10798</v>
      </c>
      <c r="G291" s="30">
        <f>F291/E291*100</f>
        <v>6.8156928835405246</v>
      </c>
      <c r="H291" s="30">
        <f t="shared" ref="H291:I293" si="456">H35+H78+H155+H191+H227+H264+H286</f>
        <v>2809.2</v>
      </c>
      <c r="I291" s="30">
        <f t="shared" si="456"/>
        <v>2771</v>
      </c>
      <c r="J291" s="30">
        <f>I291/H291*100</f>
        <v>98.640182258294189</v>
      </c>
      <c r="K291" s="30">
        <f t="shared" ref="K291:L294" si="457">K35+K78+K155+K191+K227+K264+K286</f>
        <v>4486.1000000000004</v>
      </c>
      <c r="L291" s="30">
        <f t="shared" si="457"/>
        <v>4201</v>
      </c>
      <c r="M291" s="30">
        <f>L291/K291*100</f>
        <v>93.64481398096342</v>
      </c>
      <c r="N291" s="30">
        <f t="shared" ref="N291:O294" si="458">N35+N78+N155+N191+N227+N264+N286</f>
        <v>4632.3999999999996</v>
      </c>
      <c r="O291" s="30">
        <f t="shared" si="458"/>
        <v>3826</v>
      </c>
      <c r="P291" s="30">
        <f>O291/N291*100</f>
        <v>82.592176841378134</v>
      </c>
      <c r="Q291" s="30">
        <f t="shared" ref="Q291:R294" si="459">Q35+Q78+Q155+Q191+Q227+Q264+Q286</f>
        <v>52122</v>
      </c>
      <c r="R291" s="30">
        <f t="shared" si="459"/>
        <v>0</v>
      </c>
      <c r="S291" s="30">
        <f>R291/Q291*100</f>
        <v>0</v>
      </c>
      <c r="T291" s="30">
        <f t="shared" ref="T291:U294" si="460">T35+T78+T155+T191+T227+T264+T286</f>
        <v>42268.2</v>
      </c>
      <c r="U291" s="30">
        <f t="shared" si="460"/>
        <v>0</v>
      </c>
      <c r="V291" s="30">
        <f>U291/T291*100</f>
        <v>0</v>
      </c>
      <c r="W291" s="30">
        <f t="shared" ref="W291:X294" si="461">W35+W78+W155+W191+W227+W264+W286</f>
        <v>30984.799999999999</v>
      </c>
      <c r="X291" s="30">
        <f t="shared" si="461"/>
        <v>0</v>
      </c>
      <c r="Y291" s="30">
        <f>X291/W291*100</f>
        <v>0</v>
      </c>
      <c r="Z291" s="30">
        <f t="shared" ref="Z291:AA294" si="462">Z35+Z78+Z155+Z191+Z227+Z264+Z286</f>
        <v>68.2</v>
      </c>
      <c r="AA291" s="30">
        <f t="shared" si="462"/>
        <v>0</v>
      </c>
      <c r="AB291" s="30">
        <f>AA291/Z291*100</f>
        <v>0</v>
      </c>
      <c r="AC291" s="30">
        <f t="shared" ref="AC291:AD294" si="463">AC35+AC78+AC155+AC191+AC227+AC264+AC286</f>
        <v>821.6</v>
      </c>
      <c r="AD291" s="30">
        <f t="shared" si="463"/>
        <v>0</v>
      </c>
      <c r="AE291" s="30">
        <f>AD291/AC291*100</f>
        <v>0</v>
      </c>
      <c r="AF291" s="30">
        <f t="shared" ref="AF291:AG294" si="464">AF35+AF78+AF155+AF191+AF227+AF264+AF286</f>
        <v>2940</v>
      </c>
      <c r="AG291" s="30">
        <f t="shared" si="464"/>
        <v>0</v>
      </c>
      <c r="AH291" s="30" t="e">
        <f t="shared" si="454"/>
        <v>#DIV/0!</v>
      </c>
      <c r="AI291" s="30">
        <f t="shared" ref="AI291:AJ294" si="465">AI35+AI78+AI155+AI191+AI227+AI264+AI286</f>
        <v>4852.8999999999996</v>
      </c>
      <c r="AJ291" s="30">
        <f t="shared" si="465"/>
        <v>0</v>
      </c>
      <c r="AK291" s="30">
        <f>AJ291/AI291*100</f>
        <v>0</v>
      </c>
      <c r="AL291" s="30">
        <f t="shared" ref="AL291:AM294" si="466">AL35+AL78+AL155+AL191+AL227+AL264+AL286</f>
        <v>4958.8999999999996</v>
      </c>
      <c r="AM291" s="30">
        <f t="shared" si="466"/>
        <v>0</v>
      </c>
      <c r="AN291" s="30">
        <f>AM291/AL291*100</f>
        <v>0</v>
      </c>
      <c r="AO291" s="30">
        <f>AO35+AO78+AO155+AO191+AO227+AO264+AO286</f>
        <v>7484.2</v>
      </c>
      <c r="AP291" s="49"/>
      <c r="AQ291" s="30">
        <f>AP291/AO291*100</f>
        <v>0</v>
      </c>
      <c r="AR291" s="25"/>
      <c r="AS291" s="25"/>
    </row>
    <row r="292" spans="1:45" ht="24.75" customHeight="1" x14ac:dyDescent="0.25">
      <c r="A292" s="129"/>
      <c r="B292" s="130"/>
      <c r="C292" s="131"/>
      <c r="D292" s="29" t="s">
        <v>4</v>
      </c>
      <c r="E292" s="30">
        <f t="shared" si="453"/>
        <v>2592310.2999999998</v>
      </c>
      <c r="F292" s="30">
        <f t="shared" si="453"/>
        <v>264843</v>
      </c>
      <c r="G292" s="30">
        <f>F292/E292*100</f>
        <v>10.216485271844194</v>
      </c>
      <c r="H292" s="30">
        <f t="shared" si="456"/>
        <v>38540.800000000003</v>
      </c>
      <c r="I292" s="30">
        <f t="shared" si="456"/>
        <v>38514.199999999997</v>
      </c>
      <c r="J292" s="30">
        <f>I292/H292*100</f>
        <v>99.930982231816657</v>
      </c>
      <c r="K292" s="30">
        <f t="shared" si="457"/>
        <v>131556.79999999999</v>
      </c>
      <c r="L292" s="30">
        <f t="shared" si="457"/>
        <v>128259.59999999999</v>
      </c>
      <c r="M292" s="30">
        <f>L292/K292*100</f>
        <v>97.49370614061759</v>
      </c>
      <c r="N292" s="30">
        <f t="shared" si="458"/>
        <v>100457.90000000001</v>
      </c>
      <c r="O292" s="30">
        <f t="shared" si="458"/>
        <v>98069.200000000012</v>
      </c>
      <c r="P292" s="30">
        <f>O292/N292*100</f>
        <v>97.622188001142774</v>
      </c>
      <c r="Q292" s="30">
        <f t="shared" si="459"/>
        <v>336107.7</v>
      </c>
      <c r="R292" s="30">
        <f t="shared" si="459"/>
        <v>0</v>
      </c>
      <c r="S292" s="30">
        <f>R292/Q292*100</f>
        <v>0</v>
      </c>
      <c r="T292" s="30">
        <f t="shared" si="460"/>
        <v>321475</v>
      </c>
      <c r="U292" s="30">
        <f t="shared" si="460"/>
        <v>0</v>
      </c>
      <c r="V292" s="30">
        <f>U292/T292*100</f>
        <v>0</v>
      </c>
      <c r="W292" s="30">
        <f t="shared" si="461"/>
        <v>402640.9</v>
      </c>
      <c r="X292" s="30">
        <f t="shared" si="461"/>
        <v>0</v>
      </c>
      <c r="Y292" s="30">
        <f>X292/W292*100</f>
        <v>0</v>
      </c>
      <c r="Z292" s="30">
        <f t="shared" si="462"/>
        <v>323212.5</v>
      </c>
      <c r="AA292" s="30">
        <f t="shared" si="462"/>
        <v>0</v>
      </c>
      <c r="AB292" s="30">
        <f>AA292/Z292*100</f>
        <v>0</v>
      </c>
      <c r="AC292" s="30">
        <f t="shared" si="463"/>
        <v>203771.4</v>
      </c>
      <c r="AD292" s="30">
        <f t="shared" si="463"/>
        <v>0</v>
      </c>
      <c r="AE292" s="30">
        <f>AD292/AC292*100</f>
        <v>0</v>
      </c>
      <c r="AF292" s="30">
        <f t="shared" si="464"/>
        <v>225045.3</v>
      </c>
      <c r="AG292" s="30">
        <f t="shared" si="464"/>
        <v>0</v>
      </c>
      <c r="AH292" s="30">
        <f>AG292/AF292*100</f>
        <v>0</v>
      </c>
      <c r="AI292" s="30">
        <f t="shared" si="465"/>
        <v>266079.3</v>
      </c>
      <c r="AJ292" s="30">
        <f t="shared" si="465"/>
        <v>0</v>
      </c>
      <c r="AK292" s="30">
        <f>AJ292/AI292*100</f>
        <v>0</v>
      </c>
      <c r="AL292" s="30">
        <f t="shared" si="466"/>
        <v>105319.3</v>
      </c>
      <c r="AM292" s="30">
        <f t="shared" si="466"/>
        <v>0</v>
      </c>
      <c r="AN292" s="30">
        <f>AM292/AL292*100</f>
        <v>0</v>
      </c>
      <c r="AO292" s="30">
        <f>AO36+AO79+AO156+AO192+AO228+AO265+AO287</f>
        <v>138103.4</v>
      </c>
      <c r="AP292" s="49"/>
      <c r="AQ292" s="30">
        <f>AP292/AO292*100</f>
        <v>0</v>
      </c>
      <c r="AR292" s="25"/>
      <c r="AS292" s="25"/>
    </row>
    <row r="293" spans="1:45" ht="15.75" customHeight="1" x14ac:dyDescent="0.25">
      <c r="A293" s="129"/>
      <c r="B293" s="130"/>
      <c r="C293" s="131"/>
      <c r="D293" s="29" t="s">
        <v>43</v>
      </c>
      <c r="E293" s="30">
        <f t="shared" si="453"/>
        <v>582154.5</v>
      </c>
      <c r="F293" s="30">
        <f t="shared" si="453"/>
        <v>70135.500999999989</v>
      </c>
      <c r="G293" s="30">
        <f t="shared" ref="G293" si="467">F293/E293*100</f>
        <v>12.047575171195961</v>
      </c>
      <c r="H293" s="30">
        <f t="shared" si="456"/>
        <v>11211.3</v>
      </c>
      <c r="I293" s="30">
        <f t="shared" si="456"/>
        <v>7875.9</v>
      </c>
      <c r="J293" s="30">
        <f>I293/H293*100</f>
        <v>70.24965882636269</v>
      </c>
      <c r="K293" s="30">
        <f t="shared" si="457"/>
        <v>37002.800000000003</v>
      </c>
      <c r="L293" s="30">
        <f t="shared" si="457"/>
        <v>34586.900999999998</v>
      </c>
      <c r="M293" s="30">
        <f t="shared" ref="M293" si="468">L293/K293*100</f>
        <v>93.471037326904977</v>
      </c>
      <c r="N293" s="30">
        <f t="shared" si="458"/>
        <v>31797.399999999998</v>
      </c>
      <c r="O293" s="30">
        <f t="shared" si="458"/>
        <v>27672.699999999997</v>
      </c>
      <c r="P293" s="30">
        <f>P37+P80+P157+P193+P229+P266+P288</f>
        <v>524.31279717380323</v>
      </c>
      <c r="Q293" s="30">
        <f t="shared" si="459"/>
        <v>75879.400000000009</v>
      </c>
      <c r="R293" s="30">
        <f t="shared" si="459"/>
        <v>0</v>
      </c>
      <c r="S293" s="30">
        <f t="shared" ref="S293" si="469">R293/Q293*100</f>
        <v>0</v>
      </c>
      <c r="T293" s="30">
        <f t="shared" si="460"/>
        <v>50092.799999999988</v>
      </c>
      <c r="U293" s="30">
        <f t="shared" si="460"/>
        <v>0</v>
      </c>
      <c r="V293" s="30">
        <f t="shared" ref="V293" si="470">U293/T293*100</f>
        <v>0</v>
      </c>
      <c r="W293" s="30">
        <f t="shared" si="461"/>
        <v>52373.5</v>
      </c>
      <c r="X293" s="30">
        <f t="shared" si="461"/>
        <v>0</v>
      </c>
      <c r="Y293" s="30">
        <f t="shared" ref="Y293" si="471">X293/W293*100</f>
        <v>0</v>
      </c>
      <c r="Z293" s="30">
        <f t="shared" si="462"/>
        <v>71091.100000000006</v>
      </c>
      <c r="AA293" s="30">
        <f t="shared" si="462"/>
        <v>0</v>
      </c>
      <c r="AB293" s="30">
        <f t="shared" ref="AB293" si="472">AA293/Z293*100</f>
        <v>0</v>
      </c>
      <c r="AC293" s="30">
        <f t="shared" si="463"/>
        <v>36704.999999999993</v>
      </c>
      <c r="AD293" s="30">
        <f t="shared" si="463"/>
        <v>0</v>
      </c>
      <c r="AE293" s="30">
        <f t="shared" ref="AE293" si="473">AD293/AC293*100</f>
        <v>0</v>
      </c>
      <c r="AF293" s="30">
        <f t="shared" si="464"/>
        <v>32550</v>
      </c>
      <c r="AG293" s="30">
        <f t="shared" si="464"/>
        <v>0</v>
      </c>
      <c r="AH293" s="30" t="e">
        <f>AH37+AH80+AH157+AH193+AH229+AH266+AH288</f>
        <v>#DIV/0!</v>
      </c>
      <c r="AI293" s="30">
        <f t="shared" si="465"/>
        <v>46939.7</v>
      </c>
      <c r="AJ293" s="30">
        <f t="shared" si="465"/>
        <v>0</v>
      </c>
      <c r="AK293" s="30">
        <f t="shared" ref="AK293" si="474">AJ293/AI293*100</f>
        <v>0</v>
      </c>
      <c r="AL293" s="30">
        <f t="shared" si="466"/>
        <v>78680</v>
      </c>
      <c r="AM293" s="30">
        <f t="shared" si="466"/>
        <v>0</v>
      </c>
      <c r="AN293" s="30">
        <f t="shared" ref="AN293" si="475">AM293/AL293*100</f>
        <v>0</v>
      </c>
      <c r="AO293" s="30">
        <f>AO37+AO80+AO157+AO193+AO229+AO266+AO288</f>
        <v>57831.5</v>
      </c>
      <c r="AP293" s="49"/>
      <c r="AQ293" s="30">
        <f t="shared" ref="AQ293" si="476">AP293/AO293*100</f>
        <v>0</v>
      </c>
      <c r="AR293" s="25"/>
      <c r="AS293" s="25"/>
    </row>
    <row r="294" spans="1:45" ht="14.25" customHeight="1" x14ac:dyDescent="0.25">
      <c r="A294" s="129"/>
      <c r="B294" s="130"/>
      <c r="C294" s="131"/>
      <c r="D294" s="29" t="s">
        <v>21</v>
      </c>
      <c r="E294" s="30">
        <f t="shared" si="453"/>
        <v>0</v>
      </c>
      <c r="F294" s="30">
        <f t="shared" si="453"/>
        <v>0</v>
      </c>
      <c r="G294" s="30"/>
      <c r="H294" s="30">
        <f>H38+H81+H158+H194+H230+H267+H289</f>
        <v>0</v>
      </c>
      <c r="I294" s="30"/>
      <c r="J294" s="30"/>
      <c r="K294" s="30">
        <f t="shared" si="457"/>
        <v>0</v>
      </c>
      <c r="L294" s="30">
        <f t="shared" si="457"/>
        <v>0</v>
      </c>
      <c r="M294" s="30"/>
      <c r="N294" s="30">
        <f t="shared" si="458"/>
        <v>0</v>
      </c>
      <c r="O294" s="30">
        <f t="shared" si="458"/>
        <v>0</v>
      </c>
      <c r="P294" s="30"/>
      <c r="Q294" s="30">
        <f t="shared" si="459"/>
        <v>0</v>
      </c>
      <c r="R294" s="30">
        <f t="shared" si="459"/>
        <v>0</v>
      </c>
      <c r="S294" s="30"/>
      <c r="T294" s="30">
        <f t="shared" si="460"/>
        <v>0</v>
      </c>
      <c r="U294" s="30">
        <f t="shared" si="460"/>
        <v>0</v>
      </c>
      <c r="V294" s="30"/>
      <c r="W294" s="30">
        <f t="shared" si="461"/>
        <v>0</v>
      </c>
      <c r="X294" s="30">
        <f t="shared" si="461"/>
        <v>0</v>
      </c>
      <c r="Y294" s="30"/>
      <c r="Z294" s="30">
        <f t="shared" si="462"/>
        <v>0</v>
      </c>
      <c r="AA294" s="30">
        <f t="shared" si="462"/>
        <v>0</v>
      </c>
      <c r="AB294" s="30"/>
      <c r="AC294" s="30">
        <f t="shared" si="463"/>
        <v>0</v>
      </c>
      <c r="AD294" s="30">
        <f t="shared" si="463"/>
        <v>0</v>
      </c>
      <c r="AE294" s="30"/>
      <c r="AF294" s="30">
        <f t="shared" si="464"/>
        <v>0</v>
      </c>
      <c r="AG294" s="30">
        <f t="shared" si="464"/>
        <v>0</v>
      </c>
      <c r="AH294" s="30"/>
      <c r="AI294" s="30">
        <f t="shared" si="465"/>
        <v>0</v>
      </c>
      <c r="AJ294" s="30">
        <f t="shared" si="465"/>
        <v>0</v>
      </c>
      <c r="AK294" s="30"/>
      <c r="AL294" s="30">
        <f t="shared" si="466"/>
        <v>0</v>
      </c>
      <c r="AM294" s="30">
        <f t="shared" si="466"/>
        <v>0</v>
      </c>
      <c r="AN294" s="30"/>
      <c r="AO294" s="30">
        <f>AO38+AO81+AO158+AO194+AO230+AO267+AO289</f>
        <v>0</v>
      </c>
      <c r="AP294" s="49"/>
      <c r="AQ294" s="30"/>
      <c r="AR294" s="25"/>
      <c r="AS294" s="25"/>
    </row>
    <row r="295" spans="1:45" ht="14.25" customHeight="1" x14ac:dyDescent="0.25">
      <c r="A295" s="132"/>
      <c r="B295" s="133"/>
      <c r="C295" s="134"/>
      <c r="D295" s="29" t="s">
        <v>115</v>
      </c>
      <c r="E295" s="30"/>
      <c r="F295" s="30">
        <f t="shared" si="453"/>
        <v>0</v>
      </c>
      <c r="G295" s="30"/>
      <c r="H295" s="30"/>
      <c r="I295" s="30"/>
      <c r="J295" s="30"/>
      <c r="K295" s="30"/>
      <c r="L295" s="30"/>
      <c r="M295" s="30"/>
      <c r="N295" s="30"/>
      <c r="O295" s="30">
        <f>O50+O252+O71</f>
        <v>0</v>
      </c>
      <c r="P295" s="30"/>
      <c r="Q295" s="30"/>
      <c r="R295" s="30">
        <f>R50+R252+R71</f>
        <v>0</v>
      </c>
      <c r="S295" s="30"/>
      <c r="T295" s="30"/>
      <c r="U295" s="30">
        <f>U50+U252+U71</f>
        <v>0</v>
      </c>
      <c r="V295" s="30"/>
      <c r="W295" s="30"/>
      <c r="X295" s="30">
        <f>X50+X252+X71</f>
        <v>0</v>
      </c>
      <c r="Y295" s="30"/>
      <c r="Z295" s="30"/>
      <c r="AA295" s="30">
        <f>AA50+AA252+AA71</f>
        <v>0</v>
      </c>
      <c r="AB295" s="30"/>
      <c r="AC295" s="30"/>
      <c r="AD295" s="30">
        <f>AD50+AD252+AD71</f>
        <v>0</v>
      </c>
      <c r="AE295" s="30"/>
      <c r="AF295" s="30"/>
      <c r="AG295" s="30">
        <f>AG50+AG252+AG71</f>
        <v>0</v>
      </c>
      <c r="AH295" s="30"/>
      <c r="AI295" s="30"/>
      <c r="AJ295" s="30">
        <f>AJ50+AJ252+AJ71</f>
        <v>0</v>
      </c>
      <c r="AK295" s="30"/>
      <c r="AL295" s="30"/>
      <c r="AM295" s="30">
        <f>AM50+AM252+AM71</f>
        <v>0</v>
      </c>
      <c r="AN295" s="30"/>
      <c r="AO295" s="30"/>
      <c r="AP295" s="49"/>
      <c r="AQ295" s="30"/>
      <c r="AR295" s="25"/>
      <c r="AS295" s="25"/>
    </row>
    <row r="296" spans="1:45" ht="14.25" customHeight="1" x14ac:dyDescent="0.25">
      <c r="A296" s="126" t="s">
        <v>109</v>
      </c>
      <c r="B296" s="127"/>
      <c r="C296" s="128"/>
      <c r="D296" s="29" t="s">
        <v>3</v>
      </c>
      <c r="E296" s="30">
        <f>H296+K296+N296+Q296+T296+W296+Z296+AC296+AF296+AI296+AL296+AO296</f>
        <v>1341278.2999999998</v>
      </c>
      <c r="F296" s="30">
        <f t="shared" si="453"/>
        <v>0</v>
      </c>
      <c r="G296" s="30">
        <f>F296/E296*100</f>
        <v>0</v>
      </c>
      <c r="H296" s="30">
        <f>H297+H298+H299+H300</f>
        <v>0</v>
      </c>
      <c r="I296" s="30">
        <f>I297+I298+I299+I300</f>
        <v>0</v>
      </c>
      <c r="J296" s="30"/>
      <c r="K296" s="30">
        <f>K297+K298+K299+K300</f>
        <v>0</v>
      </c>
      <c r="L296" s="30">
        <f>L297+L298+L299+L300</f>
        <v>0</v>
      </c>
      <c r="M296" s="30"/>
      <c r="N296" s="30">
        <f>N297+N298+N299+N300</f>
        <v>0</v>
      </c>
      <c r="O296" s="30">
        <f>O297+O298+O299+O300</f>
        <v>0</v>
      </c>
      <c r="P296" s="30"/>
      <c r="Q296" s="30">
        <f>Q297+Q298+Q299+Q300</f>
        <v>286186.7</v>
      </c>
      <c r="R296" s="30">
        <f>R297+R298+R299+R300</f>
        <v>0</v>
      </c>
      <c r="S296" s="30">
        <f>R296/Q296*100</f>
        <v>0</v>
      </c>
      <c r="T296" s="30">
        <f>T297+T298+T299+T300</f>
        <v>177686.5</v>
      </c>
      <c r="U296" s="30">
        <f>U297+U298+U299+U300</f>
        <v>0</v>
      </c>
      <c r="V296" s="30">
        <f>U296/T296*100</f>
        <v>0</v>
      </c>
      <c r="W296" s="30">
        <f>W297+W298+W299+W300</f>
        <v>164466.70000000001</v>
      </c>
      <c r="X296" s="30">
        <f>X297+X298+X299+X300</f>
        <v>0</v>
      </c>
      <c r="Y296" s="30">
        <f>X296/W296*100</f>
        <v>0</v>
      </c>
      <c r="Z296" s="30">
        <f>Z297+Z298+Z299+Z300</f>
        <v>217044.2</v>
      </c>
      <c r="AA296" s="30">
        <f>AA297+AA298+AA299+AA300</f>
        <v>0</v>
      </c>
      <c r="AB296" s="30"/>
      <c r="AC296" s="30">
        <f>AC297+AC298+AC299+AC300</f>
        <v>126123.7</v>
      </c>
      <c r="AD296" s="30">
        <f>AD297+AD298+AD299+AD300</f>
        <v>0</v>
      </c>
      <c r="AE296" s="30"/>
      <c r="AF296" s="30">
        <f>AF297+AF298+AF299+AF300</f>
        <v>160023.69999999998</v>
      </c>
      <c r="AG296" s="30">
        <f>AG297+AG298+AG299+AG300</f>
        <v>0</v>
      </c>
      <c r="AH296" s="30"/>
      <c r="AI296" s="30">
        <f>AI297+AI298+AI299+AI300</f>
        <v>147643.9</v>
      </c>
      <c r="AJ296" s="30">
        <f>AJ297+AJ298+AJ299+AJ300</f>
        <v>0</v>
      </c>
      <c r="AK296" s="30">
        <f>AJ296/AI296*100</f>
        <v>0</v>
      </c>
      <c r="AL296" s="30">
        <f>AL297+AL298+AL299+AL300</f>
        <v>49850</v>
      </c>
      <c r="AM296" s="30">
        <f>AM297+AM298+AM299+AM300</f>
        <v>0</v>
      </c>
      <c r="AN296" s="30">
        <f>AM296/AL296*100</f>
        <v>0</v>
      </c>
      <c r="AO296" s="30">
        <f>AO297+AO298+AO299+AO300</f>
        <v>12252.9</v>
      </c>
      <c r="AP296" s="48">
        <f>AP297+AP298+AP299+AP300</f>
        <v>0</v>
      </c>
      <c r="AQ296" s="30"/>
      <c r="AR296" s="25"/>
      <c r="AS296" s="25"/>
    </row>
    <row r="297" spans="1:45" ht="14.25" customHeight="1" x14ac:dyDescent="0.25">
      <c r="A297" s="129"/>
      <c r="B297" s="130"/>
      <c r="C297" s="131"/>
      <c r="D297" s="29" t="s">
        <v>20</v>
      </c>
      <c r="E297" s="30">
        <f t="shared" ref="E297:E300" si="477">H297+K297+N297+Q297+T297+W297+Z297+AC297+AF297+AI297+AL297+AO297</f>
        <v>107169.29999999999</v>
      </c>
      <c r="F297" s="30">
        <f t="shared" si="453"/>
        <v>0</v>
      </c>
      <c r="G297" s="30">
        <f t="shared" ref="G297:G299" si="478">F297/E297*100</f>
        <v>0</v>
      </c>
      <c r="H297" s="30">
        <f t="shared" ref="H297:I300" si="479">H46+H52</f>
        <v>0</v>
      </c>
      <c r="I297" s="30">
        <f t="shared" si="479"/>
        <v>0</v>
      </c>
      <c r="J297" s="30"/>
      <c r="K297" s="30">
        <f t="shared" ref="K297:L300" si="480">K46+K52</f>
        <v>0</v>
      </c>
      <c r="L297" s="30">
        <f t="shared" si="480"/>
        <v>0</v>
      </c>
      <c r="M297" s="30"/>
      <c r="N297" s="30">
        <f t="shared" ref="N297:O300" si="481">N46+N52</f>
        <v>0</v>
      </c>
      <c r="O297" s="30">
        <f t="shared" si="481"/>
        <v>0</v>
      </c>
      <c r="P297" s="30"/>
      <c r="Q297" s="30">
        <f t="shared" ref="Q297:R300" si="482">Q46+Q52</f>
        <v>47630.8</v>
      </c>
      <c r="R297" s="30">
        <f t="shared" si="482"/>
        <v>0</v>
      </c>
      <c r="S297" s="30"/>
      <c r="T297" s="30">
        <f t="shared" ref="T297:U300" si="483">T46+T52</f>
        <v>35723.1</v>
      </c>
      <c r="U297" s="30">
        <f t="shared" si="483"/>
        <v>0</v>
      </c>
      <c r="V297" s="30"/>
      <c r="W297" s="30">
        <f t="shared" ref="W297:X300" si="484">W46+W52</f>
        <v>23815.399999999998</v>
      </c>
      <c r="X297" s="30">
        <f t="shared" si="484"/>
        <v>0</v>
      </c>
      <c r="Y297" s="30"/>
      <c r="Z297" s="30">
        <f t="shared" ref="Z297:AA300" si="485">Z46+Z52</f>
        <v>0</v>
      </c>
      <c r="AA297" s="30">
        <f t="shared" si="485"/>
        <v>0</v>
      </c>
      <c r="AB297" s="30"/>
      <c r="AC297" s="30">
        <f t="shared" ref="AC297:AD300" si="486">AC46+AC52</f>
        <v>0</v>
      </c>
      <c r="AD297" s="30">
        <f t="shared" si="486"/>
        <v>0</v>
      </c>
      <c r="AE297" s="30"/>
      <c r="AF297" s="30">
        <f t="shared" ref="AF297:AG300" si="487">AF46+AF52</f>
        <v>0</v>
      </c>
      <c r="AG297" s="30">
        <f t="shared" si="487"/>
        <v>0</v>
      </c>
      <c r="AH297" s="30"/>
      <c r="AI297" s="30">
        <f t="shared" ref="AI297:AJ300" si="488">AI46+AI52</f>
        <v>0</v>
      </c>
      <c r="AJ297" s="30">
        <f t="shared" si="488"/>
        <v>0</v>
      </c>
      <c r="AK297" s="30"/>
      <c r="AL297" s="30">
        <f t="shared" ref="AL297:AM300" si="489">AL46+AL52</f>
        <v>0</v>
      </c>
      <c r="AM297" s="30">
        <f t="shared" si="489"/>
        <v>0</v>
      </c>
      <c r="AN297" s="30"/>
      <c r="AO297" s="30">
        <f t="shared" ref="AO297:AP300" si="490">AO46+AO52</f>
        <v>0</v>
      </c>
      <c r="AP297" s="48">
        <f t="shared" si="490"/>
        <v>0</v>
      </c>
      <c r="AQ297" s="30"/>
      <c r="AR297" s="25"/>
      <c r="AS297" s="25"/>
    </row>
    <row r="298" spans="1:45" ht="24" customHeight="1" x14ac:dyDescent="0.25">
      <c r="A298" s="129"/>
      <c r="B298" s="130"/>
      <c r="C298" s="131"/>
      <c r="D298" s="29" t="s">
        <v>4</v>
      </c>
      <c r="E298" s="30">
        <f t="shared" si="477"/>
        <v>1016022</v>
      </c>
      <c r="F298" s="30">
        <f t="shared" si="453"/>
        <v>0</v>
      </c>
      <c r="G298" s="30">
        <f t="shared" si="478"/>
        <v>0</v>
      </c>
      <c r="H298" s="30">
        <f t="shared" si="479"/>
        <v>0</v>
      </c>
      <c r="I298" s="30">
        <f t="shared" si="479"/>
        <v>0</v>
      </c>
      <c r="J298" s="30"/>
      <c r="K298" s="30">
        <f t="shared" si="480"/>
        <v>0</v>
      </c>
      <c r="L298" s="30">
        <f t="shared" si="480"/>
        <v>0</v>
      </c>
      <c r="M298" s="30"/>
      <c r="N298" s="30">
        <f t="shared" si="481"/>
        <v>0</v>
      </c>
      <c r="O298" s="30">
        <f t="shared" si="481"/>
        <v>0</v>
      </c>
      <c r="P298" s="30"/>
      <c r="Q298" s="30">
        <f t="shared" si="482"/>
        <v>200390.5</v>
      </c>
      <c r="R298" s="30">
        <f t="shared" si="482"/>
        <v>0</v>
      </c>
      <c r="S298" s="30">
        <f t="shared" ref="S298:S299" si="491">R298/Q298*100</f>
        <v>0</v>
      </c>
      <c r="T298" s="30">
        <f t="shared" si="483"/>
        <v>124194.8</v>
      </c>
      <c r="U298" s="30">
        <f t="shared" si="483"/>
        <v>0</v>
      </c>
      <c r="V298" s="30"/>
      <c r="W298" s="30">
        <f t="shared" si="484"/>
        <v>124204.59999999999</v>
      </c>
      <c r="X298" s="30">
        <f t="shared" si="484"/>
        <v>0</v>
      </c>
      <c r="Y298" s="30"/>
      <c r="Z298" s="30">
        <f t="shared" si="485"/>
        <v>176820</v>
      </c>
      <c r="AA298" s="30">
        <f t="shared" si="485"/>
        <v>0</v>
      </c>
      <c r="AB298" s="30"/>
      <c r="AC298" s="30">
        <f t="shared" si="486"/>
        <v>113511.3</v>
      </c>
      <c r="AD298" s="30">
        <f t="shared" si="486"/>
        <v>0</v>
      </c>
      <c r="AE298" s="30"/>
      <c r="AF298" s="30">
        <f t="shared" si="487"/>
        <v>144021.29999999999</v>
      </c>
      <c r="AG298" s="30">
        <f t="shared" si="487"/>
        <v>0</v>
      </c>
      <c r="AH298" s="30"/>
      <c r="AI298" s="30">
        <f t="shared" si="488"/>
        <v>132879.5</v>
      </c>
      <c r="AJ298" s="30">
        <f t="shared" si="488"/>
        <v>0</v>
      </c>
      <c r="AK298" s="30">
        <f t="shared" ref="AK298:AK299" si="492">AJ298/AI298*100</f>
        <v>0</v>
      </c>
      <c r="AL298" s="30">
        <f t="shared" si="489"/>
        <v>0</v>
      </c>
      <c r="AM298" s="30">
        <f t="shared" si="489"/>
        <v>0</v>
      </c>
      <c r="AN298" s="30" t="e">
        <f t="shared" ref="AN298:AN299" si="493">AM298/AL298*100</f>
        <v>#DIV/0!</v>
      </c>
      <c r="AO298" s="30">
        <f t="shared" si="490"/>
        <v>0</v>
      </c>
      <c r="AP298" s="48">
        <f t="shared" si="490"/>
        <v>0</v>
      </c>
      <c r="AQ298" s="30"/>
      <c r="AR298" s="25"/>
      <c r="AS298" s="25"/>
    </row>
    <row r="299" spans="1:45" ht="13.5" customHeight="1" x14ac:dyDescent="0.25">
      <c r="A299" s="129"/>
      <c r="B299" s="130"/>
      <c r="C299" s="131"/>
      <c r="D299" s="29" t="s">
        <v>43</v>
      </c>
      <c r="E299" s="30">
        <f t="shared" si="477"/>
        <v>218086.99999999997</v>
      </c>
      <c r="F299" s="30">
        <f t="shared" si="453"/>
        <v>0</v>
      </c>
      <c r="G299" s="30">
        <f t="shared" si="478"/>
        <v>0</v>
      </c>
      <c r="H299" s="30">
        <f t="shared" si="479"/>
        <v>0</v>
      </c>
      <c r="I299" s="30">
        <f t="shared" si="479"/>
        <v>0</v>
      </c>
      <c r="J299" s="30"/>
      <c r="K299" s="30">
        <f t="shared" si="480"/>
        <v>0</v>
      </c>
      <c r="L299" s="30">
        <f t="shared" si="480"/>
        <v>0</v>
      </c>
      <c r="M299" s="30"/>
      <c r="N299" s="30">
        <f t="shared" si="481"/>
        <v>0</v>
      </c>
      <c r="O299" s="30">
        <f t="shared" si="481"/>
        <v>0</v>
      </c>
      <c r="P299" s="30"/>
      <c r="Q299" s="30">
        <f t="shared" si="482"/>
        <v>38165.4</v>
      </c>
      <c r="R299" s="30">
        <f t="shared" si="482"/>
        <v>0</v>
      </c>
      <c r="S299" s="30">
        <f t="shared" si="491"/>
        <v>0</v>
      </c>
      <c r="T299" s="30">
        <f t="shared" si="483"/>
        <v>17768.599999999999</v>
      </c>
      <c r="U299" s="30">
        <f t="shared" si="483"/>
        <v>0</v>
      </c>
      <c r="V299" s="30">
        <f t="shared" ref="V299" si="494">U299/T299*100</f>
        <v>0</v>
      </c>
      <c r="W299" s="30">
        <f t="shared" si="484"/>
        <v>16446.7</v>
      </c>
      <c r="X299" s="30">
        <f t="shared" si="484"/>
        <v>0</v>
      </c>
      <c r="Y299" s="30">
        <f t="shared" ref="Y299" si="495">X299/W299*100</f>
        <v>0</v>
      </c>
      <c r="Z299" s="30">
        <f t="shared" si="485"/>
        <v>40224.199999999997</v>
      </c>
      <c r="AA299" s="30">
        <f t="shared" si="485"/>
        <v>0</v>
      </c>
      <c r="AB299" s="30"/>
      <c r="AC299" s="30">
        <f t="shared" si="486"/>
        <v>12612.4</v>
      </c>
      <c r="AD299" s="30">
        <f t="shared" si="486"/>
        <v>0</v>
      </c>
      <c r="AE299" s="30"/>
      <c r="AF299" s="30">
        <f t="shared" si="487"/>
        <v>16002.4</v>
      </c>
      <c r="AG299" s="30">
        <f t="shared" si="487"/>
        <v>0</v>
      </c>
      <c r="AH299" s="30"/>
      <c r="AI299" s="30">
        <f t="shared" si="488"/>
        <v>14764.4</v>
      </c>
      <c r="AJ299" s="30">
        <f t="shared" si="488"/>
        <v>0</v>
      </c>
      <c r="AK299" s="30">
        <f t="shared" si="492"/>
        <v>0</v>
      </c>
      <c r="AL299" s="30">
        <f t="shared" si="489"/>
        <v>49850</v>
      </c>
      <c r="AM299" s="30">
        <f t="shared" si="489"/>
        <v>0</v>
      </c>
      <c r="AN299" s="30">
        <f t="shared" si="493"/>
        <v>0</v>
      </c>
      <c r="AO299" s="30">
        <f t="shared" si="490"/>
        <v>12252.9</v>
      </c>
      <c r="AP299" s="48">
        <f t="shared" si="490"/>
        <v>0</v>
      </c>
      <c r="AQ299" s="30"/>
      <c r="AR299" s="25"/>
      <c r="AS299" s="25"/>
    </row>
    <row r="300" spans="1:45" x14ac:dyDescent="0.25">
      <c r="A300" s="129"/>
      <c r="B300" s="130"/>
      <c r="C300" s="131"/>
      <c r="D300" s="29" t="s">
        <v>21</v>
      </c>
      <c r="E300" s="30">
        <f t="shared" si="477"/>
        <v>0</v>
      </c>
      <c r="F300" s="30">
        <f t="shared" si="453"/>
        <v>0</v>
      </c>
      <c r="G300" s="30"/>
      <c r="H300" s="30">
        <f t="shared" si="479"/>
        <v>0</v>
      </c>
      <c r="I300" s="30">
        <f t="shared" si="479"/>
        <v>0</v>
      </c>
      <c r="J300" s="30"/>
      <c r="K300" s="30">
        <f t="shared" si="480"/>
        <v>0</v>
      </c>
      <c r="L300" s="30">
        <f t="shared" si="480"/>
        <v>0</v>
      </c>
      <c r="M300" s="30"/>
      <c r="N300" s="30">
        <f t="shared" si="481"/>
        <v>0</v>
      </c>
      <c r="O300" s="30">
        <f t="shared" si="481"/>
        <v>0</v>
      </c>
      <c r="P300" s="30"/>
      <c r="Q300" s="30">
        <f t="shared" si="482"/>
        <v>0</v>
      </c>
      <c r="R300" s="30">
        <f t="shared" si="482"/>
        <v>0</v>
      </c>
      <c r="S300" s="30"/>
      <c r="T300" s="30">
        <f t="shared" si="483"/>
        <v>0</v>
      </c>
      <c r="U300" s="30">
        <f t="shared" si="483"/>
        <v>0</v>
      </c>
      <c r="V300" s="30"/>
      <c r="W300" s="30">
        <f t="shared" si="484"/>
        <v>0</v>
      </c>
      <c r="X300" s="30">
        <f t="shared" si="484"/>
        <v>0</v>
      </c>
      <c r="Y300" s="30"/>
      <c r="Z300" s="30">
        <f t="shared" si="485"/>
        <v>0</v>
      </c>
      <c r="AA300" s="30">
        <f t="shared" si="485"/>
        <v>0</v>
      </c>
      <c r="AB300" s="30"/>
      <c r="AC300" s="30">
        <f t="shared" si="486"/>
        <v>0</v>
      </c>
      <c r="AD300" s="30">
        <f t="shared" si="486"/>
        <v>0</v>
      </c>
      <c r="AE300" s="30"/>
      <c r="AF300" s="30">
        <f t="shared" si="487"/>
        <v>0</v>
      </c>
      <c r="AG300" s="30">
        <f t="shared" si="487"/>
        <v>0</v>
      </c>
      <c r="AH300" s="30"/>
      <c r="AI300" s="30">
        <f t="shared" si="488"/>
        <v>0</v>
      </c>
      <c r="AJ300" s="30">
        <f t="shared" si="488"/>
        <v>0</v>
      </c>
      <c r="AK300" s="30"/>
      <c r="AL300" s="30">
        <f t="shared" si="489"/>
        <v>0</v>
      </c>
      <c r="AM300" s="30">
        <f t="shared" si="489"/>
        <v>0</v>
      </c>
      <c r="AN300" s="30"/>
      <c r="AO300" s="30">
        <f t="shared" si="490"/>
        <v>0</v>
      </c>
      <c r="AP300" s="48">
        <f t="shared" si="490"/>
        <v>0</v>
      </c>
      <c r="AQ300" s="30"/>
      <c r="AR300" s="25"/>
      <c r="AS300" s="25"/>
    </row>
    <row r="301" spans="1:45" ht="14.25" customHeight="1" x14ac:dyDescent="0.25">
      <c r="A301" s="132"/>
      <c r="B301" s="133"/>
      <c r="C301" s="134"/>
      <c r="D301" s="29" t="s">
        <v>115</v>
      </c>
      <c r="E301" s="30"/>
      <c r="F301" s="30">
        <f t="shared" si="453"/>
        <v>0</v>
      </c>
      <c r="G301" s="30"/>
      <c r="H301" s="30"/>
      <c r="I301" s="30"/>
      <c r="J301" s="30"/>
      <c r="K301" s="30"/>
      <c r="L301" s="30"/>
      <c r="M301" s="30"/>
      <c r="N301" s="30"/>
      <c r="O301" s="30">
        <f>O50</f>
        <v>0</v>
      </c>
      <c r="P301" s="30"/>
      <c r="Q301" s="30"/>
      <c r="R301" s="30">
        <f>R50</f>
        <v>0</v>
      </c>
      <c r="S301" s="30"/>
      <c r="T301" s="30"/>
      <c r="U301" s="30">
        <f>U50</f>
        <v>0</v>
      </c>
      <c r="V301" s="30"/>
      <c r="W301" s="30"/>
      <c r="X301" s="30">
        <f>X50</f>
        <v>0</v>
      </c>
      <c r="Y301" s="30"/>
      <c r="Z301" s="30"/>
      <c r="AA301" s="30"/>
      <c r="AB301" s="30"/>
      <c r="AC301" s="30"/>
      <c r="AD301" s="30"/>
      <c r="AE301" s="30"/>
      <c r="AF301" s="30"/>
      <c r="AG301" s="30">
        <f>AG50</f>
        <v>0</v>
      </c>
      <c r="AH301" s="30"/>
      <c r="AI301" s="30"/>
      <c r="AJ301" s="30">
        <f>AJ50</f>
        <v>0</v>
      </c>
      <c r="AK301" s="30"/>
      <c r="AL301" s="30"/>
      <c r="AM301" s="30">
        <f>AM50</f>
        <v>0</v>
      </c>
      <c r="AN301" s="30"/>
      <c r="AO301" s="30"/>
      <c r="AP301" s="48"/>
      <c r="AQ301" s="40"/>
      <c r="AR301" s="25"/>
      <c r="AS301" s="25"/>
    </row>
    <row r="302" spans="1:45" ht="12.6" customHeight="1" x14ac:dyDescent="0.25">
      <c r="A302" s="126" t="s">
        <v>110</v>
      </c>
      <c r="B302" s="127"/>
      <c r="C302" s="128"/>
      <c r="D302" s="29" t="s">
        <v>3</v>
      </c>
      <c r="E302" s="30">
        <f>H302+K302+N302+Q302+T302+W302+Z302+AC302+AF302+AI302+AL302+AO302</f>
        <v>1991615.0000000002</v>
      </c>
      <c r="F302" s="30">
        <f t="shared" si="453"/>
        <v>345776.50099999999</v>
      </c>
      <c r="G302" s="30">
        <f>F302/E302*100</f>
        <v>17.361613615081225</v>
      </c>
      <c r="H302" s="30">
        <f>H303+H304+H305+H306</f>
        <v>52561.3</v>
      </c>
      <c r="I302" s="30">
        <f>I303+I304+I305+I306</f>
        <v>49161.1</v>
      </c>
      <c r="J302" s="30">
        <f>I302/H302*100</f>
        <v>93.53098192015797</v>
      </c>
      <c r="K302" s="30">
        <f>K303+K304+K305+K306</f>
        <v>173045.7</v>
      </c>
      <c r="L302" s="30">
        <f>L303+L304+L305+L306</f>
        <v>167047.50099999999</v>
      </c>
      <c r="M302" s="30">
        <f>L302/K302*100</f>
        <v>96.533748599358432</v>
      </c>
      <c r="N302" s="30">
        <f>N303+N304+N305+N306</f>
        <v>136887.70000000001</v>
      </c>
      <c r="O302" s="30">
        <f>O303+O304+O305+O306</f>
        <v>129567.90000000001</v>
      </c>
      <c r="P302" s="30">
        <f>O302/N302*100</f>
        <v>94.652697064820288</v>
      </c>
      <c r="Q302" s="30">
        <f>Q303+Q304+Q305+Q306</f>
        <v>177922.40000000002</v>
      </c>
      <c r="R302" s="30">
        <f>R303+R304+R305+R306</f>
        <v>0</v>
      </c>
      <c r="S302" s="30">
        <f>R302/Q302*100</f>
        <v>0</v>
      </c>
      <c r="T302" s="30">
        <f>T303+T304+T305+T306</f>
        <v>236149.5</v>
      </c>
      <c r="U302" s="30">
        <f>U303+U304+U305+U306</f>
        <v>0</v>
      </c>
      <c r="V302" s="30">
        <f>U302/T302*100</f>
        <v>0</v>
      </c>
      <c r="W302" s="30">
        <f>W303+W304+W305+W306</f>
        <v>321532.50000000006</v>
      </c>
      <c r="X302" s="30">
        <f>X303+X304+X305+X306</f>
        <v>0</v>
      </c>
      <c r="Y302" s="30">
        <f>X302/W302*100</f>
        <v>0</v>
      </c>
      <c r="Z302" s="30">
        <f>Z303+Z304+Z305+Z306</f>
        <v>177327.60000000003</v>
      </c>
      <c r="AA302" s="30">
        <f>AA303+AA304+AA305+AA306</f>
        <v>0</v>
      </c>
      <c r="AB302" s="30">
        <f>AA302/Z302*100</f>
        <v>0</v>
      </c>
      <c r="AC302" s="30">
        <f>AC303+AC304+AC305+AC306</f>
        <v>115174.29999999999</v>
      </c>
      <c r="AD302" s="30">
        <f>AD303+AD304+AD305+AD306</f>
        <v>0</v>
      </c>
      <c r="AE302" s="30">
        <f>AD302/AC302*100</f>
        <v>0</v>
      </c>
      <c r="AF302" s="30">
        <f>AF303+AF304+AF305+AF306</f>
        <v>100511.6</v>
      </c>
      <c r="AG302" s="30">
        <f>AG303+AG304+AG305+AG306</f>
        <v>0</v>
      </c>
      <c r="AH302" s="30">
        <f>AG302/AF302*100</f>
        <v>0</v>
      </c>
      <c r="AI302" s="30">
        <f>AI303+AI304+AI305+AI306</f>
        <v>170227.99999999997</v>
      </c>
      <c r="AJ302" s="30">
        <f>AJ303+AJ304+AJ305+AJ306</f>
        <v>0</v>
      </c>
      <c r="AK302" s="30">
        <f>AJ302/AI302*100</f>
        <v>0</v>
      </c>
      <c r="AL302" s="30">
        <f>AL303+AL304+AL305+AL306</f>
        <v>139108.20000000001</v>
      </c>
      <c r="AM302" s="30">
        <f>AM303+AM304+AM305+AM306</f>
        <v>0</v>
      </c>
      <c r="AN302" s="30">
        <f>AM302/AL302*100</f>
        <v>0</v>
      </c>
      <c r="AO302" s="30">
        <f>AO303+AO304+AO305+AO306</f>
        <v>191166.2</v>
      </c>
      <c r="AP302" s="49"/>
      <c r="AQ302" s="30">
        <f>AP302/AO302*100</f>
        <v>0</v>
      </c>
      <c r="AR302" s="25"/>
      <c r="AS302" s="25"/>
    </row>
    <row r="303" spans="1:45" x14ac:dyDescent="0.25">
      <c r="A303" s="129"/>
      <c r="B303" s="130"/>
      <c r="C303" s="131"/>
      <c r="D303" s="29" t="s">
        <v>20</v>
      </c>
      <c r="E303" s="30">
        <f t="shared" ref="E303:E306" si="496">H303+K303+N303+Q303+T303+W303+Z303+AC303+AF303+AI303+AL303+AO303</f>
        <v>51259.199999999997</v>
      </c>
      <c r="F303" s="30">
        <f t="shared" si="453"/>
        <v>10798</v>
      </c>
      <c r="G303" s="30">
        <f>F303/E303*100</f>
        <v>21.065486780909577</v>
      </c>
      <c r="H303" s="30">
        <f t="shared" ref="H303:I306" si="497">H291-H297</f>
        <v>2809.2</v>
      </c>
      <c r="I303" s="30">
        <f t="shared" si="497"/>
        <v>2771</v>
      </c>
      <c r="J303" s="30">
        <f>I303/H303*100</f>
        <v>98.640182258294189</v>
      </c>
      <c r="K303" s="30">
        <f t="shared" ref="K303:L306" si="498">K291-K297</f>
        <v>4486.1000000000004</v>
      </c>
      <c r="L303" s="30">
        <f t="shared" si="498"/>
        <v>4201</v>
      </c>
      <c r="M303" s="30">
        <f>L303/K303*100</f>
        <v>93.64481398096342</v>
      </c>
      <c r="N303" s="30">
        <f t="shared" ref="N303:O306" si="499">N291-N297</f>
        <v>4632.3999999999996</v>
      </c>
      <c r="O303" s="30">
        <f t="shared" si="499"/>
        <v>3826</v>
      </c>
      <c r="P303" s="30">
        <f>O303/N303*100</f>
        <v>82.592176841378134</v>
      </c>
      <c r="Q303" s="30">
        <f t="shared" ref="Q303:R306" si="500">Q291-Q297</f>
        <v>4491.1999999999971</v>
      </c>
      <c r="R303" s="30">
        <f t="shared" si="500"/>
        <v>0</v>
      </c>
      <c r="S303" s="30">
        <f>R303/Q303*100</f>
        <v>0</v>
      </c>
      <c r="T303" s="30">
        <f t="shared" ref="T303:U306" si="501">T291-T297</f>
        <v>6545.0999999999985</v>
      </c>
      <c r="U303" s="30">
        <f t="shared" si="501"/>
        <v>0</v>
      </c>
      <c r="V303" s="30">
        <f>U303/T303*100</f>
        <v>0</v>
      </c>
      <c r="W303" s="30">
        <f t="shared" ref="W303:X306" si="502">W291-W297</f>
        <v>7169.4000000000015</v>
      </c>
      <c r="X303" s="30">
        <f t="shared" si="502"/>
        <v>0</v>
      </c>
      <c r="Y303" s="30">
        <f>X303/W303*100</f>
        <v>0</v>
      </c>
      <c r="Z303" s="30">
        <f t="shared" ref="Z303:AA306" si="503">Z291-Z297</f>
        <v>68.2</v>
      </c>
      <c r="AA303" s="30">
        <f t="shared" si="503"/>
        <v>0</v>
      </c>
      <c r="AB303" s="30">
        <f>AA303/Z303*100</f>
        <v>0</v>
      </c>
      <c r="AC303" s="30">
        <f t="shared" ref="AC303:AD306" si="504">AC291-AC297</f>
        <v>821.6</v>
      </c>
      <c r="AD303" s="30">
        <f t="shared" si="504"/>
        <v>0</v>
      </c>
      <c r="AE303" s="30">
        <f>AD303/AC303*100</f>
        <v>0</v>
      </c>
      <c r="AF303" s="30">
        <f t="shared" ref="AF303:AG306" si="505">AF291-AF297</f>
        <v>2940</v>
      </c>
      <c r="AG303" s="30">
        <f t="shared" si="505"/>
        <v>0</v>
      </c>
      <c r="AH303" s="30">
        <f>AG303/AF303*100</f>
        <v>0</v>
      </c>
      <c r="AI303" s="30">
        <f t="shared" ref="AI303:AJ306" si="506">AI291-AI297</f>
        <v>4852.8999999999996</v>
      </c>
      <c r="AJ303" s="30">
        <f t="shared" si="506"/>
        <v>0</v>
      </c>
      <c r="AK303" s="30">
        <f>AJ303/AI303*100</f>
        <v>0</v>
      </c>
      <c r="AL303" s="30">
        <f t="shared" ref="AL303:AM306" si="507">AL291-AL297</f>
        <v>4958.8999999999996</v>
      </c>
      <c r="AM303" s="30">
        <f t="shared" si="507"/>
        <v>0</v>
      </c>
      <c r="AN303" s="30">
        <f>AM303/AL303*100</f>
        <v>0</v>
      </c>
      <c r="AO303" s="30">
        <f t="shared" ref="AO303:AP306" si="508">AO291-AO297</f>
        <v>7484.2</v>
      </c>
      <c r="AP303" s="48">
        <f t="shared" si="508"/>
        <v>0</v>
      </c>
      <c r="AQ303" s="30">
        <f>AP303/AO303*100</f>
        <v>0</v>
      </c>
      <c r="AR303" s="25"/>
      <c r="AS303" s="25"/>
    </row>
    <row r="304" spans="1:45" ht="25.5" customHeight="1" x14ac:dyDescent="0.25">
      <c r="A304" s="129"/>
      <c r="B304" s="130"/>
      <c r="C304" s="131"/>
      <c r="D304" s="29" t="s">
        <v>4</v>
      </c>
      <c r="E304" s="30">
        <f t="shared" si="496"/>
        <v>1576288.3</v>
      </c>
      <c r="F304" s="30">
        <f t="shared" si="453"/>
        <v>264843</v>
      </c>
      <c r="G304" s="30">
        <f>F304/E304*100</f>
        <v>16.801685326218561</v>
      </c>
      <c r="H304" s="30">
        <f t="shared" si="497"/>
        <v>38540.800000000003</v>
      </c>
      <c r="I304" s="30">
        <f t="shared" si="497"/>
        <v>38514.199999999997</v>
      </c>
      <c r="J304" s="30">
        <f>I304/H304*100</f>
        <v>99.930982231816657</v>
      </c>
      <c r="K304" s="30">
        <f t="shared" si="498"/>
        <v>131556.79999999999</v>
      </c>
      <c r="L304" s="30">
        <f t="shared" si="498"/>
        <v>128259.59999999999</v>
      </c>
      <c r="M304" s="30">
        <f>L304/K304*100</f>
        <v>97.49370614061759</v>
      </c>
      <c r="N304" s="30">
        <f t="shared" si="499"/>
        <v>100457.90000000001</v>
      </c>
      <c r="O304" s="30">
        <f t="shared" si="499"/>
        <v>98069.200000000012</v>
      </c>
      <c r="P304" s="30">
        <f>O304/N304*100</f>
        <v>97.622188001142774</v>
      </c>
      <c r="Q304" s="30">
        <f t="shared" si="500"/>
        <v>135717.20000000001</v>
      </c>
      <c r="R304" s="30">
        <f t="shared" si="500"/>
        <v>0</v>
      </c>
      <c r="S304" s="30">
        <f>R304/Q304*100</f>
        <v>0</v>
      </c>
      <c r="T304" s="30">
        <f t="shared" si="501"/>
        <v>197280.2</v>
      </c>
      <c r="U304" s="30">
        <f t="shared" si="501"/>
        <v>0</v>
      </c>
      <c r="V304" s="30">
        <f>U304/T304*100</f>
        <v>0</v>
      </c>
      <c r="W304" s="30">
        <f t="shared" si="502"/>
        <v>278436.30000000005</v>
      </c>
      <c r="X304" s="30">
        <f t="shared" si="502"/>
        <v>0</v>
      </c>
      <c r="Y304" s="30">
        <f>X304/W304*100</f>
        <v>0</v>
      </c>
      <c r="Z304" s="30">
        <f t="shared" si="503"/>
        <v>146392.5</v>
      </c>
      <c r="AA304" s="30">
        <f t="shared" si="503"/>
        <v>0</v>
      </c>
      <c r="AB304" s="30">
        <f>AA304/Z304*100</f>
        <v>0</v>
      </c>
      <c r="AC304" s="30">
        <f t="shared" si="504"/>
        <v>90260.099999999991</v>
      </c>
      <c r="AD304" s="30">
        <f t="shared" si="504"/>
        <v>0</v>
      </c>
      <c r="AE304" s="30">
        <f>AD304/AC304*100</f>
        <v>0</v>
      </c>
      <c r="AF304" s="30">
        <f t="shared" si="505"/>
        <v>81024</v>
      </c>
      <c r="AG304" s="30">
        <f t="shared" si="505"/>
        <v>0</v>
      </c>
      <c r="AH304" s="30">
        <f>AG304/AF304*100</f>
        <v>0</v>
      </c>
      <c r="AI304" s="30">
        <f t="shared" si="506"/>
        <v>133199.79999999999</v>
      </c>
      <c r="AJ304" s="30">
        <f t="shared" si="506"/>
        <v>0</v>
      </c>
      <c r="AK304" s="30">
        <f>AJ304/AI304*100</f>
        <v>0</v>
      </c>
      <c r="AL304" s="30">
        <f t="shared" si="507"/>
        <v>105319.3</v>
      </c>
      <c r="AM304" s="30">
        <f t="shared" si="507"/>
        <v>0</v>
      </c>
      <c r="AN304" s="30">
        <f>AM304/AL304*100</f>
        <v>0</v>
      </c>
      <c r="AO304" s="30">
        <f t="shared" si="508"/>
        <v>138103.4</v>
      </c>
      <c r="AP304" s="48">
        <f t="shared" si="508"/>
        <v>0</v>
      </c>
      <c r="AQ304" s="30">
        <f>AP304/AO304*100</f>
        <v>0</v>
      </c>
      <c r="AR304" s="25"/>
      <c r="AS304" s="25"/>
    </row>
    <row r="305" spans="1:45" ht="12.75" customHeight="1" x14ac:dyDescent="0.25">
      <c r="A305" s="129"/>
      <c r="B305" s="130"/>
      <c r="C305" s="131"/>
      <c r="D305" s="29" t="s">
        <v>43</v>
      </c>
      <c r="E305" s="30">
        <f t="shared" si="496"/>
        <v>364067.5</v>
      </c>
      <c r="F305" s="30">
        <f t="shared" si="453"/>
        <v>70135.500999999989</v>
      </c>
      <c r="G305" s="30">
        <f t="shared" ref="G305" si="509">F305/E305*100</f>
        <v>19.264422394198874</v>
      </c>
      <c r="H305" s="30">
        <f t="shared" si="497"/>
        <v>11211.3</v>
      </c>
      <c r="I305" s="30">
        <f t="shared" si="497"/>
        <v>7875.9</v>
      </c>
      <c r="J305" s="30">
        <f t="shared" ref="J305" si="510">I305/H305*100</f>
        <v>70.24965882636269</v>
      </c>
      <c r="K305" s="30">
        <f t="shared" si="498"/>
        <v>37002.800000000003</v>
      </c>
      <c r="L305" s="30">
        <f t="shared" si="498"/>
        <v>34586.900999999998</v>
      </c>
      <c r="M305" s="30">
        <f t="shared" ref="M305" si="511">L305/K305*100</f>
        <v>93.471037326904977</v>
      </c>
      <c r="N305" s="30">
        <f t="shared" si="499"/>
        <v>31797.399999999998</v>
      </c>
      <c r="O305" s="30">
        <f t="shared" si="499"/>
        <v>27672.699999999997</v>
      </c>
      <c r="P305" s="30">
        <f t="shared" ref="P305" si="512">O305/N305*100</f>
        <v>87.028184694346081</v>
      </c>
      <c r="Q305" s="30">
        <f t="shared" si="500"/>
        <v>37714.000000000007</v>
      </c>
      <c r="R305" s="30">
        <f t="shared" si="500"/>
        <v>0</v>
      </c>
      <c r="S305" s="30">
        <f t="shared" ref="S305" si="513">R305/Q305*100</f>
        <v>0</v>
      </c>
      <c r="T305" s="30">
        <f t="shared" si="501"/>
        <v>32324.19999999999</v>
      </c>
      <c r="U305" s="30">
        <f t="shared" si="501"/>
        <v>0</v>
      </c>
      <c r="V305" s="30">
        <f t="shared" ref="V305" si="514">U305/T305*100</f>
        <v>0</v>
      </c>
      <c r="W305" s="30">
        <f t="shared" si="502"/>
        <v>35926.800000000003</v>
      </c>
      <c r="X305" s="30">
        <f t="shared" si="502"/>
        <v>0</v>
      </c>
      <c r="Y305" s="30">
        <f t="shared" ref="Y305" si="515">X305/W305*100</f>
        <v>0</v>
      </c>
      <c r="Z305" s="30">
        <f t="shared" si="503"/>
        <v>30866.900000000009</v>
      </c>
      <c r="AA305" s="30">
        <f t="shared" si="503"/>
        <v>0</v>
      </c>
      <c r="AB305" s="30">
        <f t="shared" ref="AB305" si="516">AA305/Z305*100</f>
        <v>0</v>
      </c>
      <c r="AC305" s="30">
        <f t="shared" si="504"/>
        <v>24092.599999999991</v>
      </c>
      <c r="AD305" s="30">
        <f t="shared" si="504"/>
        <v>0</v>
      </c>
      <c r="AE305" s="30">
        <f t="shared" ref="AE305" si="517">AD305/AC305*100</f>
        <v>0</v>
      </c>
      <c r="AF305" s="30">
        <f t="shared" si="505"/>
        <v>16547.599999999999</v>
      </c>
      <c r="AG305" s="30">
        <f t="shared" si="505"/>
        <v>0</v>
      </c>
      <c r="AH305" s="30">
        <f t="shared" ref="AH305" si="518">AG305/AF305*100</f>
        <v>0</v>
      </c>
      <c r="AI305" s="30">
        <f t="shared" si="506"/>
        <v>32175.299999999996</v>
      </c>
      <c r="AJ305" s="30">
        <f t="shared" si="506"/>
        <v>0</v>
      </c>
      <c r="AK305" s="30">
        <f t="shared" ref="AK305" si="519">AJ305/AI305*100</f>
        <v>0</v>
      </c>
      <c r="AL305" s="30">
        <f t="shared" si="507"/>
        <v>28830</v>
      </c>
      <c r="AM305" s="30">
        <f t="shared" si="507"/>
        <v>0</v>
      </c>
      <c r="AN305" s="30">
        <f t="shared" ref="AN305" si="520">AM305/AL305*100</f>
        <v>0</v>
      </c>
      <c r="AO305" s="30">
        <f t="shared" si="508"/>
        <v>45578.6</v>
      </c>
      <c r="AP305" s="48">
        <f t="shared" si="508"/>
        <v>0</v>
      </c>
      <c r="AQ305" s="30">
        <f t="shared" ref="AQ305" si="521">AP305/AO305*100</f>
        <v>0</v>
      </c>
      <c r="AR305" s="25"/>
      <c r="AS305" s="25"/>
    </row>
    <row r="306" spans="1:45" x14ac:dyDescent="0.25">
      <c r="A306" s="129"/>
      <c r="B306" s="130"/>
      <c r="C306" s="131"/>
      <c r="D306" s="29" t="s">
        <v>21</v>
      </c>
      <c r="E306" s="30">
        <f t="shared" si="496"/>
        <v>0</v>
      </c>
      <c r="F306" s="30">
        <f t="shared" si="453"/>
        <v>0</v>
      </c>
      <c r="G306" s="30"/>
      <c r="H306" s="30">
        <f t="shared" si="497"/>
        <v>0</v>
      </c>
      <c r="I306" s="30">
        <f t="shared" si="497"/>
        <v>0</v>
      </c>
      <c r="J306" s="30"/>
      <c r="K306" s="30">
        <f t="shared" si="498"/>
        <v>0</v>
      </c>
      <c r="L306" s="30">
        <f t="shared" si="498"/>
        <v>0</v>
      </c>
      <c r="M306" s="30"/>
      <c r="N306" s="30">
        <f t="shared" si="499"/>
        <v>0</v>
      </c>
      <c r="O306" s="30">
        <f t="shared" si="499"/>
        <v>0</v>
      </c>
      <c r="P306" s="30"/>
      <c r="Q306" s="30">
        <f t="shared" si="500"/>
        <v>0</v>
      </c>
      <c r="R306" s="30">
        <f t="shared" si="500"/>
        <v>0</v>
      </c>
      <c r="S306" s="30"/>
      <c r="T306" s="30">
        <f t="shared" si="501"/>
        <v>0</v>
      </c>
      <c r="U306" s="30">
        <f t="shared" si="501"/>
        <v>0</v>
      </c>
      <c r="V306" s="30"/>
      <c r="W306" s="30">
        <f t="shared" si="502"/>
        <v>0</v>
      </c>
      <c r="X306" s="30">
        <f t="shared" si="502"/>
        <v>0</v>
      </c>
      <c r="Y306" s="30"/>
      <c r="Z306" s="30">
        <f t="shared" si="503"/>
        <v>0</v>
      </c>
      <c r="AA306" s="30">
        <f t="shared" si="503"/>
        <v>0</v>
      </c>
      <c r="AB306" s="30"/>
      <c r="AC306" s="30">
        <f t="shared" si="504"/>
        <v>0</v>
      </c>
      <c r="AD306" s="30">
        <f t="shared" si="504"/>
        <v>0</v>
      </c>
      <c r="AE306" s="30"/>
      <c r="AF306" s="30">
        <f t="shared" si="505"/>
        <v>0</v>
      </c>
      <c r="AG306" s="30">
        <f t="shared" si="505"/>
        <v>0</v>
      </c>
      <c r="AH306" s="30"/>
      <c r="AI306" s="30">
        <f t="shared" si="506"/>
        <v>0</v>
      </c>
      <c r="AJ306" s="30">
        <f t="shared" si="506"/>
        <v>0</v>
      </c>
      <c r="AK306" s="30"/>
      <c r="AL306" s="30">
        <f t="shared" si="507"/>
        <v>0</v>
      </c>
      <c r="AM306" s="30">
        <f t="shared" si="507"/>
        <v>0</v>
      </c>
      <c r="AN306" s="30"/>
      <c r="AO306" s="30">
        <f t="shared" si="508"/>
        <v>0</v>
      </c>
      <c r="AP306" s="48">
        <f t="shared" si="508"/>
        <v>0</v>
      </c>
      <c r="AQ306" s="30"/>
      <c r="AR306" s="25"/>
      <c r="AS306" s="25"/>
    </row>
    <row r="307" spans="1:45" ht="11.45" hidden="1" customHeight="1" x14ac:dyDescent="0.25">
      <c r="A307" s="132"/>
      <c r="B307" s="133"/>
      <c r="C307" s="134"/>
      <c r="D307" s="29" t="s">
        <v>115</v>
      </c>
      <c r="E307" s="30"/>
      <c r="F307" s="30">
        <f t="shared" si="453"/>
        <v>0</v>
      </c>
      <c r="G307" s="30"/>
      <c r="H307" s="30"/>
      <c r="I307" s="30"/>
      <c r="J307" s="30"/>
      <c r="K307" s="30"/>
      <c r="L307" s="30"/>
      <c r="M307" s="30"/>
      <c r="N307" s="30"/>
      <c r="O307" s="30">
        <f>O71</f>
        <v>0</v>
      </c>
      <c r="P307" s="30"/>
      <c r="Q307" s="30"/>
      <c r="R307" s="30">
        <f>R71</f>
        <v>0</v>
      </c>
      <c r="S307" s="30"/>
      <c r="T307" s="30"/>
      <c r="U307" s="30">
        <f>U71</f>
        <v>0</v>
      </c>
      <c r="V307" s="30"/>
      <c r="W307" s="30"/>
      <c r="X307" s="30">
        <f>X71</f>
        <v>0</v>
      </c>
      <c r="Y307" s="30"/>
      <c r="Z307" s="30"/>
      <c r="AA307" s="30">
        <f>AA71</f>
        <v>0</v>
      </c>
      <c r="AB307" s="30"/>
      <c r="AC307" s="30"/>
      <c r="AD307" s="30">
        <f>AD71</f>
        <v>0</v>
      </c>
      <c r="AE307" s="30"/>
      <c r="AF307" s="30"/>
      <c r="AG307" s="30">
        <f>AG71</f>
        <v>0</v>
      </c>
      <c r="AH307" s="30"/>
      <c r="AI307" s="30"/>
      <c r="AJ307" s="30">
        <f>AJ82</f>
        <v>0</v>
      </c>
      <c r="AK307" s="30"/>
      <c r="AL307" s="30"/>
      <c r="AM307" s="30">
        <f>AM82</f>
        <v>0</v>
      </c>
      <c r="AN307" s="30"/>
      <c r="AO307" s="30"/>
      <c r="AP307" s="48"/>
      <c r="AQ307" s="30"/>
      <c r="AR307" s="25"/>
      <c r="AS307" s="25"/>
    </row>
    <row r="308" spans="1:45" ht="15.75" customHeight="1" x14ac:dyDescent="0.25">
      <c r="A308" s="144" t="s">
        <v>111</v>
      </c>
      <c r="B308" s="145"/>
      <c r="C308" s="146"/>
      <c r="D308" s="29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49"/>
      <c r="AQ308" s="30"/>
      <c r="AR308" s="25"/>
      <c r="AS308" s="25"/>
    </row>
    <row r="309" spans="1:45" ht="14.45" customHeight="1" x14ac:dyDescent="0.25">
      <c r="A309" s="135" t="s">
        <v>143</v>
      </c>
      <c r="B309" s="136"/>
      <c r="C309" s="137"/>
      <c r="D309" s="26" t="s">
        <v>3</v>
      </c>
      <c r="E309" s="1">
        <f>H309+K309+N309+Q309+T309+W309+Z309+AC309+AF309+AI309+AL309+AO309</f>
        <v>1960555.3000000003</v>
      </c>
      <c r="F309" s="1">
        <f t="shared" ref="F309:F330" si="522">I309+L309+O309+R309+U309+X309+AA309+AD309+AG309+AJ309+AM309+AP309</f>
        <v>340225.1</v>
      </c>
      <c r="G309" s="1">
        <f>F309/E309*100</f>
        <v>17.353506937549781</v>
      </c>
      <c r="H309" s="1">
        <f>H310+H311+H312+H313</f>
        <v>52138.3</v>
      </c>
      <c r="I309" s="1">
        <f>I310+I311+I312+I313</f>
        <v>48761.1</v>
      </c>
      <c r="J309" s="1">
        <f>I309/H309*100</f>
        <v>93.522611976224766</v>
      </c>
      <c r="K309" s="1">
        <f>K310+K311+K312+K313</f>
        <v>169347.7</v>
      </c>
      <c r="L309" s="1">
        <f>L310+L311+L312+L313</f>
        <v>164638.49999999997</v>
      </c>
      <c r="M309" s="1">
        <f>L309/K309*100</f>
        <v>97.219212306987316</v>
      </c>
      <c r="N309" s="1">
        <f>N310+N311+N312+N313</f>
        <v>134058.4</v>
      </c>
      <c r="O309" s="1">
        <f>O310+O311+O312+O313</f>
        <v>126825.5</v>
      </c>
      <c r="P309" s="1">
        <f>O309/N309*100</f>
        <v>94.604664832640111</v>
      </c>
      <c r="Q309" s="1">
        <f>Q310+Q311+Q312+Q313</f>
        <v>174586.7</v>
      </c>
      <c r="R309" s="1">
        <f>R310+R311+R312+R313</f>
        <v>0</v>
      </c>
      <c r="S309" s="1">
        <f>R309/Q309*100</f>
        <v>0</v>
      </c>
      <c r="T309" s="1">
        <f>T310+T311+T312+T313</f>
        <v>233525.30000000002</v>
      </c>
      <c r="U309" s="1">
        <f>U310+U311+U312+U313</f>
        <v>0</v>
      </c>
      <c r="V309" s="1">
        <f>U309/T309*100</f>
        <v>0</v>
      </c>
      <c r="W309" s="1">
        <f>W310+W311+W312+W313</f>
        <v>318414.60000000009</v>
      </c>
      <c r="X309" s="1">
        <f>X310+X311+X312+X313</f>
        <v>0</v>
      </c>
      <c r="Y309" s="1">
        <f>X309/W309*100</f>
        <v>0</v>
      </c>
      <c r="Z309" s="1">
        <f>Z310+Z311+Z312+Z313</f>
        <v>174283.7</v>
      </c>
      <c r="AA309" s="1">
        <f>AA310+AA311+AA312+AA313</f>
        <v>0</v>
      </c>
      <c r="AB309" s="1">
        <f>AA309/Z309*100</f>
        <v>0</v>
      </c>
      <c r="AC309" s="1">
        <f>AC310+AC311+AC312+AC313</f>
        <v>113879.69999999998</v>
      </c>
      <c r="AD309" s="1">
        <f>AD310+AD311+AD312+AD313</f>
        <v>0</v>
      </c>
      <c r="AE309" s="1">
        <f>AD309/AC309*100</f>
        <v>0</v>
      </c>
      <c r="AF309" s="1">
        <f>AF310+AF311+AF312+AF313</f>
        <v>99361.3</v>
      </c>
      <c r="AG309" s="1">
        <f>AG310+AG311+AG312+AG313</f>
        <v>0</v>
      </c>
      <c r="AH309" s="1">
        <f>AG309/AF309*100</f>
        <v>0</v>
      </c>
      <c r="AI309" s="1">
        <f>AI310+AI311+AI312+AI313</f>
        <v>166377.39999999997</v>
      </c>
      <c r="AJ309" s="1">
        <f>AJ310+AJ311+AJ312+AJ313</f>
        <v>0</v>
      </c>
      <c r="AK309" s="1">
        <f>AJ309/AI309*100</f>
        <v>0</v>
      </c>
      <c r="AL309" s="1">
        <f>AL310+AL311+AL312+AL313</f>
        <v>135636.29999999999</v>
      </c>
      <c r="AM309" s="1">
        <f>AM310+AM311+AM312+AM313</f>
        <v>0</v>
      </c>
      <c r="AN309" s="1">
        <f>AM309/AL309*100</f>
        <v>0</v>
      </c>
      <c r="AO309" s="1">
        <f>AO310+AO311+AO312+AO313</f>
        <v>188945.90000000002</v>
      </c>
      <c r="AP309" s="49"/>
      <c r="AQ309" s="1">
        <f>AP309/AO309*100</f>
        <v>0</v>
      </c>
      <c r="AR309" s="25"/>
      <c r="AS309" s="25"/>
    </row>
    <row r="310" spans="1:45" x14ac:dyDescent="0.25">
      <c r="A310" s="138"/>
      <c r="B310" s="139"/>
      <c r="C310" s="140"/>
      <c r="D310" s="26" t="s">
        <v>20</v>
      </c>
      <c r="E310" s="1">
        <f t="shared" ref="E310:E313" si="523">H310+K310+N310+Q310+T310+W310+Z310+AC310+AF310+AI310+AL310+AO310</f>
        <v>51259.199999999997</v>
      </c>
      <c r="F310" s="1">
        <f>I310+L310+O310+R310+U310+X310+AA310+AD310+AG310+AJ310+AM310+AP310</f>
        <v>10798</v>
      </c>
      <c r="G310" s="1">
        <f>F310/E310*100</f>
        <v>21.065486780909577</v>
      </c>
      <c r="H310" s="1">
        <f>H291-H316-H322-H327</f>
        <v>2809.2</v>
      </c>
      <c r="I310" s="1">
        <f>I291-I316-I322-I327</f>
        <v>2771</v>
      </c>
      <c r="J310" s="1">
        <f t="shared" ref="J310:AP312" si="524">J291-J316-J322</f>
        <v>98.640182258294189</v>
      </c>
      <c r="K310" s="1">
        <f>K291-K316-K322-K327</f>
        <v>4486.1000000000004</v>
      </c>
      <c r="L310" s="1">
        <f>L291-L316-L322-L327</f>
        <v>4201</v>
      </c>
      <c r="M310" s="1">
        <f t="shared" si="524"/>
        <v>93.64481398096342</v>
      </c>
      <c r="N310" s="1">
        <f>N291-N316-N322-N327</f>
        <v>4632.3999999999996</v>
      </c>
      <c r="O310" s="1">
        <f>O291-O316-O322-O327</f>
        <v>3826</v>
      </c>
      <c r="P310" s="1">
        <f t="shared" si="524"/>
        <v>82.592176841378134</v>
      </c>
      <c r="Q310" s="1">
        <f>Q291-Q316-Q322-Q327</f>
        <v>4491.1999999999971</v>
      </c>
      <c r="R310" s="1">
        <f t="shared" si="524"/>
        <v>0</v>
      </c>
      <c r="S310" s="1">
        <f>R310/Q310*100</f>
        <v>0</v>
      </c>
      <c r="T310" s="1">
        <f>T291-T316-T322-T327</f>
        <v>6545.0999999999985</v>
      </c>
      <c r="U310" s="1">
        <f t="shared" si="524"/>
        <v>0</v>
      </c>
      <c r="V310" s="1">
        <f>U310/T310*100</f>
        <v>0</v>
      </c>
      <c r="W310" s="1">
        <f>W291-W316-W322-W327</f>
        <v>7169.4000000000015</v>
      </c>
      <c r="X310" s="1">
        <f t="shared" si="524"/>
        <v>0</v>
      </c>
      <c r="Y310" s="1">
        <f>X310/W310*100</f>
        <v>0</v>
      </c>
      <c r="Z310" s="1">
        <f>Z291-Z316-Z322-Z327</f>
        <v>68.2</v>
      </c>
      <c r="AA310" s="1">
        <f t="shared" ref="AA310:AA313" si="525">AA291-AA316-AA322</f>
        <v>0</v>
      </c>
      <c r="AB310" s="1">
        <f t="shared" ref="AB310:AB312" si="526">AA310/Z310*100</f>
        <v>0</v>
      </c>
      <c r="AC310" s="1">
        <f>AC291-AC316-AC322-AC327</f>
        <v>821.6</v>
      </c>
      <c r="AD310" s="1">
        <f t="shared" si="524"/>
        <v>0</v>
      </c>
      <c r="AE310" s="1">
        <f t="shared" ref="AE310:AE312" si="527">AD310/AC310*100</f>
        <v>0</v>
      </c>
      <c r="AF310" s="1">
        <f>AF291-AF316-AF322-AF327</f>
        <v>2940</v>
      </c>
      <c r="AG310" s="1">
        <f t="shared" si="524"/>
        <v>0</v>
      </c>
      <c r="AH310" s="1" t="e">
        <f t="shared" si="524"/>
        <v>#DIV/0!</v>
      </c>
      <c r="AI310" s="1">
        <f>AI291-AI316-AI322-AI327</f>
        <v>4852.8999999999996</v>
      </c>
      <c r="AJ310" s="1">
        <f t="shared" si="524"/>
        <v>0</v>
      </c>
      <c r="AK310" s="1">
        <f t="shared" ref="AK310:AK312" si="528">AJ310/AI310*100</f>
        <v>0</v>
      </c>
      <c r="AL310" s="1">
        <f>AL291-AL316-AL322-AL327</f>
        <v>4958.8999999999996</v>
      </c>
      <c r="AM310" s="1">
        <f t="shared" si="524"/>
        <v>0</v>
      </c>
      <c r="AN310" s="1">
        <f>AM310/AL310*100</f>
        <v>0</v>
      </c>
      <c r="AO310" s="1">
        <f>AO291-AO316-AO322-AO327</f>
        <v>7484.2</v>
      </c>
      <c r="AP310" s="48"/>
      <c r="AQ310" s="1">
        <f>AP310/AO310*100</f>
        <v>0</v>
      </c>
      <c r="AR310" s="25"/>
      <c r="AS310" s="25"/>
    </row>
    <row r="311" spans="1:45" ht="12" customHeight="1" x14ac:dyDescent="0.25">
      <c r="A311" s="138"/>
      <c r="B311" s="139"/>
      <c r="C311" s="140"/>
      <c r="D311" s="26" t="s">
        <v>4</v>
      </c>
      <c r="E311" s="1">
        <f t="shared" si="523"/>
        <v>1574880.9</v>
      </c>
      <c r="F311" s="1">
        <f t="shared" si="522"/>
        <v>264843</v>
      </c>
      <c r="G311" s="1">
        <f>F311/E311*100</f>
        <v>16.816700234284383</v>
      </c>
      <c r="H311" s="1">
        <f>H292-H317-H323-H328</f>
        <v>38540.800000000003</v>
      </c>
      <c r="I311" s="1">
        <f t="shared" ref="H311:J313" si="529">I292-I317-I323-I328</f>
        <v>38514.199999999997</v>
      </c>
      <c r="J311" s="1">
        <f t="shared" si="524"/>
        <v>99.930982231816657</v>
      </c>
      <c r="K311" s="1">
        <f>K292-K317-K323-K328</f>
        <v>131556.79999999999</v>
      </c>
      <c r="L311" s="1">
        <f t="shared" ref="L311" si="530">L292-L317-L323-L328</f>
        <v>128259.59999999999</v>
      </c>
      <c r="M311" s="1">
        <f t="shared" si="524"/>
        <v>97.49370614061759</v>
      </c>
      <c r="N311" s="1">
        <f>N292-N317-N323-N328</f>
        <v>100457.90000000001</v>
      </c>
      <c r="O311" s="1">
        <f t="shared" ref="O311" si="531">O292-O317-O323-O328</f>
        <v>98069.200000000012</v>
      </c>
      <c r="P311" s="1">
        <f t="shared" si="524"/>
        <v>97.622188001142774</v>
      </c>
      <c r="Q311" s="1">
        <f>Q292-Q317-Q323-Q328</f>
        <v>135252.80000000002</v>
      </c>
      <c r="R311" s="1">
        <f t="shared" si="524"/>
        <v>0</v>
      </c>
      <c r="S311" s="1">
        <f>R311/Q311*100</f>
        <v>0</v>
      </c>
      <c r="T311" s="1">
        <f>T292-T317-T323-T328</f>
        <v>197280.2</v>
      </c>
      <c r="U311" s="1">
        <f t="shared" si="524"/>
        <v>0</v>
      </c>
      <c r="V311" s="1">
        <f>U311/T311*100</f>
        <v>0</v>
      </c>
      <c r="W311" s="1">
        <f>W292-W317-W323-W328</f>
        <v>278436.30000000005</v>
      </c>
      <c r="X311" s="1">
        <f t="shared" si="524"/>
        <v>0</v>
      </c>
      <c r="Y311" s="1">
        <f>X311/W311*100</f>
        <v>0</v>
      </c>
      <c r="Z311" s="1">
        <f>Z292-Z317-Z323-Z328</f>
        <v>145713.9</v>
      </c>
      <c r="AA311" s="1">
        <f t="shared" si="525"/>
        <v>0</v>
      </c>
      <c r="AB311" s="1">
        <f t="shared" si="526"/>
        <v>0</v>
      </c>
      <c r="AC311" s="1">
        <f>AC292-AC317-AC323-AC328</f>
        <v>90260.099999999991</v>
      </c>
      <c r="AD311" s="1">
        <f t="shared" si="524"/>
        <v>0</v>
      </c>
      <c r="AE311" s="1">
        <f t="shared" si="527"/>
        <v>0</v>
      </c>
      <c r="AF311" s="1">
        <f t="shared" ref="AF311:AF312" si="532">AF292-AF317-AF323-AF328</f>
        <v>81024</v>
      </c>
      <c r="AG311" s="1">
        <f t="shared" si="524"/>
        <v>0</v>
      </c>
      <c r="AH311" s="1">
        <f t="shared" si="524"/>
        <v>0</v>
      </c>
      <c r="AI311" s="1">
        <f t="shared" ref="AI311:AI312" si="533">AI292-AI317-AI323-AI328</f>
        <v>133199.79999999999</v>
      </c>
      <c r="AJ311" s="1">
        <f t="shared" si="524"/>
        <v>0</v>
      </c>
      <c r="AK311" s="1">
        <f t="shared" si="528"/>
        <v>0</v>
      </c>
      <c r="AL311" s="1">
        <f t="shared" ref="AL311:AL312" si="534">AL292-AL317-AL323-AL328</f>
        <v>105054.90000000001</v>
      </c>
      <c r="AM311" s="1">
        <f t="shared" si="524"/>
        <v>0</v>
      </c>
      <c r="AN311" s="1">
        <f>AM311/AL311*100</f>
        <v>0</v>
      </c>
      <c r="AO311" s="1">
        <f t="shared" ref="AO311:AO312" si="535">AO292-AO317-AO323-AO328</f>
        <v>138103.4</v>
      </c>
      <c r="AP311" s="48"/>
      <c r="AQ311" s="1">
        <f>AP311/AO311*100</f>
        <v>0</v>
      </c>
      <c r="AR311" s="25"/>
      <c r="AS311" s="25"/>
    </row>
    <row r="312" spans="1:45" ht="12.75" customHeight="1" x14ac:dyDescent="0.25">
      <c r="A312" s="138"/>
      <c r="B312" s="139"/>
      <c r="C312" s="140"/>
      <c r="D312" s="26" t="s">
        <v>43</v>
      </c>
      <c r="E312" s="1">
        <f t="shared" si="523"/>
        <v>334415.2</v>
      </c>
      <c r="F312" s="1">
        <f t="shared" si="522"/>
        <v>64584.099999999991</v>
      </c>
      <c r="G312" s="1">
        <f t="shared" ref="G312" si="536">F312/E312*100</f>
        <v>19.312549190347806</v>
      </c>
      <c r="H312" s="1">
        <f t="shared" si="529"/>
        <v>10788.3</v>
      </c>
      <c r="I312" s="1">
        <f t="shared" si="529"/>
        <v>7475.9</v>
      </c>
      <c r="J312" s="1">
        <f t="shared" si="524"/>
        <v>-29.75034117363731</v>
      </c>
      <c r="K312" s="1">
        <f t="shared" ref="K312:L312" si="537">K293-K318-K324-K329</f>
        <v>33304.800000000003</v>
      </c>
      <c r="L312" s="1">
        <f t="shared" si="537"/>
        <v>32177.899999999998</v>
      </c>
      <c r="M312" s="1">
        <f t="shared" si="524"/>
        <v>30.380452041671042</v>
      </c>
      <c r="N312" s="1">
        <f t="shared" ref="N312:O312" si="538">N293-N318-N324-N329</f>
        <v>28968.1</v>
      </c>
      <c r="O312" s="1">
        <f t="shared" si="538"/>
        <v>24930.299999999996</v>
      </c>
      <c r="P312" s="1">
        <f t="shared" si="524"/>
        <v>428.05710604286173</v>
      </c>
      <c r="Q312" s="1">
        <f t="shared" ref="Q312" si="539">Q293-Q318-Q324-Q329</f>
        <v>34842.700000000004</v>
      </c>
      <c r="R312" s="1">
        <f t="shared" si="524"/>
        <v>0</v>
      </c>
      <c r="S312" s="1">
        <f t="shared" ref="S312" si="540">R312/Q312*100</f>
        <v>0</v>
      </c>
      <c r="T312" s="1">
        <f t="shared" ref="T312" si="541">T293-T318-T324-T329</f>
        <v>29699.999999999989</v>
      </c>
      <c r="U312" s="1">
        <f t="shared" si="524"/>
        <v>0</v>
      </c>
      <c r="V312" s="1">
        <f t="shared" ref="V312" si="542">U312/T312*100</f>
        <v>0</v>
      </c>
      <c r="W312" s="1">
        <f t="shared" ref="W312" si="543">W293-W318-W324-W329</f>
        <v>32808.9</v>
      </c>
      <c r="X312" s="1">
        <f t="shared" si="524"/>
        <v>0</v>
      </c>
      <c r="Y312" s="1">
        <f t="shared" ref="Y312" si="544">X312/W312*100</f>
        <v>0</v>
      </c>
      <c r="Z312" s="1">
        <f t="shared" ref="Z312" si="545">Z293-Z318-Z324-Z329</f>
        <v>28501.600000000009</v>
      </c>
      <c r="AA312" s="1">
        <f t="shared" si="525"/>
        <v>0</v>
      </c>
      <c r="AB312" s="1">
        <f t="shared" si="526"/>
        <v>0</v>
      </c>
      <c r="AC312" s="1">
        <f t="shared" ref="AC312" si="546">AC293-AC318-AC324-AC329</f>
        <v>22797.999999999993</v>
      </c>
      <c r="AD312" s="1">
        <f t="shared" si="524"/>
        <v>0</v>
      </c>
      <c r="AE312" s="1">
        <f t="shared" si="527"/>
        <v>0</v>
      </c>
      <c r="AF312" s="1">
        <f t="shared" si="532"/>
        <v>15397.3</v>
      </c>
      <c r="AG312" s="1">
        <f t="shared" si="524"/>
        <v>0</v>
      </c>
      <c r="AH312" s="1" t="e">
        <f t="shared" si="524"/>
        <v>#DIV/0!</v>
      </c>
      <c r="AI312" s="1">
        <f t="shared" si="533"/>
        <v>28324.699999999993</v>
      </c>
      <c r="AJ312" s="1">
        <f t="shared" si="524"/>
        <v>0</v>
      </c>
      <c r="AK312" s="1">
        <f t="shared" si="528"/>
        <v>0</v>
      </c>
      <c r="AL312" s="1">
        <f t="shared" si="534"/>
        <v>25622.5</v>
      </c>
      <c r="AM312" s="1">
        <f t="shared" si="524"/>
        <v>0</v>
      </c>
      <c r="AN312" s="1">
        <f t="shared" ref="AN312" si="547">AM312/AL312*100</f>
        <v>0</v>
      </c>
      <c r="AO312" s="1">
        <f t="shared" si="535"/>
        <v>43358.3</v>
      </c>
      <c r="AP312" s="48"/>
      <c r="AQ312" s="1">
        <f t="shared" ref="AQ312" si="548">AP312/AO312*100</f>
        <v>0</v>
      </c>
      <c r="AR312" s="25"/>
      <c r="AS312" s="25"/>
    </row>
    <row r="313" spans="1:45" x14ac:dyDescent="0.25">
      <c r="A313" s="138"/>
      <c r="B313" s="139"/>
      <c r="C313" s="140"/>
      <c r="D313" s="26" t="s">
        <v>21</v>
      </c>
      <c r="E313" s="1">
        <f t="shared" si="523"/>
        <v>0</v>
      </c>
      <c r="F313" s="1">
        <f t="shared" si="522"/>
        <v>0</v>
      </c>
      <c r="G313" s="1"/>
      <c r="H313" s="1">
        <f t="shared" si="529"/>
        <v>0</v>
      </c>
      <c r="I313" s="1">
        <f t="shared" ref="I313:AO313" si="549">I294-I319-I325</f>
        <v>0</v>
      </c>
      <c r="J313" s="1">
        <f t="shared" si="549"/>
        <v>0</v>
      </c>
      <c r="K313" s="1">
        <f t="shared" si="549"/>
        <v>0</v>
      </c>
      <c r="L313" s="1">
        <f t="shared" si="549"/>
        <v>0</v>
      </c>
      <c r="M313" s="1">
        <f t="shared" si="549"/>
        <v>0</v>
      </c>
      <c r="N313" s="1">
        <f t="shared" si="549"/>
        <v>0</v>
      </c>
      <c r="O313" s="1">
        <f t="shared" si="549"/>
        <v>0</v>
      </c>
      <c r="P313" s="1">
        <f t="shared" si="549"/>
        <v>0</v>
      </c>
      <c r="Q313" s="1">
        <f t="shared" si="549"/>
        <v>0</v>
      </c>
      <c r="R313" s="1">
        <f t="shared" si="549"/>
        <v>0</v>
      </c>
      <c r="S313" s="1">
        <f t="shared" si="549"/>
        <v>0</v>
      </c>
      <c r="T313" s="1">
        <f t="shared" si="549"/>
        <v>0</v>
      </c>
      <c r="U313" s="1">
        <f t="shared" si="549"/>
        <v>0</v>
      </c>
      <c r="V313" s="1">
        <f t="shared" si="549"/>
        <v>0</v>
      </c>
      <c r="W313" s="1">
        <f t="shared" si="549"/>
        <v>0</v>
      </c>
      <c r="X313" s="1">
        <f t="shared" si="549"/>
        <v>0</v>
      </c>
      <c r="Y313" s="1">
        <f t="shared" si="549"/>
        <v>0</v>
      </c>
      <c r="Z313" s="1">
        <f t="shared" si="549"/>
        <v>0</v>
      </c>
      <c r="AA313" s="1">
        <f t="shared" si="525"/>
        <v>0</v>
      </c>
      <c r="AB313" s="1">
        <f t="shared" si="549"/>
        <v>0</v>
      </c>
      <c r="AC313" s="1">
        <f t="shared" si="549"/>
        <v>0</v>
      </c>
      <c r="AD313" s="1">
        <f t="shared" si="549"/>
        <v>0</v>
      </c>
      <c r="AE313" s="1">
        <f t="shared" si="549"/>
        <v>0</v>
      </c>
      <c r="AF313" s="1">
        <f t="shared" si="549"/>
        <v>0</v>
      </c>
      <c r="AG313" s="1">
        <f t="shared" si="549"/>
        <v>0</v>
      </c>
      <c r="AH313" s="1">
        <f t="shared" si="549"/>
        <v>0</v>
      </c>
      <c r="AI313" s="1">
        <f t="shared" si="549"/>
        <v>0</v>
      </c>
      <c r="AJ313" s="1">
        <f t="shared" si="549"/>
        <v>0</v>
      </c>
      <c r="AK313" s="1">
        <f t="shared" si="549"/>
        <v>0</v>
      </c>
      <c r="AL313" s="1">
        <f t="shared" si="549"/>
        <v>0</v>
      </c>
      <c r="AM313" s="1">
        <f t="shared" si="549"/>
        <v>0</v>
      </c>
      <c r="AN313" s="1"/>
      <c r="AO313" s="1">
        <f t="shared" si="549"/>
        <v>0</v>
      </c>
      <c r="AP313" s="48"/>
      <c r="AQ313" s="1"/>
      <c r="AR313" s="25"/>
      <c r="AS313" s="25"/>
    </row>
    <row r="314" spans="1:45" ht="15" hidden="1" customHeight="1" x14ac:dyDescent="0.25">
      <c r="A314" s="141"/>
      <c r="B314" s="142"/>
      <c r="C314" s="143"/>
      <c r="D314" s="26" t="s">
        <v>115</v>
      </c>
      <c r="E314" s="1"/>
      <c r="F314" s="1">
        <f t="shared" si="522"/>
        <v>0</v>
      </c>
      <c r="G314" s="1"/>
      <c r="H314" s="1"/>
      <c r="I314" s="1"/>
      <c r="J314" s="1"/>
      <c r="K314" s="1"/>
      <c r="L314" s="1"/>
      <c r="M314" s="1"/>
      <c r="N314" s="1"/>
      <c r="O314" s="1">
        <f>O71</f>
        <v>0</v>
      </c>
      <c r="P314" s="1"/>
      <c r="Q314" s="1"/>
      <c r="R314" s="1">
        <f>R71</f>
        <v>0</v>
      </c>
      <c r="S314" s="1"/>
      <c r="T314" s="1"/>
      <c r="U314" s="1">
        <f>U71</f>
        <v>0</v>
      </c>
      <c r="V314" s="1"/>
      <c r="W314" s="1"/>
      <c r="X314" s="1">
        <f>X71</f>
        <v>0</v>
      </c>
      <c r="Y314" s="1"/>
      <c r="Z314" s="1"/>
      <c r="AA314" s="1">
        <f>AA71</f>
        <v>0</v>
      </c>
      <c r="AB314" s="1"/>
      <c r="AC314" s="1"/>
      <c r="AD314" s="1">
        <f>AD71</f>
        <v>0</v>
      </c>
      <c r="AE314" s="1"/>
      <c r="AF314" s="1"/>
      <c r="AG314" s="1">
        <f>AG71</f>
        <v>0</v>
      </c>
      <c r="AH314" s="1"/>
      <c r="AI314" s="1"/>
      <c r="AJ314" s="1">
        <f>AJ82</f>
        <v>0</v>
      </c>
      <c r="AK314" s="1"/>
      <c r="AL314" s="1"/>
      <c r="AM314" s="1">
        <f>AM71</f>
        <v>0</v>
      </c>
      <c r="AN314" s="1"/>
      <c r="AO314" s="1"/>
      <c r="AP314" s="48"/>
      <c r="AQ314" s="1"/>
      <c r="AR314" s="25"/>
      <c r="AS314" s="25"/>
    </row>
    <row r="315" spans="1:45" ht="15.75" customHeight="1" x14ac:dyDescent="0.25">
      <c r="A315" s="135" t="s">
        <v>112</v>
      </c>
      <c r="B315" s="136"/>
      <c r="C315" s="137"/>
      <c r="D315" s="26" t="s">
        <v>3</v>
      </c>
      <c r="E315" s="1">
        <f>H315+K315+N315+Q315+T315+W315+Z315+AC315+AF315+AI315+AL315+AO315</f>
        <v>1341278.2999999998</v>
      </c>
      <c r="F315" s="1">
        <f t="shared" si="522"/>
        <v>0</v>
      </c>
      <c r="G315" s="1">
        <f>F315/E315*100</f>
        <v>0</v>
      </c>
      <c r="H315" s="1">
        <f>H316+H317+H318+H319</f>
        <v>0</v>
      </c>
      <c r="I315" s="1">
        <f>I316+I317+I318+I319</f>
        <v>0</v>
      </c>
      <c r="J315" s="1"/>
      <c r="K315" s="1">
        <f>K316+K317+K318+K319</f>
        <v>0</v>
      </c>
      <c r="L315" s="1">
        <f>L316+L317+L318+L319</f>
        <v>0</v>
      </c>
      <c r="M315" s="1"/>
      <c r="N315" s="1">
        <f>N316+N317+N318+N319</f>
        <v>0</v>
      </c>
      <c r="O315" s="1">
        <f>O316+O317+O318+O319</f>
        <v>0</v>
      </c>
      <c r="P315" s="1"/>
      <c r="Q315" s="1">
        <f>Q316+Q317+Q318+Q319</f>
        <v>286186.7</v>
      </c>
      <c r="R315" s="1">
        <f>R316+R317+R318+R319</f>
        <v>0</v>
      </c>
      <c r="S315" s="1"/>
      <c r="T315" s="1">
        <f>T316+T317+T318+T319</f>
        <v>177686.5</v>
      </c>
      <c r="U315" s="1">
        <f>U316+U317+U318+U319</f>
        <v>0</v>
      </c>
      <c r="V315" s="1">
        <f>U315/T315*100</f>
        <v>0</v>
      </c>
      <c r="W315" s="1">
        <f>W316+W317+W318+W319</f>
        <v>164466.70000000001</v>
      </c>
      <c r="X315" s="1">
        <f>X316+X317+X318+X319</f>
        <v>0</v>
      </c>
      <c r="Y315" s="1">
        <f>X315/W315*100</f>
        <v>0</v>
      </c>
      <c r="Z315" s="1">
        <f>Z316+Z317+Z318+Z319</f>
        <v>217044.2</v>
      </c>
      <c r="AA315" s="1">
        <f>AA316+AA317+AA318+AA319</f>
        <v>0</v>
      </c>
      <c r="AB315" s="1">
        <f>AA315/Z315*100</f>
        <v>0</v>
      </c>
      <c r="AC315" s="1">
        <f>AC316+AC317+AC318+AC319</f>
        <v>126123.7</v>
      </c>
      <c r="AD315" s="1">
        <f>AD316+AD317+AD318+AD319</f>
        <v>0</v>
      </c>
      <c r="AE315" s="1"/>
      <c r="AF315" s="1">
        <f>AF316+AF317+AF318+AF319</f>
        <v>160023.69999999998</v>
      </c>
      <c r="AG315" s="1">
        <f>AG316+AG317+AG318+AG319</f>
        <v>0</v>
      </c>
      <c r="AH315" s="1"/>
      <c r="AI315" s="1">
        <f>AI316+AI317+AI318+AI319</f>
        <v>147643.9</v>
      </c>
      <c r="AJ315" s="1">
        <f>AJ316+AJ317+AJ318+AJ319</f>
        <v>0</v>
      </c>
      <c r="AK315" s="1">
        <f>AJ315/AI315*100</f>
        <v>0</v>
      </c>
      <c r="AL315" s="1">
        <f>AL316+AL317+AL318+AL319</f>
        <v>49850</v>
      </c>
      <c r="AM315" s="1">
        <f>AM316+AM317+AM318+AM319</f>
        <v>0</v>
      </c>
      <c r="AN315" s="1">
        <f>AM315/AL315*100</f>
        <v>0</v>
      </c>
      <c r="AO315" s="1">
        <f>AO316+AO317+AO318+AO319</f>
        <v>12252.9</v>
      </c>
      <c r="AP315" s="49"/>
      <c r="AQ315" s="1"/>
      <c r="AR315" s="25"/>
      <c r="AS315" s="25"/>
    </row>
    <row r="316" spans="1:45" x14ac:dyDescent="0.25">
      <c r="A316" s="138"/>
      <c r="B316" s="139"/>
      <c r="C316" s="140"/>
      <c r="D316" s="26" t="s">
        <v>20</v>
      </c>
      <c r="E316" s="1">
        <f t="shared" ref="E316:E319" si="550">H316+K316+N316+Q316+T316+W316+Z316+AC316+AF316+AI316+AL316+AO316</f>
        <v>107169.29999999999</v>
      </c>
      <c r="F316" s="1">
        <f t="shared" si="522"/>
        <v>0</v>
      </c>
      <c r="G316" s="1">
        <f t="shared" ref="G316:G318" si="551">F316/E316*100</f>
        <v>0</v>
      </c>
      <c r="H316" s="1">
        <f t="shared" ref="H316:I319" si="552">H52+H46</f>
        <v>0</v>
      </c>
      <c r="I316" s="1">
        <f t="shared" si="552"/>
        <v>0</v>
      </c>
      <c r="J316" s="1"/>
      <c r="K316" s="1">
        <f t="shared" ref="K316:L319" si="553">K52+K46</f>
        <v>0</v>
      </c>
      <c r="L316" s="1">
        <f t="shared" si="553"/>
        <v>0</v>
      </c>
      <c r="M316" s="1"/>
      <c r="N316" s="1">
        <f t="shared" ref="N316:O319" si="554">N52+N46</f>
        <v>0</v>
      </c>
      <c r="O316" s="1">
        <f t="shared" si="554"/>
        <v>0</v>
      </c>
      <c r="P316" s="1"/>
      <c r="Q316" s="1">
        <f t="shared" ref="Q316:R319" si="555">Q52+Q46</f>
        <v>47630.8</v>
      </c>
      <c r="R316" s="1">
        <f t="shared" si="555"/>
        <v>0</v>
      </c>
      <c r="S316" s="1"/>
      <c r="T316" s="1">
        <f t="shared" ref="T316:U319" si="556">T52+T46</f>
        <v>35723.1</v>
      </c>
      <c r="U316" s="1">
        <f t="shared" si="556"/>
        <v>0</v>
      </c>
      <c r="V316" s="1"/>
      <c r="W316" s="1">
        <f t="shared" ref="W316:X319" si="557">W52+W46</f>
        <v>23815.399999999998</v>
      </c>
      <c r="X316" s="1">
        <f t="shared" si="557"/>
        <v>0</v>
      </c>
      <c r="Y316" s="1"/>
      <c r="Z316" s="1">
        <f t="shared" ref="Z316:AA319" si="558">Z52+Z46</f>
        <v>0</v>
      </c>
      <c r="AA316" s="1">
        <f t="shared" si="558"/>
        <v>0</v>
      </c>
      <c r="AB316" s="1" t="e">
        <f t="shared" ref="AB316:AB318" si="559">AA316/Z316*100</f>
        <v>#DIV/0!</v>
      </c>
      <c r="AC316" s="1">
        <f t="shared" ref="AC316:AD319" si="560">AC52+AC46</f>
        <v>0</v>
      </c>
      <c r="AD316" s="1">
        <f t="shared" si="560"/>
        <v>0</v>
      </c>
      <c r="AE316" s="1"/>
      <c r="AF316" s="1">
        <f>AF52+AF46</f>
        <v>0</v>
      </c>
      <c r="AG316" s="1">
        <f>AG52+AG46</f>
        <v>0</v>
      </c>
      <c r="AH316" s="1"/>
      <c r="AI316" s="1">
        <f>AI52+AI46</f>
        <v>0</v>
      </c>
      <c r="AJ316" s="1">
        <f>AJ52+AJ46</f>
        <v>0</v>
      </c>
      <c r="AK316" s="1"/>
      <c r="AL316" s="1">
        <f>AL52+AL46</f>
        <v>0</v>
      </c>
      <c r="AM316" s="1">
        <f>AM52+AM46</f>
        <v>0</v>
      </c>
      <c r="AN316" s="1"/>
      <c r="AO316" s="1">
        <f>AO52+AO46</f>
        <v>0</v>
      </c>
      <c r="AP316" s="49"/>
      <c r="AQ316" s="1"/>
      <c r="AR316" s="147"/>
      <c r="AS316" s="98"/>
    </row>
    <row r="317" spans="1:45" ht="24" x14ac:dyDescent="0.25">
      <c r="A317" s="138"/>
      <c r="B317" s="139"/>
      <c r="C317" s="140"/>
      <c r="D317" s="26" t="s">
        <v>4</v>
      </c>
      <c r="E317" s="1">
        <f t="shared" si="550"/>
        <v>1016022</v>
      </c>
      <c r="F317" s="1">
        <f t="shared" si="522"/>
        <v>0</v>
      </c>
      <c r="G317" s="1">
        <f t="shared" si="551"/>
        <v>0</v>
      </c>
      <c r="H317" s="1">
        <f t="shared" si="552"/>
        <v>0</v>
      </c>
      <c r="I317" s="1">
        <f t="shared" si="552"/>
        <v>0</v>
      </c>
      <c r="J317" s="1">
        <f>J47+J63</f>
        <v>0</v>
      </c>
      <c r="K317" s="1">
        <f t="shared" si="553"/>
        <v>0</v>
      </c>
      <c r="L317" s="1">
        <f t="shared" si="553"/>
        <v>0</v>
      </c>
      <c r="M317" s="1"/>
      <c r="N317" s="1">
        <f t="shared" si="554"/>
        <v>0</v>
      </c>
      <c r="O317" s="1">
        <f t="shared" si="554"/>
        <v>0</v>
      </c>
      <c r="P317" s="1"/>
      <c r="Q317" s="1">
        <f t="shared" si="555"/>
        <v>200390.5</v>
      </c>
      <c r="R317" s="1">
        <f t="shared" si="555"/>
        <v>0</v>
      </c>
      <c r="S317" s="1"/>
      <c r="T317" s="1">
        <f t="shared" si="556"/>
        <v>124194.8</v>
      </c>
      <c r="U317" s="1">
        <f t="shared" si="556"/>
        <v>0</v>
      </c>
      <c r="V317" s="1"/>
      <c r="W317" s="1">
        <f t="shared" si="557"/>
        <v>124204.59999999999</v>
      </c>
      <c r="X317" s="1">
        <f t="shared" si="557"/>
        <v>0</v>
      </c>
      <c r="Y317" s="1"/>
      <c r="Z317" s="1">
        <f t="shared" si="558"/>
        <v>176820</v>
      </c>
      <c r="AA317" s="1">
        <f t="shared" si="558"/>
        <v>0</v>
      </c>
      <c r="AB317" s="1">
        <f t="shared" si="559"/>
        <v>0</v>
      </c>
      <c r="AC317" s="1">
        <f t="shared" si="560"/>
        <v>113511.3</v>
      </c>
      <c r="AD317" s="1">
        <f t="shared" si="560"/>
        <v>0</v>
      </c>
      <c r="AE317" s="1"/>
      <c r="AF317" s="1">
        <f>AF53+AF47</f>
        <v>144021.29999999999</v>
      </c>
      <c r="AG317" s="1">
        <f>AG47+AG63</f>
        <v>0</v>
      </c>
      <c r="AH317" s="1"/>
      <c r="AI317" s="1">
        <f>AI53+AI47</f>
        <v>132879.5</v>
      </c>
      <c r="AJ317" s="1">
        <f>AJ47+AJ63</f>
        <v>0</v>
      </c>
      <c r="AK317" s="1"/>
      <c r="AL317" s="1">
        <f>AL53+AL47</f>
        <v>0</v>
      </c>
      <c r="AM317" s="1">
        <f>AM47+AM63</f>
        <v>0</v>
      </c>
      <c r="AN317" s="1" t="e">
        <f t="shared" ref="AN317:AN318" si="561">AM317/AL317*100</f>
        <v>#DIV/0!</v>
      </c>
      <c r="AO317" s="1">
        <f>AO53+AO47</f>
        <v>0</v>
      </c>
      <c r="AP317" s="49"/>
      <c r="AQ317" s="1"/>
      <c r="AR317" s="148"/>
      <c r="AS317" s="99"/>
    </row>
    <row r="318" spans="1:45" x14ac:dyDescent="0.25">
      <c r="A318" s="138"/>
      <c r="B318" s="139"/>
      <c r="C318" s="140"/>
      <c r="D318" s="26" t="s">
        <v>43</v>
      </c>
      <c r="E318" s="1">
        <f t="shared" si="550"/>
        <v>218086.99999999997</v>
      </c>
      <c r="F318" s="1">
        <f t="shared" si="522"/>
        <v>0</v>
      </c>
      <c r="G318" s="1">
        <f t="shared" si="551"/>
        <v>0</v>
      </c>
      <c r="H318" s="1">
        <f t="shared" si="552"/>
        <v>0</v>
      </c>
      <c r="I318" s="1">
        <f t="shared" si="552"/>
        <v>0</v>
      </c>
      <c r="J318" s="1">
        <f>J48+J64</f>
        <v>0</v>
      </c>
      <c r="K318" s="1">
        <f t="shared" si="553"/>
        <v>0</v>
      </c>
      <c r="L318" s="1">
        <f t="shared" si="553"/>
        <v>0</v>
      </c>
      <c r="M318" s="1"/>
      <c r="N318" s="1">
        <f t="shared" si="554"/>
        <v>0</v>
      </c>
      <c r="O318" s="1">
        <f t="shared" si="554"/>
        <v>0</v>
      </c>
      <c r="P318" s="1"/>
      <c r="Q318" s="1">
        <f t="shared" si="555"/>
        <v>38165.4</v>
      </c>
      <c r="R318" s="1">
        <f t="shared" si="555"/>
        <v>0</v>
      </c>
      <c r="S318" s="1"/>
      <c r="T318" s="1">
        <f t="shared" si="556"/>
        <v>17768.599999999999</v>
      </c>
      <c r="U318" s="1">
        <f t="shared" si="556"/>
        <v>0</v>
      </c>
      <c r="V318" s="1">
        <f t="shared" ref="V318" si="562">U318/T318*100</f>
        <v>0</v>
      </c>
      <c r="W318" s="1">
        <f t="shared" si="557"/>
        <v>16446.7</v>
      </c>
      <c r="X318" s="1">
        <f t="shared" si="557"/>
        <v>0</v>
      </c>
      <c r="Y318" s="1">
        <f t="shared" ref="Y318" si="563">X318/W318*100</f>
        <v>0</v>
      </c>
      <c r="Z318" s="1">
        <f t="shared" si="558"/>
        <v>40224.199999999997</v>
      </c>
      <c r="AA318" s="1">
        <f t="shared" si="558"/>
        <v>0</v>
      </c>
      <c r="AB318" s="1">
        <f t="shared" si="559"/>
        <v>0</v>
      </c>
      <c r="AC318" s="1">
        <f t="shared" si="560"/>
        <v>12612.4</v>
      </c>
      <c r="AD318" s="1">
        <f t="shared" si="560"/>
        <v>0</v>
      </c>
      <c r="AE318" s="1"/>
      <c r="AF318" s="1">
        <f>AF54+AF48</f>
        <v>16002.4</v>
      </c>
      <c r="AG318" s="1">
        <f>AG48+AG64</f>
        <v>0</v>
      </c>
      <c r="AH318" s="1"/>
      <c r="AI318" s="1">
        <f>AI54+AI48</f>
        <v>14764.4</v>
      </c>
      <c r="AJ318" s="1">
        <f>AJ48+AJ64</f>
        <v>0</v>
      </c>
      <c r="AK318" s="1">
        <f t="shared" ref="AK318" si="564">AJ318/AI318*100</f>
        <v>0</v>
      </c>
      <c r="AL318" s="1">
        <f>AL54+AL48</f>
        <v>49850</v>
      </c>
      <c r="AM318" s="1">
        <f>AM48+AM64</f>
        <v>0</v>
      </c>
      <c r="AN318" s="1">
        <f t="shared" si="561"/>
        <v>0</v>
      </c>
      <c r="AO318" s="1">
        <f>AO54+AO48</f>
        <v>12252.9</v>
      </c>
      <c r="AP318" s="49">
        <f>AP48+AP64</f>
        <v>0</v>
      </c>
      <c r="AQ318" s="1"/>
      <c r="AR318" s="149"/>
      <c r="AS318" s="100"/>
    </row>
    <row r="319" spans="1:45" ht="14.25" customHeight="1" x14ac:dyDescent="0.25">
      <c r="A319" s="138"/>
      <c r="B319" s="139"/>
      <c r="C319" s="140"/>
      <c r="D319" s="26" t="s">
        <v>21</v>
      </c>
      <c r="E319" s="1">
        <f t="shared" si="550"/>
        <v>0</v>
      </c>
      <c r="F319" s="1">
        <f t="shared" si="522"/>
        <v>0</v>
      </c>
      <c r="G319" s="1"/>
      <c r="H319" s="1">
        <f t="shared" si="552"/>
        <v>0</v>
      </c>
      <c r="I319" s="1">
        <f t="shared" si="552"/>
        <v>0</v>
      </c>
      <c r="J319" s="1"/>
      <c r="K319" s="1">
        <f t="shared" si="553"/>
        <v>0</v>
      </c>
      <c r="L319" s="1">
        <f t="shared" si="553"/>
        <v>0</v>
      </c>
      <c r="M319" s="1"/>
      <c r="N319" s="1">
        <f t="shared" si="554"/>
        <v>0</v>
      </c>
      <c r="O319" s="1">
        <f t="shared" si="554"/>
        <v>0</v>
      </c>
      <c r="P319" s="1"/>
      <c r="Q319" s="1">
        <f t="shared" si="555"/>
        <v>0</v>
      </c>
      <c r="R319" s="1">
        <f t="shared" si="555"/>
        <v>0</v>
      </c>
      <c r="S319" s="1"/>
      <c r="T319" s="1">
        <f t="shared" si="556"/>
        <v>0</v>
      </c>
      <c r="U319" s="1">
        <f t="shared" si="556"/>
        <v>0</v>
      </c>
      <c r="V319" s="1"/>
      <c r="W319" s="1">
        <f t="shared" si="557"/>
        <v>0</v>
      </c>
      <c r="X319" s="1">
        <f t="shared" si="557"/>
        <v>0</v>
      </c>
      <c r="Y319" s="1"/>
      <c r="Z319" s="1">
        <f t="shared" si="558"/>
        <v>0</v>
      </c>
      <c r="AA319" s="1">
        <f t="shared" si="558"/>
        <v>0</v>
      </c>
      <c r="AB319" s="1"/>
      <c r="AC319" s="1">
        <f t="shared" si="560"/>
        <v>0</v>
      </c>
      <c r="AD319" s="1">
        <f t="shared" si="560"/>
        <v>0</v>
      </c>
      <c r="AE319" s="1"/>
      <c r="AF319" s="1">
        <f>AF55+AF49</f>
        <v>0</v>
      </c>
      <c r="AG319" s="1"/>
      <c r="AH319" s="1"/>
      <c r="AI319" s="1">
        <f>AI55+AI49</f>
        <v>0</v>
      </c>
      <c r="AJ319" s="1"/>
      <c r="AK319" s="1"/>
      <c r="AL319" s="1">
        <f>AL55+AL49</f>
        <v>0</v>
      </c>
      <c r="AM319" s="1"/>
      <c r="AN319" s="1"/>
      <c r="AO319" s="1">
        <f>AO55+AO49</f>
        <v>0</v>
      </c>
      <c r="AP319" s="49"/>
      <c r="AQ319" s="1"/>
      <c r="AR319" s="25"/>
      <c r="AS319" s="25"/>
    </row>
    <row r="320" spans="1:45" ht="14.25" customHeight="1" x14ac:dyDescent="0.25">
      <c r="A320" s="141"/>
      <c r="B320" s="142"/>
      <c r="C320" s="143"/>
      <c r="D320" s="26" t="s">
        <v>115</v>
      </c>
      <c r="E320" s="1"/>
      <c r="F320" s="1">
        <f t="shared" si="522"/>
        <v>0</v>
      </c>
      <c r="G320" s="1"/>
      <c r="H320" s="1"/>
      <c r="I320" s="1"/>
      <c r="J320" s="1"/>
      <c r="K320" s="1"/>
      <c r="L320" s="1"/>
      <c r="M320" s="1"/>
      <c r="N320" s="1"/>
      <c r="O320" s="1">
        <f>O50</f>
        <v>0</v>
      </c>
      <c r="P320" s="1"/>
      <c r="Q320" s="1"/>
      <c r="R320" s="1">
        <f>R50</f>
        <v>0</v>
      </c>
      <c r="S320" s="1"/>
      <c r="T320" s="1"/>
      <c r="U320" s="1">
        <f>U50</f>
        <v>0</v>
      </c>
      <c r="V320" s="1"/>
      <c r="W320" s="1"/>
      <c r="X320" s="1">
        <f>X50</f>
        <v>0</v>
      </c>
      <c r="Y320" s="1"/>
      <c r="Z320" s="1"/>
      <c r="AA320" s="1">
        <f>AA50</f>
        <v>0</v>
      </c>
      <c r="AB320" s="1"/>
      <c r="AC320" s="1"/>
      <c r="AD320" s="1">
        <f>AD50</f>
        <v>0</v>
      </c>
      <c r="AE320" s="1"/>
      <c r="AF320" s="1"/>
      <c r="AG320" s="1">
        <f>AG50</f>
        <v>0</v>
      </c>
      <c r="AH320" s="1"/>
      <c r="AI320" s="1"/>
      <c r="AJ320" s="1">
        <f>AJ50</f>
        <v>0</v>
      </c>
      <c r="AK320" s="1"/>
      <c r="AL320" s="1"/>
      <c r="AM320" s="1">
        <f>AM50</f>
        <v>0</v>
      </c>
      <c r="AN320" s="1"/>
      <c r="AO320" s="1"/>
      <c r="AP320" s="49"/>
      <c r="AQ320" s="1"/>
      <c r="AR320" s="25"/>
      <c r="AS320" s="25"/>
    </row>
    <row r="321" spans="1:63" ht="14.25" customHeight="1" x14ac:dyDescent="0.25">
      <c r="A321" s="123" t="s">
        <v>114</v>
      </c>
      <c r="B321" s="123"/>
      <c r="C321" s="123"/>
      <c r="D321" s="26" t="s">
        <v>3</v>
      </c>
      <c r="E321" s="1">
        <f>H321+K321+N321+Q321+T321+W321+Z321+AC321+AF321+AI321+AL321+AO321</f>
        <v>30019.499999999996</v>
      </c>
      <c r="F321" s="1">
        <f t="shared" si="522"/>
        <v>5256.8009999999995</v>
      </c>
      <c r="G321" s="1">
        <f>F321/E321*100</f>
        <v>17.511287663019036</v>
      </c>
      <c r="H321" s="1">
        <f>H322+H323+H324+H325</f>
        <v>400</v>
      </c>
      <c r="I321" s="1">
        <f>I322+I323+I324+I325</f>
        <v>400</v>
      </c>
      <c r="J321" s="1">
        <f>I321/H321*100</f>
        <v>100</v>
      </c>
      <c r="K321" s="1">
        <f>K322+K323+K324+K325</f>
        <v>3509.3999999999996</v>
      </c>
      <c r="L321" s="1">
        <f>L322+L323+L324+L325</f>
        <v>2214.1009999999997</v>
      </c>
      <c r="M321" s="1">
        <f>L321/K321*100</f>
        <v>63.090585285233935</v>
      </c>
      <c r="N321" s="1">
        <f>N322+N323+N324+N325</f>
        <v>2745.5</v>
      </c>
      <c r="O321" s="1">
        <f>O322+O323+O324+O325</f>
        <v>2642.7</v>
      </c>
      <c r="P321" s="1">
        <f>O321/N321*100</f>
        <v>96.255691130941528</v>
      </c>
      <c r="Q321" s="1">
        <f>Q322+Q323+Q324+Q325</f>
        <v>3244.8</v>
      </c>
      <c r="R321" s="1">
        <f>R322+R323+R324+R325</f>
        <v>0</v>
      </c>
      <c r="S321" s="1">
        <f>R321/Q321*100</f>
        <v>0</v>
      </c>
      <c r="T321" s="1">
        <f>T322+T323+T324+T325</f>
        <v>2537.7999999999997</v>
      </c>
      <c r="U321" s="1">
        <f>U322+U323+U324+U325</f>
        <v>0</v>
      </c>
      <c r="V321" s="1">
        <f>U321/T321*100</f>
        <v>0</v>
      </c>
      <c r="W321" s="1">
        <f>W322+W323+W324+W325</f>
        <v>3026.9</v>
      </c>
      <c r="X321" s="1">
        <f>X322+X323+X324+X325</f>
        <v>0</v>
      </c>
      <c r="Y321" s="1">
        <f>X321/W321*100</f>
        <v>0</v>
      </c>
      <c r="Z321" s="1">
        <f>Z322+Z323+Z324+Z325</f>
        <v>2908.6</v>
      </c>
      <c r="AA321" s="1">
        <f>AA322+AA323+AA324+AA325</f>
        <v>0</v>
      </c>
      <c r="AB321" s="1">
        <f>AA321/Z321*100</f>
        <v>0</v>
      </c>
      <c r="AC321" s="1">
        <f>AC322+AC323+AC324+AC325</f>
        <v>1242.5999999999999</v>
      </c>
      <c r="AD321" s="1">
        <f>AD322+AD323+AD324+AD325</f>
        <v>0</v>
      </c>
      <c r="AE321" s="1">
        <f>AD321/AC321*100</f>
        <v>0</v>
      </c>
      <c r="AF321" s="1">
        <f>AF322+AF323+AF324+AF325</f>
        <v>1065.5</v>
      </c>
      <c r="AG321" s="1">
        <f>AG322+AG323+AG324+AG325</f>
        <v>0</v>
      </c>
      <c r="AH321" s="1">
        <f>AG321/AF321*100</f>
        <v>0</v>
      </c>
      <c r="AI321" s="1">
        <f>AI322+AI323+AI324+AI325</f>
        <v>3736.2000000000003</v>
      </c>
      <c r="AJ321" s="1">
        <f>AJ322+AJ323+AJ324+AJ325</f>
        <v>0</v>
      </c>
      <c r="AK321" s="1">
        <f>AJ321/AI321*100</f>
        <v>0</v>
      </c>
      <c r="AL321" s="1">
        <f>AL322+AL323+AL324+AL325</f>
        <v>3398.1</v>
      </c>
      <c r="AM321" s="1">
        <f>AM322+AM323+AM324+AM325</f>
        <v>0</v>
      </c>
      <c r="AN321" s="1">
        <f>AM321/AL321*100</f>
        <v>0</v>
      </c>
      <c r="AO321" s="1">
        <f>AO322+AO323+AO324+AO325</f>
        <v>2204.1</v>
      </c>
      <c r="AP321" s="49"/>
      <c r="AQ321" s="1"/>
      <c r="AR321" s="25"/>
      <c r="AS321" s="25"/>
    </row>
    <row r="322" spans="1:63" ht="14.25" customHeight="1" x14ac:dyDescent="0.25">
      <c r="A322" s="123"/>
      <c r="B322" s="123"/>
      <c r="C322" s="123"/>
      <c r="D322" s="26" t="s">
        <v>20</v>
      </c>
      <c r="E322" s="1">
        <f t="shared" ref="E322:E325" si="565">H322+K322+N322+Q322+T322+W322+Z322+AC322+AF322+AI322+AL322+AO322</f>
        <v>0</v>
      </c>
      <c r="F322" s="1">
        <f t="shared" si="522"/>
        <v>0</v>
      </c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49"/>
      <c r="AQ322" s="31"/>
      <c r="AR322" s="25"/>
      <c r="AS322" s="25"/>
    </row>
    <row r="323" spans="1:63" ht="25.15" customHeight="1" x14ac:dyDescent="0.25">
      <c r="A323" s="123"/>
      <c r="B323" s="123"/>
      <c r="C323" s="123"/>
      <c r="D323" s="26" t="s">
        <v>4</v>
      </c>
      <c r="E323" s="1">
        <f t="shared" si="565"/>
        <v>1407.4</v>
      </c>
      <c r="F323" s="1">
        <f t="shared" si="522"/>
        <v>0</v>
      </c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>
        <f>Q265+264.4</f>
        <v>464.4</v>
      </c>
      <c r="R323" s="1"/>
      <c r="S323" s="1">
        <f t="shared" ref="S323:S324" si="566">R323/Q323*100</f>
        <v>0</v>
      </c>
      <c r="T323" s="1">
        <f t="shared" ref="T323" si="567">T265</f>
        <v>0</v>
      </c>
      <c r="U323" s="1"/>
      <c r="V323" s="1"/>
      <c r="W323" s="1">
        <f>W265</f>
        <v>0</v>
      </c>
      <c r="X323" s="1"/>
      <c r="Y323" s="1" t="e">
        <f t="shared" ref="Y323:Y324" si="568">X323/W323*100</f>
        <v>#DIV/0!</v>
      </c>
      <c r="Z323" s="1">
        <f>Z265+678.6</f>
        <v>678.6</v>
      </c>
      <c r="AA323" s="1"/>
      <c r="AB323" s="1">
        <f t="shared" ref="AB323:AB324" si="569">AA323/Z323*100</f>
        <v>0</v>
      </c>
      <c r="AC323" s="1"/>
      <c r="AD323" s="1"/>
      <c r="AE323" s="1"/>
      <c r="AF323" s="1"/>
      <c r="AG323" s="1"/>
      <c r="AH323" s="1"/>
      <c r="AI323" s="1">
        <f>AI265</f>
        <v>0</v>
      </c>
      <c r="AJ323" s="1"/>
      <c r="AK323" s="1" t="e">
        <f t="shared" ref="AK323:AK324" si="570">AJ323/AI323*100</f>
        <v>#DIV/0!</v>
      </c>
      <c r="AL323" s="1">
        <f>AL265+264.4</f>
        <v>264.39999999999998</v>
      </c>
      <c r="AM323" s="1"/>
      <c r="AN323" s="1">
        <f t="shared" ref="AN323:AN324" si="571">AM323/AL323*100</f>
        <v>0</v>
      </c>
      <c r="AO323" s="1"/>
      <c r="AP323" s="49"/>
      <c r="AQ323" s="31"/>
      <c r="AR323" s="3"/>
      <c r="AS323" s="4"/>
    </row>
    <row r="324" spans="1:63" ht="112.5" customHeight="1" x14ac:dyDescent="0.25">
      <c r="A324" s="123"/>
      <c r="B324" s="123"/>
      <c r="C324" s="123"/>
      <c r="D324" s="26" t="s">
        <v>43</v>
      </c>
      <c r="E324" s="1">
        <f t="shared" si="565"/>
        <v>28612.1</v>
      </c>
      <c r="F324" s="1">
        <f t="shared" si="522"/>
        <v>5256.8009999999995</v>
      </c>
      <c r="G324" s="1">
        <f t="shared" ref="G324" si="572">F324/E324*100</f>
        <v>18.372650032678482</v>
      </c>
      <c r="H324" s="1">
        <f>H266</f>
        <v>400</v>
      </c>
      <c r="I324" s="1">
        <f t="shared" ref="I324" si="573">I266</f>
        <v>400</v>
      </c>
      <c r="J324" s="1">
        <f t="shared" ref="J324" si="574">I324/H324*100</f>
        <v>100</v>
      </c>
      <c r="K324" s="1">
        <f>K266+2100</f>
        <v>3509.3999999999996</v>
      </c>
      <c r="L324" s="1">
        <f>L266+791.8</f>
        <v>2214.1009999999997</v>
      </c>
      <c r="M324" s="1">
        <f t="shared" ref="M324" si="575">L324/K324*100</f>
        <v>63.090585285233935</v>
      </c>
      <c r="N324" s="1">
        <f>N266+1050+175.4</f>
        <v>2745.5</v>
      </c>
      <c r="O324" s="1">
        <v>2642.7</v>
      </c>
      <c r="P324" s="1">
        <f t="shared" ref="P324" si="576">O324/N324*100</f>
        <v>96.255691130941528</v>
      </c>
      <c r="Q324" s="1">
        <f>Q266+1050+176.6</f>
        <v>2780.4</v>
      </c>
      <c r="R324" s="1"/>
      <c r="S324" s="1">
        <f t="shared" si="566"/>
        <v>0</v>
      </c>
      <c r="T324" s="1">
        <f>T266+1050+176.6</f>
        <v>2537.7999999999997</v>
      </c>
      <c r="U324" s="1"/>
      <c r="V324" s="1">
        <f t="shared" ref="V324" si="577">U324/T324*100</f>
        <v>0</v>
      </c>
      <c r="W324" s="1">
        <f>W266+176.6</f>
        <v>3026.9</v>
      </c>
      <c r="X324" s="1"/>
      <c r="Y324" s="1">
        <f t="shared" si="568"/>
        <v>0</v>
      </c>
      <c r="Z324" s="1">
        <f>Z266+119.8</f>
        <v>2230</v>
      </c>
      <c r="AA324" s="1"/>
      <c r="AB324" s="1">
        <f t="shared" si="569"/>
        <v>0</v>
      </c>
      <c r="AC324" s="1">
        <f>AC266</f>
        <v>1242.5999999999999</v>
      </c>
      <c r="AD324" s="1"/>
      <c r="AE324" s="1">
        <f t="shared" ref="AE324" si="578">AD324/AC324*100</f>
        <v>0</v>
      </c>
      <c r="AF324" s="1">
        <f t="shared" ref="AF324" si="579">AF266</f>
        <v>1065.5</v>
      </c>
      <c r="AG324" s="1">
        <f>AG266</f>
        <v>0</v>
      </c>
      <c r="AH324" s="1">
        <f t="shared" ref="AH324" si="580">AG324/AF324*100</f>
        <v>0</v>
      </c>
      <c r="AI324" s="1">
        <f>AI266+2100+245.8</f>
        <v>3736.2000000000003</v>
      </c>
      <c r="AJ324" s="1"/>
      <c r="AK324" s="1">
        <f t="shared" si="570"/>
        <v>0</v>
      </c>
      <c r="AL324" s="1">
        <f>AL266+1611.6</f>
        <v>3133.7</v>
      </c>
      <c r="AM324" s="1"/>
      <c r="AN324" s="1">
        <f t="shared" si="571"/>
        <v>0</v>
      </c>
      <c r="AO324" s="1">
        <f>AO266</f>
        <v>2204.1</v>
      </c>
      <c r="AP324" s="49"/>
      <c r="AQ324" s="31"/>
      <c r="AR324" s="94" t="s">
        <v>190</v>
      </c>
      <c r="AS324" s="4" t="s">
        <v>189</v>
      </c>
    </row>
    <row r="325" spans="1:63" ht="14.25" customHeight="1" x14ac:dyDescent="0.25">
      <c r="A325" s="123"/>
      <c r="B325" s="123"/>
      <c r="C325" s="123"/>
      <c r="D325" s="26" t="s">
        <v>21</v>
      </c>
      <c r="E325" s="1">
        <f t="shared" si="565"/>
        <v>0</v>
      </c>
      <c r="F325" s="1">
        <f t="shared" si="522"/>
        <v>0</v>
      </c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>
        <v>0</v>
      </c>
      <c r="AM325" s="1"/>
      <c r="AN325" s="1"/>
      <c r="AO325" s="1"/>
      <c r="AP325" s="49"/>
      <c r="AQ325" s="40"/>
      <c r="AR325" s="25"/>
      <c r="AS325" s="25"/>
    </row>
    <row r="326" spans="1:63" ht="14.25" customHeight="1" x14ac:dyDescent="0.25">
      <c r="A326" s="123" t="s">
        <v>159</v>
      </c>
      <c r="B326" s="123"/>
      <c r="C326" s="123"/>
      <c r="D326" s="26" t="s">
        <v>3</v>
      </c>
      <c r="E326" s="1">
        <f>H326+K326+N326+Q326+T326+W326+Z326+AC326+AF326+AI326+AL326+AO326</f>
        <v>1040.1999999999998</v>
      </c>
      <c r="F326" s="1">
        <f t="shared" si="522"/>
        <v>294.60000000000002</v>
      </c>
      <c r="G326" s="1">
        <f>F326/E326*100</f>
        <v>28.321476639107875</v>
      </c>
      <c r="H326" s="1">
        <f>H327+H328+H329+H330</f>
        <v>23</v>
      </c>
      <c r="I326" s="1">
        <f>I327+I328+I329+I330</f>
        <v>0</v>
      </c>
      <c r="J326" s="1">
        <f>I326/H326*100</f>
        <v>0</v>
      </c>
      <c r="K326" s="1">
        <f>K327+K328+K329+K330</f>
        <v>188.6</v>
      </c>
      <c r="L326" s="1">
        <f>L327+L328+L329+L330</f>
        <v>194.9</v>
      </c>
      <c r="M326" s="1">
        <f>L326/K326*100</f>
        <v>103.34040296924709</v>
      </c>
      <c r="N326" s="1">
        <f>N327+N328+N329+N330</f>
        <v>83.8</v>
      </c>
      <c r="O326" s="1">
        <f>O327+O328+O329+O330</f>
        <v>99.7</v>
      </c>
      <c r="P326" s="1">
        <f>O326/N326*100</f>
        <v>118.97374701670644</v>
      </c>
      <c r="Q326" s="1">
        <f>Q327+Q328+Q329+Q330</f>
        <v>90.9</v>
      </c>
      <c r="R326" s="1">
        <f>R327+R328+R329+R330</f>
        <v>0</v>
      </c>
      <c r="S326" s="1">
        <f>R326/Q326*100</f>
        <v>0</v>
      </c>
      <c r="T326" s="1">
        <f>T327+T328+T329+T330</f>
        <v>86.4</v>
      </c>
      <c r="U326" s="1">
        <f>U327+U328+U329+U330</f>
        <v>0</v>
      </c>
      <c r="V326" s="1">
        <f>U326/T326*100</f>
        <v>0</v>
      </c>
      <c r="W326" s="1">
        <f>W327+W328+W329+W330</f>
        <v>91</v>
      </c>
      <c r="X326" s="1">
        <f>X327+X328+X329+X330</f>
        <v>0</v>
      </c>
      <c r="Y326" s="1">
        <f>X326/W326*100</f>
        <v>0</v>
      </c>
      <c r="Z326" s="1">
        <f>Z327+Z328+Z329+Z330</f>
        <v>135.30000000000001</v>
      </c>
      <c r="AA326" s="1">
        <f>AA327+AA328+AA329+AA330</f>
        <v>0</v>
      </c>
      <c r="AB326" s="1">
        <f>AA326/Z326*100</f>
        <v>0</v>
      </c>
      <c r="AC326" s="1">
        <f>AC327+AC328+AC329+AC330</f>
        <v>52</v>
      </c>
      <c r="AD326" s="1">
        <f>AD327+AD328+AD329+AD330</f>
        <v>0</v>
      </c>
      <c r="AE326" s="1">
        <f>AD326/AC326*100</f>
        <v>0</v>
      </c>
      <c r="AF326" s="1">
        <f>AF327+AF328+AF329+AF330</f>
        <v>84.8</v>
      </c>
      <c r="AG326" s="1">
        <f>AG327+AG328+AG329+AG330</f>
        <v>0</v>
      </c>
      <c r="AH326" s="1">
        <f>AG326/AF326*100</f>
        <v>0</v>
      </c>
      <c r="AI326" s="1">
        <f>AI327+AI328+AI329+AI330</f>
        <v>114.4</v>
      </c>
      <c r="AJ326" s="1">
        <f>AJ327+AJ328+AJ329+AJ330</f>
        <v>0</v>
      </c>
      <c r="AK326" s="1">
        <f>AJ326/AI326*100</f>
        <v>0</v>
      </c>
      <c r="AL326" s="1">
        <f>AL327+AL328+AL329+AL330</f>
        <v>73.8</v>
      </c>
      <c r="AM326" s="1">
        <f>AM327+AM328+AM329+AM330</f>
        <v>0</v>
      </c>
      <c r="AN326" s="1">
        <f>AM326/AL326*100</f>
        <v>0</v>
      </c>
      <c r="AO326" s="1">
        <f>AO327+AO328+AO329+AO330</f>
        <v>16.2</v>
      </c>
      <c r="AP326" s="49"/>
      <c r="AQ326" s="1"/>
      <c r="AR326" s="25"/>
      <c r="AS326" s="25"/>
    </row>
    <row r="327" spans="1:63" ht="14.25" customHeight="1" x14ac:dyDescent="0.25">
      <c r="A327" s="123"/>
      <c r="B327" s="123"/>
      <c r="C327" s="123"/>
      <c r="D327" s="26" t="s">
        <v>20</v>
      </c>
      <c r="E327" s="1">
        <f t="shared" ref="E327:E330" si="581">H327+K327+N327+Q327+T327+W327+Z327+AC327+AF327+AI327+AL327+AO327</f>
        <v>0</v>
      </c>
      <c r="F327" s="1">
        <f t="shared" si="522"/>
        <v>0</v>
      </c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49"/>
      <c r="AQ327" s="31"/>
      <c r="AR327" s="25"/>
      <c r="AS327" s="25"/>
    </row>
    <row r="328" spans="1:63" ht="24" x14ac:dyDescent="0.25">
      <c r="A328" s="123"/>
      <c r="B328" s="123"/>
      <c r="C328" s="123"/>
      <c r="D328" s="26" t="s">
        <v>4</v>
      </c>
      <c r="E328" s="1">
        <f t="shared" si="581"/>
        <v>0</v>
      </c>
      <c r="F328" s="1">
        <f t="shared" si="522"/>
        <v>0</v>
      </c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 t="e">
        <f t="shared" ref="S328" si="582">R328/Q328*100</f>
        <v>#DIV/0!</v>
      </c>
      <c r="T328" s="1"/>
      <c r="U328" s="1"/>
      <c r="V328" s="1" t="e">
        <f t="shared" ref="V328" si="583">U328/T328*100</f>
        <v>#DIV/0!</v>
      </c>
      <c r="W328" s="1"/>
      <c r="X328" s="1"/>
      <c r="Y328" s="1" t="e">
        <f t="shared" ref="Y328" si="584">X328/W328*100</f>
        <v>#DIV/0!</v>
      </c>
      <c r="Z328" s="1"/>
      <c r="AA328" s="1"/>
      <c r="AB328" s="1" t="e">
        <f t="shared" ref="AB328" si="585">AA328/Z328*100</f>
        <v>#DIV/0!</v>
      </c>
      <c r="AC328" s="1"/>
      <c r="AD328" s="1"/>
      <c r="AE328" s="1" t="e">
        <f t="shared" ref="AE328" si="586">AD328/AC328*100</f>
        <v>#DIV/0!</v>
      </c>
      <c r="AF328" s="1"/>
      <c r="AG328" s="1"/>
      <c r="AH328" s="1" t="e">
        <f t="shared" ref="AH328" si="587">AG328/AF328*100</f>
        <v>#DIV/0!</v>
      </c>
      <c r="AI328" s="1"/>
      <c r="AJ328" s="1"/>
      <c r="AK328" s="1" t="e">
        <f t="shared" ref="AK328" si="588">AJ328/AI328*100</f>
        <v>#DIV/0!</v>
      </c>
      <c r="AL328" s="1"/>
      <c r="AM328" s="1"/>
      <c r="AN328" s="1" t="e">
        <f t="shared" ref="AN328" si="589">AM328/AL328*100</f>
        <v>#DIV/0!</v>
      </c>
      <c r="AO328" s="1"/>
      <c r="AP328" s="49"/>
      <c r="AQ328" s="31"/>
      <c r="AR328" s="94"/>
      <c r="AS328" s="4"/>
    </row>
    <row r="329" spans="1:63" ht="60" x14ac:dyDescent="0.25">
      <c r="A329" s="123"/>
      <c r="B329" s="123"/>
      <c r="C329" s="123"/>
      <c r="D329" s="26" t="s">
        <v>43</v>
      </c>
      <c r="E329" s="1">
        <f t="shared" si="581"/>
        <v>1040.1999999999998</v>
      </c>
      <c r="F329" s="1">
        <f t="shared" si="522"/>
        <v>294.60000000000002</v>
      </c>
      <c r="G329" s="1">
        <f>F329/E329*100</f>
        <v>28.321476639107875</v>
      </c>
      <c r="H329" s="1">
        <v>23</v>
      </c>
      <c r="I329" s="1"/>
      <c r="J329" s="1"/>
      <c r="K329" s="1">
        <v>188.6</v>
      </c>
      <c r="L329" s="1">
        <v>194.9</v>
      </c>
      <c r="M329" s="1">
        <f>L329/K329*100</f>
        <v>103.34040296924709</v>
      </c>
      <c r="N329" s="1">
        <v>83.8</v>
      </c>
      <c r="O329" s="1">
        <v>99.7</v>
      </c>
      <c r="P329" s="1">
        <f>O329/N329*100</f>
        <v>118.97374701670644</v>
      </c>
      <c r="Q329" s="1">
        <v>90.9</v>
      </c>
      <c r="R329" s="1"/>
      <c r="S329" s="1"/>
      <c r="T329" s="1">
        <v>86.4</v>
      </c>
      <c r="U329" s="1"/>
      <c r="V329" s="1"/>
      <c r="W329" s="1">
        <v>91</v>
      </c>
      <c r="X329" s="1"/>
      <c r="Y329" s="1"/>
      <c r="Z329" s="1">
        <v>135.30000000000001</v>
      </c>
      <c r="AA329" s="1"/>
      <c r="AB329" s="1"/>
      <c r="AC329" s="1">
        <v>52</v>
      </c>
      <c r="AD329" s="1"/>
      <c r="AE329" s="1"/>
      <c r="AF329" s="1">
        <v>84.8</v>
      </c>
      <c r="AG329" s="1"/>
      <c r="AH329" s="1"/>
      <c r="AI329" s="1">
        <v>114.4</v>
      </c>
      <c r="AJ329" s="1"/>
      <c r="AK329" s="1"/>
      <c r="AL329" s="1">
        <v>73.8</v>
      </c>
      <c r="AM329" s="1"/>
      <c r="AN329" s="1"/>
      <c r="AO329" s="1">
        <v>16.2</v>
      </c>
      <c r="AP329" s="49"/>
      <c r="AQ329" s="31"/>
      <c r="AR329" s="94" t="s">
        <v>180</v>
      </c>
      <c r="AS329" s="4" t="s">
        <v>178</v>
      </c>
    </row>
    <row r="330" spans="1:63" ht="14.25" customHeight="1" x14ac:dyDescent="0.25">
      <c r="A330" s="123"/>
      <c r="B330" s="123"/>
      <c r="C330" s="123"/>
      <c r="D330" s="26" t="s">
        <v>21</v>
      </c>
      <c r="E330" s="1">
        <f t="shared" si="581"/>
        <v>0</v>
      </c>
      <c r="F330" s="1">
        <f t="shared" si="522"/>
        <v>0</v>
      </c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49"/>
      <c r="AQ330" s="40"/>
      <c r="AR330" s="25"/>
      <c r="AS330" s="25"/>
    </row>
    <row r="331" spans="1:63" ht="15.75" x14ac:dyDescent="0.25">
      <c r="A331" s="52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53"/>
      <c r="AB331" s="53"/>
      <c r="AC331" s="53"/>
      <c r="AD331" s="53"/>
      <c r="AE331" s="53"/>
      <c r="AF331" s="53"/>
      <c r="AG331" s="53"/>
      <c r="AH331" s="53"/>
      <c r="AI331" s="53"/>
      <c r="AJ331" s="53"/>
      <c r="AK331" s="53"/>
      <c r="AL331" s="53"/>
      <c r="AM331" s="53"/>
      <c r="AN331" s="53"/>
      <c r="AO331" s="53"/>
      <c r="AP331" s="53"/>
      <c r="AQ331" s="53"/>
      <c r="AR331" s="53"/>
      <c r="AS331" s="53"/>
    </row>
    <row r="332" spans="1:63" ht="15.75" x14ac:dyDescent="0.25">
      <c r="A332" s="52"/>
      <c r="D332" s="54"/>
      <c r="E332" s="55"/>
      <c r="F332" s="56"/>
      <c r="G332" s="56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  <c r="AJ332" s="53"/>
      <c r="AK332" s="53"/>
      <c r="AL332" s="53"/>
      <c r="AM332" s="53"/>
      <c r="AN332" s="53"/>
      <c r="AO332" s="53"/>
      <c r="AP332" s="53"/>
      <c r="AQ332" s="53"/>
      <c r="AR332" s="53"/>
      <c r="AS332" s="53"/>
    </row>
    <row r="333" spans="1:63" s="64" customFormat="1" ht="42" customHeight="1" x14ac:dyDescent="0.25">
      <c r="A333" s="57"/>
      <c r="B333" s="92" t="s">
        <v>205</v>
      </c>
      <c r="C333" s="58"/>
      <c r="D333" s="59"/>
      <c r="E333" s="60"/>
      <c r="F333" s="60"/>
      <c r="G333" s="60"/>
      <c r="H333" s="61"/>
      <c r="I333" s="62"/>
      <c r="J333" s="62"/>
      <c r="K333" s="63" t="s">
        <v>203</v>
      </c>
      <c r="L333" s="63"/>
      <c r="M333" s="63"/>
      <c r="Q333" s="65"/>
      <c r="R333" s="65"/>
      <c r="S333" s="65"/>
      <c r="T333" s="65"/>
      <c r="U333" s="65"/>
      <c r="V333" s="65"/>
      <c r="W333" s="65"/>
      <c r="X333" s="65"/>
      <c r="Y333" s="65"/>
      <c r="Z333" s="65"/>
      <c r="AA333" s="65"/>
      <c r="AB333" s="65"/>
      <c r="AC333" s="65"/>
      <c r="AD333" s="65"/>
      <c r="AE333" s="65"/>
      <c r="AF333" s="58"/>
      <c r="AG333" s="58"/>
      <c r="AH333" s="58"/>
      <c r="AI333" s="58"/>
      <c r="AJ333" s="58"/>
      <c r="AK333" s="58"/>
      <c r="AL333" s="51"/>
      <c r="AM333" s="51"/>
      <c r="AN333" s="51"/>
      <c r="AO333" s="51" t="s">
        <v>37</v>
      </c>
      <c r="AP333" s="51"/>
      <c r="AQ333" s="51"/>
      <c r="AR333" s="66"/>
      <c r="AS333" s="66"/>
      <c r="AT333" s="50"/>
      <c r="AU333" s="50"/>
      <c r="AV333" s="50"/>
      <c r="AW333" s="50"/>
      <c r="AX333" s="50"/>
      <c r="AY333" s="50"/>
      <c r="AZ333" s="50"/>
      <c r="BA333" s="50"/>
      <c r="BB333" s="50"/>
      <c r="BC333" s="50"/>
      <c r="BD333" s="50"/>
      <c r="BE333" s="50"/>
      <c r="BF333" s="50"/>
      <c r="BG333" s="50"/>
      <c r="BH333" s="67"/>
      <c r="BI333" s="67"/>
      <c r="BJ333" s="67"/>
      <c r="BK333" s="67"/>
    </row>
    <row r="334" spans="1:63" s="64" customFormat="1" ht="66" customHeight="1" x14ac:dyDescent="0.25">
      <c r="A334" s="57"/>
      <c r="B334" s="68" t="s">
        <v>168</v>
      </c>
      <c r="C334" s="69"/>
      <c r="D334" s="70"/>
      <c r="E334" s="71"/>
      <c r="F334" s="71"/>
      <c r="G334" s="71"/>
      <c r="H334" s="72"/>
      <c r="I334" s="73"/>
      <c r="J334" s="73"/>
      <c r="K334" s="74" t="s">
        <v>167</v>
      </c>
      <c r="L334" s="75"/>
      <c r="M334" s="75"/>
      <c r="N334" s="76"/>
      <c r="O334" s="76"/>
      <c r="P334" s="76"/>
      <c r="Q334" s="76"/>
      <c r="R334" s="76"/>
      <c r="S334" s="76"/>
      <c r="T334" s="77"/>
      <c r="U334" s="77"/>
      <c r="V334" s="77"/>
      <c r="W334" s="77"/>
      <c r="X334" s="77"/>
      <c r="Y334" s="77"/>
      <c r="Z334" s="77"/>
      <c r="AA334" s="77"/>
      <c r="AB334" s="77"/>
      <c r="AC334" s="77"/>
      <c r="AD334" s="77"/>
      <c r="AE334" s="77"/>
      <c r="AF334" s="69"/>
      <c r="AG334" s="69"/>
      <c r="AH334" s="69"/>
      <c r="AI334" s="69"/>
      <c r="AJ334" s="69"/>
      <c r="AK334" s="69"/>
      <c r="AL334" s="76"/>
      <c r="AM334" s="76"/>
      <c r="AN334" s="76"/>
      <c r="AO334" s="78" t="s">
        <v>38</v>
      </c>
      <c r="AR334" s="66"/>
      <c r="AS334" s="66"/>
      <c r="AT334" s="50"/>
      <c r="AU334" s="50"/>
      <c r="AV334" s="50"/>
      <c r="AW334" s="50"/>
      <c r="AX334" s="79"/>
      <c r="AY334" s="79"/>
      <c r="AZ334" s="79"/>
      <c r="BA334" s="79"/>
      <c r="BB334" s="79"/>
      <c r="BC334" s="79"/>
      <c r="BD334" s="79"/>
      <c r="BE334" s="80"/>
      <c r="BF334" s="80"/>
      <c r="BG334" s="80"/>
      <c r="BH334" s="67"/>
      <c r="BI334" s="67"/>
      <c r="BJ334" s="67"/>
      <c r="BK334" s="67"/>
    </row>
    <row r="335" spans="1:63" ht="27.75" customHeight="1" x14ac:dyDescent="0.25">
      <c r="Z335" s="81"/>
      <c r="AA335" s="81"/>
      <c r="AB335" s="81"/>
      <c r="AC335" s="81"/>
      <c r="AD335" s="81"/>
      <c r="AE335" s="81"/>
      <c r="AF335" s="81"/>
      <c r="AG335" s="81"/>
      <c r="AH335" s="81"/>
      <c r="AI335" s="81"/>
      <c r="AJ335" s="82"/>
      <c r="AK335" s="82"/>
      <c r="AL335" s="82"/>
      <c r="AM335" s="82"/>
      <c r="AN335" s="82"/>
      <c r="AO335" s="83" t="s">
        <v>204</v>
      </c>
    </row>
    <row r="336" spans="1:63" s="89" customFormat="1" ht="14.25" customHeight="1" x14ac:dyDescent="0.2">
      <c r="A336" s="84" t="s">
        <v>39</v>
      </c>
      <c r="B336" s="84"/>
      <c r="C336" s="95"/>
      <c r="D336" s="85"/>
      <c r="E336" s="86"/>
      <c r="F336" s="86"/>
      <c r="G336" s="86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  <c r="Y336" s="87"/>
      <c r="Z336" s="87"/>
      <c r="AA336" s="87"/>
      <c r="AB336" s="87"/>
      <c r="AC336" s="87"/>
      <c r="AD336" s="87"/>
      <c r="AE336" s="87"/>
      <c r="AF336" s="87"/>
      <c r="AG336" s="87"/>
      <c r="AH336" s="87"/>
      <c r="AI336" s="87"/>
      <c r="AJ336" s="87"/>
      <c r="AK336" s="87"/>
      <c r="AL336" s="87"/>
      <c r="AM336" s="87"/>
      <c r="AN336" s="87"/>
      <c r="AO336" s="87"/>
      <c r="AP336" s="87"/>
      <c r="AQ336" s="87"/>
      <c r="AR336" s="66"/>
      <c r="AS336" s="66"/>
      <c r="AT336" s="50"/>
      <c r="AU336" s="50"/>
      <c r="AV336" s="50"/>
      <c r="AW336" s="50"/>
      <c r="AX336" s="66"/>
      <c r="AY336" s="66"/>
      <c r="AZ336" s="66"/>
      <c r="BA336" s="50"/>
      <c r="BB336" s="50"/>
      <c r="BC336" s="50"/>
      <c r="BD336" s="80"/>
      <c r="BE336" s="80"/>
      <c r="BF336" s="80"/>
      <c r="BG336" s="80"/>
      <c r="BH336" s="67"/>
      <c r="BI336" s="67"/>
      <c r="BJ336" s="67"/>
      <c r="BK336" s="88"/>
    </row>
    <row r="337" spans="1:62" s="89" customFormat="1" ht="15" customHeight="1" x14ac:dyDescent="0.25">
      <c r="A337" s="124" t="s">
        <v>166</v>
      </c>
      <c r="B337" s="124"/>
      <c r="C337" s="124"/>
      <c r="D337" s="124"/>
      <c r="E337" s="124"/>
      <c r="F337" s="124"/>
      <c r="G337" s="124"/>
      <c r="H337" s="124"/>
      <c r="I337" s="124"/>
      <c r="J337" s="124"/>
      <c r="K337" s="124"/>
      <c r="L337" s="95"/>
      <c r="M337" s="95"/>
      <c r="N337" s="90"/>
      <c r="O337" s="90"/>
      <c r="P337" s="90"/>
      <c r="Q337" s="66"/>
      <c r="R337" s="66"/>
      <c r="S337" s="66"/>
      <c r="T337" s="66"/>
      <c r="U337" s="66"/>
      <c r="V337" s="66"/>
      <c r="W337" s="91"/>
      <c r="X337" s="91"/>
      <c r="Y337" s="91"/>
      <c r="Z337" s="66"/>
      <c r="AA337" s="66"/>
      <c r="AB337" s="66"/>
      <c r="AC337" s="66"/>
      <c r="AD337" s="66"/>
      <c r="AE337" s="66"/>
      <c r="AF337" s="90"/>
      <c r="AG337" s="90"/>
      <c r="AH337" s="90"/>
      <c r="AI337" s="66"/>
      <c r="AJ337" s="66"/>
      <c r="AK337" s="66"/>
      <c r="AL337" s="66"/>
      <c r="AM337" s="66"/>
      <c r="AN337" s="66"/>
      <c r="AO337" s="90"/>
      <c r="AP337" s="90"/>
      <c r="AQ337" s="90"/>
      <c r="AR337" s="66"/>
      <c r="AS337" s="66"/>
      <c r="AT337" s="50"/>
      <c r="AU337" s="50"/>
      <c r="AV337" s="50"/>
      <c r="AW337" s="50"/>
      <c r="AX337" s="66"/>
      <c r="AY337" s="66"/>
      <c r="AZ337" s="66"/>
      <c r="BA337" s="50"/>
      <c r="BB337" s="50"/>
      <c r="BC337" s="50"/>
      <c r="BD337" s="80"/>
      <c r="BE337" s="80"/>
      <c r="BF337" s="80"/>
      <c r="BG337" s="80"/>
      <c r="BH337" s="67"/>
      <c r="BI337" s="67"/>
      <c r="BJ337" s="67"/>
    </row>
  </sheetData>
  <mergeCells count="191">
    <mergeCell ref="AR316:AR318"/>
    <mergeCell ref="AS316:AS318"/>
    <mergeCell ref="C216:C220"/>
    <mergeCell ref="A237:A241"/>
    <mergeCell ref="B237:B241"/>
    <mergeCell ref="C237:C241"/>
    <mergeCell ref="AR217:AR219"/>
    <mergeCell ref="AS217:AS219"/>
    <mergeCell ref="A226:C230"/>
    <mergeCell ref="A247:A252"/>
    <mergeCell ref="B247:B252"/>
    <mergeCell ref="C247:C252"/>
    <mergeCell ref="AR222:AR224"/>
    <mergeCell ref="AS222:AS224"/>
    <mergeCell ref="A232:A236"/>
    <mergeCell ref="B232:B236"/>
    <mergeCell ref="C232:C236"/>
    <mergeCell ref="A242:A246"/>
    <mergeCell ref="B242:B246"/>
    <mergeCell ref="C242:C246"/>
    <mergeCell ref="A263:C268"/>
    <mergeCell ref="A270:A274"/>
    <mergeCell ref="B270:B274"/>
    <mergeCell ref="C270:C274"/>
    <mergeCell ref="A258:A262"/>
    <mergeCell ref="B258:B262"/>
    <mergeCell ref="C258:C262"/>
    <mergeCell ref="A253:A257"/>
    <mergeCell ref="B253:B257"/>
    <mergeCell ref="C253:C257"/>
    <mergeCell ref="A337:K337"/>
    <mergeCell ref="A280:A284"/>
    <mergeCell ref="B280:B284"/>
    <mergeCell ref="C280:C284"/>
    <mergeCell ref="A285:C289"/>
    <mergeCell ref="A290:C295"/>
    <mergeCell ref="A296:C301"/>
    <mergeCell ref="A275:A279"/>
    <mergeCell ref="B275:B279"/>
    <mergeCell ref="C275:C279"/>
    <mergeCell ref="A326:C330"/>
    <mergeCell ref="A309:C314"/>
    <mergeCell ref="A315:C320"/>
    <mergeCell ref="A321:C325"/>
    <mergeCell ref="A302:C307"/>
    <mergeCell ref="A308:C308"/>
    <mergeCell ref="A211:A215"/>
    <mergeCell ref="B211:B215"/>
    <mergeCell ref="C211:C215"/>
    <mergeCell ref="A221:A225"/>
    <mergeCell ref="B221:B225"/>
    <mergeCell ref="C221:C225"/>
    <mergeCell ref="A180:A184"/>
    <mergeCell ref="B180:B184"/>
    <mergeCell ref="C180:C184"/>
    <mergeCell ref="A185:A189"/>
    <mergeCell ref="B185:B189"/>
    <mergeCell ref="C185:C189"/>
    <mergeCell ref="A190:C194"/>
    <mergeCell ref="A196:A200"/>
    <mergeCell ref="B196:B200"/>
    <mergeCell ref="C196:C200"/>
    <mergeCell ref="A201:A205"/>
    <mergeCell ref="B201:B205"/>
    <mergeCell ref="C201:C205"/>
    <mergeCell ref="A206:A210"/>
    <mergeCell ref="B206:B210"/>
    <mergeCell ref="C206:C210"/>
    <mergeCell ref="A216:A220"/>
    <mergeCell ref="B216:B220"/>
    <mergeCell ref="A170:A174"/>
    <mergeCell ref="B170:B174"/>
    <mergeCell ref="C170:C174"/>
    <mergeCell ref="A175:A179"/>
    <mergeCell ref="B175:B179"/>
    <mergeCell ref="C175:C179"/>
    <mergeCell ref="A154:C158"/>
    <mergeCell ref="A160:A164"/>
    <mergeCell ref="B160:B164"/>
    <mergeCell ref="C160:C164"/>
    <mergeCell ref="A165:A169"/>
    <mergeCell ref="B165:B169"/>
    <mergeCell ref="C165:C169"/>
    <mergeCell ref="A139:A143"/>
    <mergeCell ref="B139:B143"/>
    <mergeCell ref="C139:C143"/>
    <mergeCell ref="A144:A148"/>
    <mergeCell ref="B144:B148"/>
    <mergeCell ref="C144:C148"/>
    <mergeCell ref="A149:A153"/>
    <mergeCell ref="B149:B153"/>
    <mergeCell ref="C149:C153"/>
    <mergeCell ref="A129:A133"/>
    <mergeCell ref="B129:B133"/>
    <mergeCell ref="C129:C133"/>
    <mergeCell ref="A134:A138"/>
    <mergeCell ref="B134:B138"/>
    <mergeCell ref="C134:C138"/>
    <mergeCell ref="A114:A118"/>
    <mergeCell ref="B114:B118"/>
    <mergeCell ref="C114:C118"/>
    <mergeCell ref="A124:A128"/>
    <mergeCell ref="B124:B128"/>
    <mergeCell ref="C124:C128"/>
    <mergeCell ref="A104:A108"/>
    <mergeCell ref="B104:B108"/>
    <mergeCell ref="C104:C108"/>
    <mergeCell ref="A109:A113"/>
    <mergeCell ref="B109:B113"/>
    <mergeCell ref="C109:C113"/>
    <mergeCell ref="A119:A123"/>
    <mergeCell ref="B119:B123"/>
    <mergeCell ref="C119:C123"/>
    <mergeCell ref="A99:A103"/>
    <mergeCell ref="B99:B103"/>
    <mergeCell ref="C99:C103"/>
    <mergeCell ref="A77:C82"/>
    <mergeCell ref="A84:A88"/>
    <mergeCell ref="B84:B88"/>
    <mergeCell ref="C84:C88"/>
    <mergeCell ref="A89:A93"/>
    <mergeCell ref="B89:B93"/>
    <mergeCell ref="C89:C93"/>
    <mergeCell ref="A72:A76"/>
    <mergeCell ref="B72:B76"/>
    <mergeCell ref="C72:C76"/>
    <mergeCell ref="A61:A65"/>
    <mergeCell ref="B61:B65"/>
    <mergeCell ref="C61:C65"/>
    <mergeCell ref="C66:C71"/>
    <mergeCell ref="A94:A98"/>
    <mergeCell ref="B94:B98"/>
    <mergeCell ref="C94:C98"/>
    <mergeCell ref="A40:A44"/>
    <mergeCell ref="B40:B44"/>
    <mergeCell ref="C40:C44"/>
    <mergeCell ref="A45:A50"/>
    <mergeCell ref="B45:B50"/>
    <mergeCell ref="C45:C50"/>
    <mergeCell ref="B51:B55"/>
    <mergeCell ref="C51:C55"/>
    <mergeCell ref="A66:A71"/>
    <mergeCell ref="B66:B71"/>
    <mergeCell ref="C56:C60"/>
    <mergeCell ref="A34:C38"/>
    <mergeCell ref="A1:AS1"/>
    <mergeCell ref="A3:AS3"/>
    <mergeCell ref="A5:A7"/>
    <mergeCell ref="B5:B7"/>
    <mergeCell ref="C5:C7"/>
    <mergeCell ref="D5:D7"/>
    <mergeCell ref="E5:G6"/>
    <mergeCell ref="H5:AQ5"/>
    <mergeCell ref="AR5:AR7"/>
    <mergeCell ref="AS5:AS7"/>
    <mergeCell ref="Z6:AB6"/>
    <mergeCell ref="AC6:AE6"/>
    <mergeCell ref="AF6:AH6"/>
    <mergeCell ref="AI6:AK6"/>
    <mergeCell ref="AL6:AN6"/>
    <mergeCell ref="AO6:AQ6"/>
    <mergeCell ref="H6:J6"/>
    <mergeCell ref="K6:M6"/>
    <mergeCell ref="N6:P6"/>
    <mergeCell ref="Q6:S6"/>
    <mergeCell ref="T6:V6"/>
    <mergeCell ref="W6:Y6"/>
    <mergeCell ref="AR57:AR59"/>
    <mergeCell ref="AS57:AS59"/>
    <mergeCell ref="AR150:AR152"/>
    <mergeCell ref="AS150:AS152"/>
    <mergeCell ref="AS11:AS12"/>
    <mergeCell ref="AS16:AS17"/>
    <mergeCell ref="A24:A28"/>
    <mergeCell ref="B24:B28"/>
    <mergeCell ref="C24:C28"/>
    <mergeCell ref="A29:A33"/>
    <mergeCell ref="B29:B33"/>
    <mergeCell ref="C29:C33"/>
    <mergeCell ref="A9:A13"/>
    <mergeCell ref="B9:B13"/>
    <mergeCell ref="C9:C13"/>
    <mergeCell ref="A19:A23"/>
    <mergeCell ref="B19:B23"/>
    <mergeCell ref="C19:C23"/>
    <mergeCell ref="A14:A18"/>
    <mergeCell ref="B14:B18"/>
    <mergeCell ref="C14:C18"/>
    <mergeCell ref="A51:A55"/>
    <mergeCell ref="A56:A60"/>
    <mergeCell ref="B56:B60"/>
  </mergeCells>
  <pageMargins left="0.70866141732283472" right="0.70866141732283472" top="0.74803149606299213" bottom="0.74803149606299213" header="0.31496062992125984" footer="0.31496062992125984"/>
  <pageSetup paperSize="9" scale="43" fitToHeight="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квартал</vt:lpstr>
      <vt:lpstr>'1 квартал'!Область_печати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И.Е. Невская</dc:creator>
  <cp:lastModifiedBy>Невская Ирина Евгеньевна</cp:lastModifiedBy>
  <cp:lastPrinted>2024-04-04T07:05:01Z</cp:lastPrinted>
  <dcterms:created xsi:type="dcterms:W3CDTF">2006-09-28T05:33:00Z</dcterms:created>
  <dcterms:modified xsi:type="dcterms:W3CDTF">2024-04-10T09:24:28Z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1049-10.2.0.6020</vt:lpwstr>
  </property>
</Properties>
</file>