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7" yWindow="14" windowWidth="20962" windowHeight="9727"/>
  </bookViews>
  <sheets>
    <sheet name="Лист1" sheetId="1" r:id="rId1"/>
    <sheet name="Нефтеюганск" sheetId="2" state="hidden" r:id="rId2"/>
    <sheet name="г. Когалым" sheetId="3" state="hidden" r:id="rId3"/>
    <sheet name="Лист2" sheetId="4" r:id="rId4"/>
    <sheet name="Лист3" sheetId="5" r:id="rId5"/>
  </sheets>
  <calcPr calcId="125725" iterateDelta="1E-4"/>
</workbook>
</file>

<file path=xl/calcChain.xml><?xml version="1.0" encoding="utf-8"?>
<calcChain xmlns="http://schemas.openxmlformats.org/spreadsheetml/2006/main">
  <c r="J9" i="1"/>
  <c r="J8"/>
  <c r="J7"/>
  <c r="L8"/>
  <c r="K8"/>
  <c r="L9" l="1"/>
  <c r="K9" s="1"/>
  <c r="I15" i="3" l="1"/>
  <c r="G15"/>
  <c r="N14"/>
  <c r="N13" s="1"/>
  <c r="N16" s="1"/>
  <c r="J14"/>
  <c r="J13" s="1"/>
  <c r="F14"/>
  <c r="H15" s="1"/>
  <c r="D14"/>
  <c r="Q13"/>
  <c r="Q16" s="1"/>
  <c r="P13"/>
  <c r="P16" s="1"/>
  <c r="O13"/>
  <c r="M13"/>
  <c r="L13"/>
  <c r="L16" s="1"/>
  <c r="K13"/>
  <c r="I13"/>
  <c r="I16" s="1"/>
  <c r="H13"/>
  <c r="G13"/>
  <c r="F13"/>
  <c r="B13"/>
  <c r="N11"/>
  <c r="N10" s="1"/>
  <c r="M11"/>
  <c r="M10" s="1"/>
  <c r="M9" s="1"/>
  <c r="J11"/>
  <c r="M12" s="1"/>
  <c r="I11"/>
  <c r="G11"/>
  <c r="D11"/>
  <c r="Q10"/>
  <c r="P10"/>
  <c r="O10"/>
  <c r="O9" s="1"/>
  <c r="L10"/>
  <c r="K10"/>
  <c r="K9" s="1"/>
  <c r="I10"/>
  <c r="G10"/>
  <c r="G9" s="1"/>
  <c r="B10"/>
  <c r="Q9"/>
  <c r="P9"/>
  <c r="L9"/>
  <c r="I9"/>
  <c r="B9"/>
  <c r="N15" i="2"/>
  <c r="K15"/>
  <c r="L15" s="1"/>
  <c r="F15"/>
  <c r="F13" s="1"/>
  <c r="O14"/>
  <c r="P14" s="1"/>
  <c r="J14"/>
  <c r="F14"/>
  <c r="Q13"/>
  <c r="O13"/>
  <c r="M13"/>
  <c r="K13"/>
  <c r="I13"/>
  <c r="H13"/>
  <c r="G13"/>
  <c r="N12"/>
  <c r="J12"/>
  <c r="H12"/>
  <c r="F12" s="1"/>
  <c r="G12"/>
  <c r="N11"/>
  <c r="J11"/>
  <c r="J10" s="1"/>
  <c r="G11"/>
  <c r="H11" s="1"/>
  <c r="Q10"/>
  <c r="Q16" s="1"/>
  <c r="P10"/>
  <c r="O10"/>
  <c r="O16" s="1"/>
  <c r="N10"/>
  <c r="M10"/>
  <c r="M16" s="1"/>
  <c r="L10"/>
  <c r="K10"/>
  <c r="K16" s="1"/>
  <c r="I10"/>
  <c r="I16" s="1"/>
  <c r="G10"/>
  <c r="G16" s="1"/>
  <c r="H10" l="1"/>
  <c r="H16" s="1"/>
  <c r="F11"/>
  <c r="F10" s="1"/>
  <c r="F16" s="1"/>
  <c r="N14"/>
  <c r="N13" s="1"/>
  <c r="N16" s="1"/>
  <c r="P13"/>
  <c r="P16"/>
  <c r="J15"/>
  <c r="J13" s="1"/>
  <c r="J16" s="1"/>
  <c r="L13"/>
  <c r="L16" s="1"/>
  <c r="N9" i="3"/>
  <c r="M16"/>
  <c r="H11"/>
  <c r="K12"/>
  <c r="G16"/>
  <c r="K16"/>
  <c r="O16"/>
  <c r="J10"/>
  <c r="J9" s="1"/>
  <c r="L12"/>
  <c r="F11" l="1"/>
  <c r="H10"/>
  <c r="J16"/>
  <c r="H9" l="1"/>
  <c r="H16"/>
  <c r="F10"/>
  <c r="I12"/>
  <c r="G12"/>
  <c r="H12"/>
  <c r="F9" l="1"/>
  <c r="F16"/>
</calcChain>
</file>

<file path=xl/sharedStrings.xml><?xml version="1.0" encoding="utf-8"?>
<sst xmlns="http://schemas.openxmlformats.org/spreadsheetml/2006/main" count="141" uniqueCount="80">
  <si>
    <t>Приложение</t>
  </si>
  <si>
    <t>№ п/п</t>
  </si>
  <si>
    <t>Наименование объекта капитального строительства / мероприятия (ремонт, капитальный ремонт)</t>
  </si>
  <si>
    <t>Мощность, км</t>
  </si>
  <si>
    <t>Период реализации мм.год / мм.год</t>
  </si>
  <si>
    <t xml:space="preserve">№, дата заключения государственной экспертизы / проверки достоверности сметной стоимости мероприятия </t>
  </si>
  <si>
    <t>2024 год</t>
  </si>
  <si>
    <t>Всего</t>
  </si>
  <si>
    <t>≤50%</t>
  </si>
  <si>
    <t>≥50%</t>
  </si>
  <si>
    <t xml:space="preserve">Бюджет автономного округа </t>
  </si>
  <si>
    <t>Местный бюджет</t>
  </si>
  <si>
    <r>
      <rPr>
        <b/>
        <sz val="14"/>
        <color theme="1"/>
        <rFont val="Times New Roman"/>
        <family val="1"/>
        <charset val="204"/>
      </rPr>
      <t xml:space="preserve">Муниципальное образование: </t>
    </r>
    <r>
      <rPr>
        <sz val="14"/>
        <color theme="1"/>
        <rFont val="Times New Roman"/>
        <family val="1"/>
        <charset val="204"/>
      </rPr>
      <t>г.Нефтеюганск</t>
    </r>
  </si>
  <si>
    <r>
      <t>от  "____" _____ 202_</t>
    </r>
    <r>
      <rPr>
        <sz val="14"/>
        <rFont val="Times New Roman"/>
        <family val="1"/>
        <charset val="204"/>
      </rPr>
      <t xml:space="preserve"> года</t>
    </r>
  </si>
  <si>
    <t>Предельная стоимость объекта  / мероприятия, тыс. рублей</t>
  </si>
  <si>
    <t>Планируемые общие объемы бюджетных ассигнований на реализацию объектов капитального строительства / мероприятий, 
тыс. рублей</t>
  </si>
  <si>
    <t>Очередной финансовый год (2023 год)</t>
  </si>
  <si>
    <t>Первый год планового периода (2024 год)</t>
  </si>
  <si>
    <t>Второй год планового периода (2025 год)</t>
  </si>
  <si>
    <t>Иные внебюджетные источники</t>
  </si>
  <si>
    <t xml:space="preserve">Всего: </t>
  </si>
  <si>
    <t>1. Объекты, всего:</t>
  </si>
  <si>
    <t>Автодорога по ул.Набережная (участок от ул. Романа Кузоваткина до ул.Нефтяников)</t>
  </si>
  <si>
    <t>апрель 2023 года - сентябрь 2023 года</t>
  </si>
  <si>
    <t>от 01.03.2019 № 86-1-1-3-004416-2019 / от 04.03.2019 №86-1-0131-19</t>
  </si>
  <si>
    <t>Автодорога по ул. Нефтяников (участок от ул. Романа Кузоваткина до ул. Набережная)</t>
  </si>
  <si>
    <t>апрель 2023 года - август 2023 года</t>
  </si>
  <si>
    <t>от 26.02.2019 № 86-1-1-3-003985-2019 / от 28.02.2019 №86-1-0124-19</t>
  </si>
  <si>
    <t>2. Мероприятия, всего</t>
  </si>
  <si>
    <t>Автодорога по ул. Мира (от улицы Жилая до ул. Объездная)</t>
  </si>
  <si>
    <t>март 2025 года-декабрь 2025 года</t>
  </si>
  <si>
    <t>от 15.05.2020 № 86-1-1-3-017368-2020 / от 18.05.2020 №86-1-0081-20</t>
  </si>
  <si>
    <t>Автодорога по ул.Центральная (от ул.Парковая до ул. Алексея Варакина)</t>
  </si>
  <si>
    <t>февраль 2024 года-декабрь 2024 года</t>
  </si>
  <si>
    <t>от 15.02.2022 №86-1-1-3-008181-2022</t>
  </si>
  <si>
    <t>Итого:</t>
  </si>
  <si>
    <t>Муниципальное образование: город Когалым</t>
  </si>
  <si>
    <t>Очередной финансовый год</t>
  </si>
  <si>
    <t>Первый год планового периода</t>
  </si>
  <si>
    <t xml:space="preserve">Второй год планового периода </t>
  </si>
  <si>
    <t>х</t>
  </si>
  <si>
    <t>Реконструкция развязки Восточной (проспект Нефтяников, улица Ноябрьская)</t>
  </si>
  <si>
    <t>2021-2022 - ПИР 2023-2024-СМР</t>
  </si>
  <si>
    <t xml:space="preserve">№ 86-1-1-3-035738-2022 от 03.06.2022 </t>
  </si>
  <si>
    <t>2. Мероприятия, всего:</t>
  </si>
  <si>
    <t>Капитальный ремонт объекта «Путепровод на км 0+468 автодороги Повховское шоссе в городе Когалыме»*</t>
  </si>
  <si>
    <t>2022 - ПИР                2023 - СМР</t>
  </si>
  <si>
    <r>
      <rPr>
        <sz val="14"/>
        <rFont val="Times New Roman"/>
        <family val="1"/>
        <charset val="204"/>
      </rPr>
      <t>Находиться на экспертизе в АУ ХМАО-Югры "Управление государственной экспертизы проектной документации и ценообразования в строительстве"</t>
    </r>
    <r>
      <rPr>
        <b/>
        <sz val="14"/>
        <rFont val="Times New Roman"/>
        <family val="1"/>
        <charset val="204"/>
      </rPr>
      <t xml:space="preserve"> </t>
    </r>
  </si>
  <si>
    <t>Примечание: * - в графе 6 указана стоимость объекта согласно сводных сметных расчетов направленных на экспертизу</t>
  </si>
  <si>
    <t>Наименование объекта (мероприятия) капитального ремонта, ремонта</t>
  </si>
  <si>
    <t>ВСЕГО</t>
  </si>
  <si>
    <t>Мощ-ть, км</t>
  </si>
  <si>
    <t>Предельная стоимость объекта в ценах 2024-2025 гг. тыс. рублей</t>
  </si>
  <si>
    <t xml:space="preserve">Дата </t>
  </si>
  <si>
    <t>планируемые сроки разработки
(дд.мм.гг.)</t>
  </si>
  <si>
    <t xml:space="preserve">Наличие проектной, сметной документации </t>
  </si>
  <si>
    <t>при наличии</t>
  </si>
  <si>
    <t>при отсутствии</t>
  </si>
  <si>
    <t>планируемые сроки получения
(дд.мм.гг.)</t>
  </si>
  <si>
    <t>№, дата заключения государственной (негосударственной) экспертизы / проверки достоверности сметной стоимости</t>
  </si>
  <si>
    <t>≤(90 / 95)%</t>
  </si>
  <si>
    <t>≥(10 / 5)%</t>
  </si>
  <si>
    <t>Подтвержение обеспечения софинансирования из местного бюджета в доле ≥(10 / 5)%
(Да / Нет)</t>
  </si>
  <si>
    <t>Предложения по распределению по объектам</t>
  </si>
  <si>
    <t>Дата/Номер правоустанавливающего документа на автомобильную дорогу</t>
  </si>
  <si>
    <t>Дата проведения публичных обсуждений</t>
  </si>
  <si>
    <t>Капитальный ремонт моста через р.Колосья (2 этап)</t>
  </si>
  <si>
    <t>−</t>
  </si>
  <si>
    <t>негосударственная экспертиза проверки достоверности сметной стоимости №86-2-1-2-2058-22 от 29.09.2022</t>
  </si>
  <si>
    <t>5%/Да</t>
  </si>
  <si>
    <t>10.2024</t>
  </si>
  <si>
    <t>10.2023</t>
  </si>
  <si>
    <t>09.2023</t>
  </si>
  <si>
    <t xml:space="preserve">Ремонт асфальта по ул.Ленина (в рамках ремонтных работ по ликвидации колейности на центральных улицах по пути следования городских автобусных маршрутов -10,9 км.:
Парковая (1,6км), Ленина (3,1км), Нефтяников (1,9км), Строителей (0,4км), Космонавтов (1,4), 50 лет ВЛКСМ (0,4ем), Узбекистанская (2,1км)) 
</t>
  </si>
  <si>
    <t>08.2023</t>
  </si>
  <si>
    <t>Свидетельство о гос.регистрации права  дороги по ул.Ленина от 13.03.2012 №86-АБ 271806</t>
  </si>
  <si>
    <t>Свидетельство о гос.регистрации права  дороги Урай-Прмбаза от 21.12.2013 №86-АБ 679117</t>
  </si>
  <si>
    <t>1.</t>
  </si>
  <si>
    <t>2.</t>
  </si>
  <si>
    <r>
      <t>Информации о распределении дополнительной субсидии из бюджета автономного округа по объектам капитального ремонта и ремонта автомобильных дорог местного значения.
Муниципальное образование__</t>
    </r>
    <r>
      <rPr>
        <u/>
        <sz val="12"/>
        <rFont val="Times New Roman"/>
        <family val="1"/>
        <charset val="204"/>
      </rPr>
      <t>город Урай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</si>
</sst>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р_."/>
    <numFmt numFmtId="165" formatCode="_-* #,##0.000000000000000\ _р_._-;\-* #,##0.000000000000000\ _р_._-;_-* &quot;-&quot;??\ _р_._-;_-@_-"/>
  </numFmts>
  <fonts count="15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Protection="0"/>
    <xf numFmtId="43" fontId="8" fillId="0" borderId="0" applyFont="0" applyFill="0" applyBorder="0" applyProtection="0"/>
  </cellStyleXfs>
  <cellXfs count="9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3" fontId="4" fillId="3" borderId="9" xfId="2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4" fontId="2" fillId="0" borderId="9" xfId="2" applyNumberFormat="1" applyFont="1" applyBorder="1" applyAlignment="1">
      <alignment horizontal="center" vertical="center" wrapText="1"/>
    </xf>
    <xf numFmtId="4" fontId="6" fillId="0" borderId="6" xfId="2" applyNumberFormat="1" applyFont="1" applyBorder="1" applyAlignment="1">
      <alignment horizontal="center" vertical="center" wrapText="1"/>
    </xf>
    <xf numFmtId="4" fontId="6" fillId="0" borderId="9" xfId="2" applyNumberFormat="1" applyFont="1" applyBorder="1" applyAlignment="1">
      <alignment horizontal="center" vertical="center" wrapText="1"/>
    </xf>
    <xf numFmtId="9" fontId="2" fillId="0" borderId="9" xfId="1" applyNumberFormat="1" applyFont="1" applyBorder="1" applyAlignment="1">
      <alignment horizontal="center" vertical="center" wrapText="1"/>
    </xf>
    <xf numFmtId="9" fontId="6" fillId="0" borderId="6" xfId="1" applyNumberFormat="1" applyFont="1" applyBorder="1" applyAlignment="1">
      <alignment horizontal="center" vertical="center" wrapText="1"/>
    </xf>
    <xf numFmtId="9" fontId="6" fillId="0" borderId="9" xfId="1" applyNumberFormat="1" applyFont="1" applyBorder="1" applyAlignment="1">
      <alignment horizontal="center" vertical="center" wrapText="1"/>
    </xf>
    <xf numFmtId="4" fontId="5" fillId="4" borderId="9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9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0" fontId="9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/>
    <xf numFmtId="0" fontId="10" fillId="0" borderId="9" xfId="0" applyFont="1" applyBorder="1"/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A2" sqref="A2:O2"/>
    </sheetView>
  </sheetViews>
  <sheetFormatPr defaultRowHeight="14.3"/>
  <cols>
    <col min="1" max="1" width="6.125" customWidth="1"/>
    <col min="2" max="2" width="36.25" customWidth="1"/>
    <col min="3" max="3" width="10.125" customWidth="1"/>
    <col min="4" max="4" width="13.375" customWidth="1"/>
    <col min="5" max="5" width="17.25" customWidth="1"/>
    <col min="6" max="6" width="18.75" customWidth="1"/>
    <col min="7" max="7" width="22.125" customWidth="1"/>
    <col min="8" max="8" width="17.625" customWidth="1"/>
    <col min="9" max="9" width="22.125" customWidth="1"/>
    <col min="10" max="12" width="16.25" customWidth="1"/>
    <col min="13" max="13" width="17.75" customWidth="1"/>
    <col min="14" max="14" width="23.375" customWidth="1"/>
    <col min="15" max="15" width="18.625" customWidth="1"/>
  </cols>
  <sheetData>
    <row r="1" spans="1: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61.85" customHeigh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15" ht="32.299999999999997" customHeight="1">
      <c r="A3" s="65" t="s">
        <v>1</v>
      </c>
      <c r="B3" s="55" t="s">
        <v>49</v>
      </c>
      <c r="C3" s="55" t="s">
        <v>51</v>
      </c>
      <c r="D3" s="55" t="s">
        <v>4</v>
      </c>
      <c r="E3" s="55" t="s">
        <v>52</v>
      </c>
      <c r="F3" s="61" t="s">
        <v>55</v>
      </c>
      <c r="G3" s="62"/>
      <c r="H3" s="61" t="s">
        <v>59</v>
      </c>
      <c r="I3" s="62"/>
      <c r="J3" s="67" t="s">
        <v>63</v>
      </c>
      <c r="K3" s="68"/>
      <c r="L3" s="68"/>
      <c r="M3" s="55" t="s">
        <v>62</v>
      </c>
      <c r="N3" s="54" t="s">
        <v>64</v>
      </c>
      <c r="O3" s="54" t="s">
        <v>65</v>
      </c>
    </row>
    <row r="4" spans="1:15" ht="21.75" customHeight="1">
      <c r="A4" s="65"/>
      <c r="B4" s="55"/>
      <c r="C4" s="55"/>
      <c r="D4" s="55"/>
      <c r="E4" s="55"/>
      <c r="F4" s="63"/>
      <c r="G4" s="64"/>
      <c r="H4" s="63"/>
      <c r="I4" s="64"/>
      <c r="J4" s="69" t="s">
        <v>6</v>
      </c>
      <c r="K4" s="70"/>
      <c r="L4" s="71"/>
      <c r="M4" s="55"/>
      <c r="N4" s="55"/>
      <c r="O4" s="55"/>
    </row>
    <row r="5" spans="1:15" ht="14.95" customHeight="1">
      <c r="A5" s="65"/>
      <c r="B5" s="55"/>
      <c r="C5" s="55"/>
      <c r="D5" s="55"/>
      <c r="E5" s="55"/>
      <c r="F5" s="43" t="s">
        <v>56</v>
      </c>
      <c r="G5" s="43" t="s">
        <v>57</v>
      </c>
      <c r="H5" s="43" t="s">
        <v>56</v>
      </c>
      <c r="I5" s="43" t="s">
        <v>57</v>
      </c>
      <c r="J5" s="54" t="s">
        <v>7</v>
      </c>
      <c r="K5" s="1" t="s">
        <v>60</v>
      </c>
      <c r="L5" s="2" t="s">
        <v>61</v>
      </c>
      <c r="M5" s="55"/>
      <c r="N5" s="55"/>
      <c r="O5" s="55"/>
    </row>
    <row r="6" spans="1:15" ht="42.8">
      <c r="A6" s="66"/>
      <c r="B6" s="56"/>
      <c r="C6" s="56"/>
      <c r="D6" s="56"/>
      <c r="E6" s="56"/>
      <c r="F6" s="3" t="s">
        <v>53</v>
      </c>
      <c r="G6" s="3" t="s">
        <v>54</v>
      </c>
      <c r="H6" s="3" t="s">
        <v>53</v>
      </c>
      <c r="I6" s="3" t="s">
        <v>58</v>
      </c>
      <c r="J6" s="56"/>
      <c r="K6" s="4" t="s">
        <v>10</v>
      </c>
      <c r="L6" s="5" t="s">
        <v>11</v>
      </c>
      <c r="M6" s="56"/>
      <c r="N6" s="56"/>
      <c r="O6" s="56"/>
    </row>
    <row r="7" spans="1:15" s="42" customFormat="1">
      <c r="A7" s="40"/>
      <c r="B7" s="41" t="s">
        <v>50</v>
      </c>
      <c r="C7" s="40"/>
      <c r="D7" s="40"/>
      <c r="E7" s="40"/>
      <c r="F7" s="40"/>
      <c r="G7" s="6"/>
      <c r="H7" s="6"/>
      <c r="I7" s="40"/>
      <c r="J7" s="47">
        <f>SUM(K7:L7)</f>
        <v>46553.19</v>
      </c>
      <c r="K7" s="47">
        <v>44225.53</v>
      </c>
      <c r="L7" s="47">
        <v>2327.66</v>
      </c>
      <c r="M7" s="40"/>
      <c r="N7" s="40"/>
      <c r="O7" s="45"/>
    </row>
    <row r="8" spans="1:15" ht="142.65">
      <c r="A8" s="53" t="s">
        <v>77</v>
      </c>
      <c r="B8" s="52" t="s">
        <v>73</v>
      </c>
      <c r="C8" s="47">
        <v>1.2</v>
      </c>
      <c r="D8" s="48" t="s">
        <v>71</v>
      </c>
      <c r="E8" s="47">
        <v>21373.39</v>
      </c>
      <c r="F8" s="51" t="s">
        <v>67</v>
      </c>
      <c r="G8" s="48" t="s">
        <v>74</v>
      </c>
      <c r="H8" s="51" t="s">
        <v>67</v>
      </c>
      <c r="I8" s="48" t="s">
        <v>71</v>
      </c>
      <c r="J8" s="47">
        <f>SUM(K8:L8)</f>
        <v>21373.39</v>
      </c>
      <c r="K8" s="49">
        <f>SUM(K7-K9)</f>
        <v>20304.72</v>
      </c>
      <c r="L8" s="49">
        <f>SUM(L7-L9)</f>
        <v>1068.6699999999998</v>
      </c>
      <c r="M8" s="47" t="s">
        <v>69</v>
      </c>
      <c r="N8" s="43" t="s">
        <v>75</v>
      </c>
      <c r="O8" s="48" t="s">
        <v>72</v>
      </c>
    </row>
    <row r="9" spans="1:15" ht="114.15">
      <c r="A9" s="53" t="s">
        <v>78</v>
      </c>
      <c r="B9" s="46" t="s">
        <v>66</v>
      </c>
      <c r="C9" s="47">
        <v>4.2999999999999997E-2</v>
      </c>
      <c r="D9" s="48" t="s">
        <v>70</v>
      </c>
      <c r="E9" s="49">
        <v>25179.8</v>
      </c>
      <c r="F9" s="50">
        <v>45175</v>
      </c>
      <c r="G9" s="51" t="s">
        <v>67</v>
      </c>
      <c r="H9" s="43" t="s">
        <v>68</v>
      </c>
      <c r="I9" s="51" t="s">
        <v>67</v>
      </c>
      <c r="J9" s="47">
        <f>SUM(K9:L9)</f>
        <v>25179.8</v>
      </c>
      <c r="K9" s="49">
        <f>25179.8-L9</f>
        <v>23920.809999999998</v>
      </c>
      <c r="L9" s="49">
        <f>25179.8*5/100</f>
        <v>1258.99</v>
      </c>
      <c r="M9" s="47" t="s">
        <v>69</v>
      </c>
      <c r="N9" s="43" t="s">
        <v>76</v>
      </c>
      <c r="O9" s="48" t="s">
        <v>72</v>
      </c>
    </row>
    <row r="10" spans="1: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4"/>
    </row>
  </sheetData>
  <mergeCells count="15">
    <mergeCell ref="O3:O6"/>
    <mergeCell ref="A1:O1"/>
    <mergeCell ref="A2:O2"/>
    <mergeCell ref="N3:N6"/>
    <mergeCell ref="F3:G4"/>
    <mergeCell ref="H3:I4"/>
    <mergeCell ref="A3:A6"/>
    <mergeCell ref="B3:B6"/>
    <mergeCell ref="C3:C6"/>
    <mergeCell ref="D3:D6"/>
    <mergeCell ref="E3:E6"/>
    <mergeCell ref="J3:L3"/>
    <mergeCell ref="M3:M6"/>
    <mergeCell ref="J4:L4"/>
    <mergeCell ref="J5:J6"/>
  </mergeCells>
  <pageMargins left="0.70078740157480324" right="0.70078740157480324" top="0.75196850393700787" bottom="0.7519685039370078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="75" workbookViewId="0">
      <selection activeCell="A9" sqref="A9:Q16"/>
    </sheetView>
  </sheetViews>
  <sheetFormatPr defaultRowHeight="14.3"/>
  <cols>
    <col min="1" max="1" width="29.625" customWidth="1"/>
    <col min="2" max="2" width="12.375" customWidth="1"/>
    <col min="3" max="3" width="21.375" customWidth="1"/>
    <col min="4" max="4" width="17.875" customWidth="1"/>
    <col min="5" max="5" width="24.375" customWidth="1"/>
    <col min="6" max="6" width="19.875" customWidth="1"/>
    <col min="7" max="7" width="17.25" customWidth="1"/>
    <col min="8" max="8" width="19.625" customWidth="1"/>
    <col min="9" max="9" width="18.25" customWidth="1"/>
    <col min="10" max="10" width="22.75" customWidth="1"/>
    <col min="11" max="11" width="17" customWidth="1"/>
    <col min="12" max="12" width="17.25" customWidth="1"/>
    <col min="13" max="13" width="18.25" customWidth="1"/>
    <col min="14" max="14" width="17.375" customWidth="1"/>
    <col min="15" max="15" width="17" customWidth="1"/>
    <col min="16" max="16" width="20.625" customWidth="1"/>
    <col min="17" max="17" width="18.75" customWidth="1"/>
  </cols>
  <sheetData>
    <row r="1" spans="1:17" ht="18.35000000000000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"/>
      <c r="Q1" s="7"/>
    </row>
    <row r="2" spans="1:17" ht="18.350000000000001">
      <c r="A2" s="72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"/>
      <c r="Q2" s="7"/>
    </row>
    <row r="3" spans="1:17" ht="18.350000000000001">
      <c r="A3" s="72" t="s">
        <v>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"/>
      <c r="Q3" s="7"/>
    </row>
    <row r="4" spans="1:17" ht="18.35000000000000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"/>
      <c r="Q4" s="7"/>
    </row>
    <row r="5" spans="1:17" ht="18.350000000000001">
      <c r="A5" s="73" t="s">
        <v>2</v>
      </c>
      <c r="B5" s="73" t="s">
        <v>3</v>
      </c>
      <c r="C5" s="73" t="s">
        <v>4</v>
      </c>
      <c r="D5" s="73" t="s">
        <v>14</v>
      </c>
      <c r="E5" s="73" t="s">
        <v>5</v>
      </c>
      <c r="F5" s="73" t="s">
        <v>15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8.350000000000001">
      <c r="A6" s="73"/>
      <c r="B6" s="73"/>
      <c r="C6" s="73"/>
      <c r="D6" s="73"/>
      <c r="E6" s="73"/>
      <c r="F6" s="74" t="s">
        <v>16</v>
      </c>
      <c r="G6" s="75"/>
      <c r="H6" s="75"/>
      <c r="I6" s="76"/>
      <c r="J6" s="74" t="s">
        <v>17</v>
      </c>
      <c r="K6" s="75"/>
      <c r="L6" s="75"/>
      <c r="M6" s="76"/>
      <c r="N6" s="74" t="s">
        <v>18</v>
      </c>
      <c r="O6" s="75"/>
      <c r="P6" s="75"/>
      <c r="Q6" s="76"/>
    </row>
    <row r="7" spans="1:17" ht="19.05">
      <c r="A7" s="73"/>
      <c r="B7" s="73"/>
      <c r="C7" s="73"/>
      <c r="D7" s="73"/>
      <c r="E7" s="73"/>
      <c r="F7" s="77" t="s">
        <v>7</v>
      </c>
      <c r="G7" s="8" t="s">
        <v>8</v>
      </c>
      <c r="H7" s="79" t="s">
        <v>9</v>
      </c>
      <c r="I7" s="76"/>
      <c r="J7" s="80" t="s">
        <v>7</v>
      </c>
      <c r="K7" s="8" t="s">
        <v>8</v>
      </c>
      <c r="L7" s="79" t="s">
        <v>9</v>
      </c>
      <c r="M7" s="76"/>
      <c r="N7" s="80" t="s">
        <v>7</v>
      </c>
      <c r="O7" s="8" t="s">
        <v>8</v>
      </c>
      <c r="P7" s="79" t="s">
        <v>9</v>
      </c>
      <c r="Q7" s="76"/>
    </row>
    <row r="8" spans="1:17" ht="55.05">
      <c r="A8" s="73"/>
      <c r="B8" s="73"/>
      <c r="C8" s="73"/>
      <c r="D8" s="73"/>
      <c r="E8" s="73"/>
      <c r="F8" s="78"/>
      <c r="G8" s="9" t="s">
        <v>10</v>
      </c>
      <c r="H8" s="9" t="s">
        <v>11</v>
      </c>
      <c r="I8" s="9" t="s">
        <v>19</v>
      </c>
      <c r="J8" s="81"/>
      <c r="K8" s="9" t="s">
        <v>10</v>
      </c>
      <c r="L8" s="9" t="s">
        <v>11</v>
      </c>
      <c r="M8" s="9" t="s">
        <v>19</v>
      </c>
      <c r="N8" s="81"/>
      <c r="O8" s="9" t="s">
        <v>10</v>
      </c>
      <c r="P8" s="9" t="s">
        <v>11</v>
      </c>
      <c r="Q8" s="9" t="s">
        <v>19</v>
      </c>
    </row>
    <row r="9" spans="1:17" ht="18.350000000000001">
      <c r="A9" s="10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4.8" customHeight="1">
      <c r="A10" s="11" t="s">
        <v>21</v>
      </c>
      <c r="B10" s="12"/>
      <c r="C10" s="13"/>
      <c r="D10" s="13"/>
      <c r="E10" s="12"/>
      <c r="F10" s="13">
        <f t="shared" ref="F10:Q10" si="0">SUM(F11:F12)</f>
        <v>629012.12</v>
      </c>
      <c r="G10" s="13">
        <f t="shared" si="0"/>
        <v>314506.06</v>
      </c>
      <c r="H10" s="13">
        <f t="shared" si="0"/>
        <v>314506.06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ht="99.7" customHeight="1">
      <c r="A11" s="14" t="s">
        <v>22</v>
      </c>
      <c r="B11" s="15">
        <v>0.96699999999999997</v>
      </c>
      <c r="C11" s="16" t="s">
        <v>23</v>
      </c>
      <c r="D11" s="16">
        <v>411001.32</v>
      </c>
      <c r="E11" s="15" t="s">
        <v>24</v>
      </c>
      <c r="F11" s="16">
        <f t="shared" ref="F11:F12" si="1">G11+H11</f>
        <v>404401.32</v>
      </c>
      <c r="G11" s="16">
        <f>(D11-6600)*50/100</f>
        <v>202200.66</v>
      </c>
      <c r="H11" s="16">
        <f>(D11-6600)-G11</f>
        <v>202200.66</v>
      </c>
      <c r="I11" s="16">
        <v>0</v>
      </c>
      <c r="J11" s="16">
        <f t="shared" ref="J11:J12" si="2">K11+L11+M11</f>
        <v>0</v>
      </c>
      <c r="K11" s="16">
        <v>0</v>
      </c>
      <c r="L11" s="16">
        <v>0</v>
      </c>
      <c r="M11" s="16">
        <v>0</v>
      </c>
      <c r="N11" s="16">
        <f t="shared" ref="N11:N12" si="3">O11+P11+Q11</f>
        <v>0</v>
      </c>
      <c r="O11" s="16">
        <v>0</v>
      </c>
      <c r="P11" s="16">
        <v>0</v>
      </c>
      <c r="Q11" s="16">
        <v>0</v>
      </c>
    </row>
    <row r="12" spans="1:17" ht="75.75" customHeight="1">
      <c r="A12" s="14" t="s">
        <v>25</v>
      </c>
      <c r="B12" s="15">
        <v>0.60499999999999998</v>
      </c>
      <c r="C12" s="16" t="s">
        <v>26</v>
      </c>
      <c r="D12" s="16">
        <v>230610.8</v>
      </c>
      <c r="E12" s="15" t="s">
        <v>27</v>
      </c>
      <c r="F12" s="16">
        <f t="shared" si="1"/>
        <v>224610.8</v>
      </c>
      <c r="G12" s="16">
        <f>(D12-6000)*50/100</f>
        <v>112305.4</v>
      </c>
      <c r="H12" s="16">
        <f>(D12-6000)-G12</f>
        <v>112305.4</v>
      </c>
      <c r="I12" s="16">
        <v>0</v>
      </c>
      <c r="J12" s="16">
        <f t="shared" si="2"/>
        <v>0</v>
      </c>
      <c r="K12" s="16">
        <v>0</v>
      </c>
      <c r="L12" s="16">
        <v>0</v>
      </c>
      <c r="M12" s="16">
        <v>0</v>
      </c>
      <c r="N12" s="16">
        <f t="shared" si="3"/>
        <v>0</v>
      </c>
      <c r="O12" s="16">
        <v>0</v>
      </c>
      <c r="P12" s="16">
        <v>0</v>
      </c>
      <c r="Q12" s="16">
        <v>0</v>
      </c>
    </row>
    <row r="13" spans="1:17" ht="26.35" customHeight="1">
      <c r="A13" s="11" t="s">
        <v>28</v>
      </c>
      <c r="B13" s="12"/>
      <c r="C13" s="13"/>
      <c r="D13" s="13"/>
      <c r="E13" s="12"/>
      <c r="F13" s="13">
        <f t="shared" ref="F13:Q13" si="4">SUM(F14:F15)</f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481933.80800000002</v>
      </c>
      <c r="K13" s="13">
        <f t="shared" si="4"/>
        <v>240966.90400000001</v>
      </c>
      <c r="L13" s="13">
        <f t="shared" si="4"/>
        <v>240966.90400000001</v>
      </c>
      <c r="M13" s="13">
        <f t="shared" si="4"/>
        <v>0</v>
      </c>
      <c r="N13" s="13">
        <f t="shared" si="4"/>
        <v>266643.37999999995</v>
      </c>
      <c r="O13" s="13">
        <f t="shared" si="4"/>
        <v>133321.68999999997</v>
      </c>
      <c r="P13" s="13">
        <f t="shared" si="4"/>
        <v>133321.68999999997</v>
      </c>
      <c r="Q13" s="13">
        <f t="shared" si="4"/>
        <v>0</v>
      </c>
    </row>
    <row r="14" spans="1:17" ht="77.95" customHeight="1">
      <c r="A14" s="17" t="s">
        <v>29</v>
      </c>
      <c r="B14" s="15">
        <v>0.4975</v>
      </c>
      <c r="C14" s="16" t="s">
        <v>30</v>
      </c>
      <c r="D14" s="16">
        <v>268939.65999999997</v>
      </c>
      <c r="E14" s="15" t="s">
        <v>31</v>
      </c>
      <c r="F14" s="16">
        <f t="shared" ref="F14:F15" si="5">G14+H14</f>
        <v>0</v>
      </c>
      <c r="G14" s="16">
        <v>0</v>
      </c>
      <c r="H14" s="16">
        <v>0</v>
      </c>
      <c r="I14" s="16">
        <v>0</v>
      </c>
      <c r="J14" s="16">
        <f t="shared" ref="J14:J15" si="6">K14+L14+M14</f>
        <v>0</v>
      </c>
      <c r="K14" s="16">
        <v>0</v>
      </c>
      <c r="L14" s="16">
        <v>0</v>
      </c>
      <c r="M14" s="16">
        <v>0</v>
      </c>
      <c r="N14" s="16">
        <f t="shared" ref="N14:N15" si="7">O14+P14+Q14</f>
        <v>266643.37999999995</v>
      </c>
      <c r="O14" s="16">
        <f>(D14-2296.28)*50/100</f>
        <v>133321.68999999997</v>
      </c>
      <c r="P14" s="16">
        <f>(D14-2296.28)-O14</f>
        <v>133321.68999999997</v>
      </c>
      <c r="Q14" s="16">
        <v>0</v>
      </c>
    </row>
    <row r="15" spans="1:17" ht="84.1" customHeight="1">
      <c r="A15" s="14" t="s">
        <v>32</v>
      </c>
      <c r="B15" s="15">
        <v>1.1719999999999999</v>
      </c>
      <c r="C15" s="16" t="s">
        <v>33</v>
      </c>
      <c r="D15" s="16">
        <v>484264.63500000001</v>
      </c>
      <c r="E15" s="15" t="s">
        <v>34</v>
      </c>
      <c r="F15" s="16">
        <f t="shared" si="5"/>
        <v>0</v>
      </c>
      <c r="G15" s="16">
        <v>0</v>
      </c>
      <c r="H15" s="16">
        <v>0</v>
      </c>
      <c r="I15" s="16">
        <v>0</v>
      </c>
      <c r="J15" s="16">
        <f t="shared" si="6"/>
        <v>481933.80800000002</v>
      </c>
      <c r="K15" s="16">
        <f>(D15-2330.827)*50/100</f>
        <v>240966.90400000001</v>
      </c>
      <c r="L15" s="16">
        <f>(D15-2330.827)-K15</f>
        <v>240966.90400000001</v>
      </c>
      <c r="M15" s="16">
        <v>0</v>
      </c>
      <c r="N15" s="16">
        <f t="shared" si="7"/>
        <v>0</v>
      </c>
      <c r="O15" s="16">
        <v>0</v>
      </c>
      <c r="P15" s="16">
        <v>0</v>
      </c>
      <c r="Q15" s="16">
        <v>0</v>
      </c>
    </row>
    <row r="16" spans="1:17" ht="18.350000000000001">
      <c r="A16" s="82" t="s">
        <v>35</v>
      </c>
      <c r="B16" s="82"/>
      <c r="C16" s="82"/>
      <c r="D16" s="82"/>
      <c r="E16" s="82"/>
      <c r="F16" s="18">
        <f>SUM(F13+F10)</f>
        <v>629012.12</v>
      </c>
      <c r="G16" s="18">
        <f t="shared" ref="G16:Q16" si="8">SUM(G10+G13)</f>
        <v>314506.06</v>
      </c>
      <c r="H16" s="18">
        <f t="shared" si="8"/>
        <v>314506.06</v>
      </c>
      <c r="I16" s="18">
        <f t="shared" si="8"/>
        <v>0</v>
      </c>
      <c r="J16" s="18">
        <f t="shared" si="8"/>
        <v>481933.80800000002</v>
      </c>
      <c r="K16" s="18">
        <f t="shared" si="8"/>
        <v>240966.90400000001</v>
      </c>
      <c r="L16" s="18">
        <f t="shared" si="8"/>
        <v>240966.90400000001</v>
      </c>
      <c r="M16" s="18">
        <f t="shared" si="8"/>
        <v>0</v>
      </c>
      <c r="N16" s="18">
        <f t="shared" si="8"/>
        <v>266643.37999999995</v>
      </c>
      <c r="O16" s="18">
        <f t="shared" si="8"/>
        <v>133321.68999999997</v>
      </c>
      <c r="P16" s="18">
        <f t="shared" si="8"/>
        <v>133321.68999999997</v>
      </c>
      <c r="Q16" s="18">
        <f t="shared" si="8"/>
        <v>0</v>
      </c>
    </row>
  </sheetData>
  <mergeCells count="20">
    <mergeCell ref="L7:M7"/>
    <mergeCell ref="N7:N8"/>
    <mergeCell ref="P7:Q7"/>
    <mergeCell ref="A16:E16"/>
    <mergeCell ref="A1:O1"/>
    <mergeCell ref="A2:O2"/>
    <mergeCell ref="A3:O3"/>
    <mergeCell ref="A4:O4"/>
    <mergeCell ref="A5:A8"/>
    <mergeCell ref="B5:B8"/>
    <mergeCell ref="C5:C8"/>
    <mergeCell ref="D5:D8"/>
    <mergeCell ref="E5:E8"/>
    <mergeCell ref="F5:Q5"/>
    <mergeCell ref="F6:I6"/>
    <mergeCell ref="J6:M6"/>
    <mergeCell ref="N6:Q6"/>
    <mergeCell ref="F7:F8"/>
    <mergeCell ref="H7:I7"/>
    <mergeCell ref="J7:J8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="75" workbookViewId="0">
      <selection activeCell="A9" sqref="A9:Q16"/>
    </sheetView>
  </sheetViews>
  <sheetFormatPr defaultRowHeight="14.3"/>
  <cols>
    <col min="1" max="1" width="34.25" customWidth="1"/>
    <col min="2" max="2" width="15.25" customWidth="1"/>
    <col min="3" max="3" width="16.625" customWidth="1"/>
    <col min="4" max="4" width="19.25" customWidth="1"/>
    <col min="5" max="5" width="28" customWidth="1"/>
    <col min="6" max="6" width="18.875" customWidth="1"/>
    <col min="7" max="7" width="15.625" customWidth="1"/>
    <col min="8" max="8" width="15.75" customWidth="1"/>
    <col min="9" max="10" width="16.75" customWidth="1"/>
    <col min="11" max="11" width="17.875" customWidth="1"/>
    <col min="12" max="12" width="15.125" customWidth="1"/>
    <col min="13" max="13" width="16.75" customWidth="1"/>
    <col min="14" max="14" width="17.75" customWidth="1"/>
    <col min="15" max="15" width="14.75" customWidth="1"/>
    <col min="16" max="16" width="14.25" customWidth="1"/>
    <col min="17" max="17" width="17.125" customWidth="1"/>
  </cols>
  <sheetData>
    <row r="1" spans="1:17" ht="18.350000000000001">
      <c r="A1" s="93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"/>
      <c r="Q1" s="7"/>
    </row>
    <row r="2" spans="1:17" ht="18.350000000000001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"/>
      <c r="Q2" s="7"/>
    </row>
    <row r="3" spans="1:17" ht="18.35000000000000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"/>
      <c r="Q3" s="7"/>
    </row>
    <row r="4" spans="1:17" ht="34.5" customHeight="1">
      <c r="A4" s="73" t="s">
        <v>2</v>
      </c>
      <c r="B4" s="73" t="s">
        <v>3</v>
      </c>
      <c r="C4" s="73" t="s">
        <v>4</v>
      </c>
      <c r="D4" s="73" t="s">
        <v>14</v>
      </c>
      <c r="E4" s="73" t="s">
        <v>5</v>
      </c>
      <c r="F4" s="73" t="s">
        <v>15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8.350000000000001">
      <c r="A5" s="73"/>
      <c r="B5" s="73"/>
      <c r="C5" s="73"/>
      <c r="D5" s="73"/>
      <c r="E5" s="73"/>
      <c r="F5" s="74" t="s">
        <v>37</v>
      </c>
      <c r="G5" s="75"/>
      <c r="H5" s="75"/>
      <c r="I5" s="76"/>
      <c r="J5" s="74" t="s">
        <v>38</v>
      </c>
      <c r="K5" s="75"/>
      <c r="L5" s="75"/>
      <c r="M5" s="76"/>
      <c r="N5" s="74" t="s">
        <v>39</v>
      </c>
      <c r="O5" s="75"/>
      <c r="P5" s="75"/>
      <c r="Q5" s="76"/>
    </row>
    <row r="6" spans="1:17" ht="19.05">
      <c r="A6" s="73"/>
      <c r="B6" s="73"/>
      <c r="C6" s="73"/>
      <c r="D6" s="73"/>
      <c r="E6" s="73"/>
      <c r="F6" s="77" t="s">
        <v>7</v>
      </c>
      <c r="G6" s="8" t="s">
        <v>8</v>
      </c>
      <c r="H6" s="79" t="s">
        <v>9</v>
      </c>
      <c r="I6" s="76"/>
      <c r="J6" s="80" t="s">
        <v>7</v>
      </c>
      <c r="K6" s="8" t="s">
        <v>8</v>
      </c>
      <c r="L6" s="79" t="s">
        <v>9</v>
      </c>
      <c r="M6" s="76"/>
      <c r="N6" s="80" t="s">
        <v>7</v>
      </c>
      <c r="O6" s="8" t="s">
        <v>8</v>
      </c>
      <c r="P6" s="79" t="s">
        <v>9</v>
      </c>
      <c r="Q6" s="76"/>
    </row>
    <row r="7" spans="1:17" ht="55.05">
      <c r="A7" s="73"/>
      <c r="B7" s="73"/>
      <c r="C7" s="73"/>
      <c r="D7" s="73"/>
      <c r="E7" s="73"/>
      <c r="F7" s="78"/>
      <c r="G7" s="9" t="s">
        <v>10</v>
      </c>
      <c r="H7" s="9" t="s">
        <v>11</v>
      </c>
      <c r="I7" s="9" t="s">
        <v>19</v>
      </c>
      <c r="J7" s="81"/>
      <c r="K7" s="9" t="s">
        <v>10</v>
      </c>
      <c r="L7" s="9" t="s">
        <v>11</v>
      </c>
      <c r="M7" s="9" t="s">
        <v>19</v>
      </c>
      <c r="N7" s="81"/>
      <c r="O7" s="9" t="s">
        <v>10</v>
      </c>
      <c r="P7" s="9" t="s">
        <v>11</v>
      </c>
      <c r="Q7" s="9" t="s">
        <v>19</v>
      </c>
    </row>
    <row r="8" spans="1:17" ht="15.6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20">
        <v>6</v>
      </c>
      <c r="G8" s="21">
        <v>7</v>
      </c>
      <c r="H8" s="21">
        <v>8</v>
      </c>
      <c r="I8" s="21">
        <v>9</v>
      </c>
      <c r="J8" s="22">
        <v>10</v>
      </c>
      <c r="K8" s="21">
        <v>11</v>
      </c>
      <c r="L8" s="21">
        <v>12</v>
      </c>
      <c r="M8" s="21">
        <v>13</v>
      </c>
      <c r="N8" s="22">
        <v>14</v>
      </c>
      <c r="O8" s="21">
        <v>15</v>
      </c>
      <c r="P8" s="21">
        <v>16</v>
      </c>
      <c r="Q8" s="21">
        <v>17</v>
      </c>
    </row>
    <row r="9" spans="1:17" ht="18.350000000000001">
      <c r="A9" s="23" t="s">
        <v>20</v>
      </c>
      <c r="B9" s="23">
        <f>B10+B13</f>
        <v>1.05067</v>
      </c>
      <c r="C9" s="23" t="s">
        <v>40</v>
      </c>
      <c r="D9" s="24" t="s">
        <v>40</v>
      </c>
      <c r="E9" s="25" t="s">
        <v>40</v>
      </c>
      <c r="F9" s="26">
        <f>F10+F13</f>
        <v>241830.54000000004</v>
      </c>
      <c r="G9" s="26">
        <f t="shared" ref="G9:Q9" si="0">G10+G13</f>
        <v>120915.27499999999</v>
      </c>
      <c r="H9" s="26">
        <f t="shared" si="0"/>
        <v>32470.400408178142</v>
      </c>
      <c r="I9" s="26">
        <f t="shared" si="0"/>
        <v>88444.864591821854</v>
      </c>
      <c r="J9" s="26">
        <f t="shared" si="0"/>
        <v>312827.44153616281</v>
      </c>
      <c r="K9" s="26">
        <f t="shared" si="0"/>
        <v>156413.72</v>
      </c>
      <c r="L9" s="26">
        <f t="shared" si="0"/>
        <v>20449.759999999998</v>
      </c>
      <c r="M9" s="26">
        <f t="shared" si="0"/>
        <v>135963.96153616279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</row>
    <row r="10" spans="1:17" ht="31.6" customHeight="1">
      <c r="A10" s="27" t="s">
        <v>21</v>
      </c>
      <c r="B10" s="28">
        <f>B11</f>
        <v>0.86304999999999998</v>
      </c>
      <c r="C10" s="29" t="s">
        <v>40</v>
      </c>
      <c r="D10" s="29" t="s">
        <v>40</v>
      </c>
      <c r="E10" s="28" t="s">
        <v>40</v>
      </c>
      <c r="F10" s="30">
        <f>F11</f>
        <v>90972.83</v>
      </c>
      <c r="G10" s="30">
        <f t="shared" ref="G10:Q10" si="1">G11</f>
        <v>45486.415000000001</v>
      </c>
      <c r="H10" s="30">
        <f t="shared" si="1"/>
        <v>5946.9604081781436</v>
      </c>
      <c r="I10" s="30">
        <f t="shared" si="1"/>
        <v>39539.454591821857</v>
      </c>
      <c r="J10" s="30">
        <f t="shared" si="1"/>
        <v>312827.44153616281</v>
      </c>
      <c r="K10" s="30">
        <f t="shared" si="1"/>
        <v>156413.72</v>
      </c>
      <c r="L10" s="30">
        <f t="shared" si="1"/>
        <v>20449.759999999998</v>
      </c>
      <c r="M10" s="30">
        <f t="shared" si="1"/>
        <v>135963.96153616279</v>
      </c>
      <c r="N10" s="30">
        <f t="shared" si="1"/>
        <v>0</v>
      </c>
      <c r="O10" s="30">
        <f t="shared" si="1"/>
        <v>0</v>
      </c>
      <c r="P10" s="30">
        <f t="shared" si="1"/>
        <v>0</v>
      </c>
      <c r="Q10" s="30">
        <f t="shared" si="1"/>
        <v>0</v>
      </c>
    </row>
    <row r="11" spans="1:17" ht="31.6" customHeight="1">
      <c r="A11" s="85" t="s">
        <v>41</v>
      </c>
      <c r="B11" s="85">
        <v>0.86304999999999998</v>
      </c>
      <c r="C11" s="80" t="s">
        <v>42</v>
      </c>
      <c r="D11" s="89">
        <f>(95672332.76-4699500+312827441.11)/1000</f>
        <v>403800.27387000003</v>
      </c>
      <c r="E11" s="85" t="s">
        <v>43</v>
      </c>
      <c r="F11" s="31">
        <f>G11+H11+I11</f>
        <v>90972.83</v>
      </c>
      <c r="G11" s="32">
        <f>(95672.33-4699.5)*50%</f>
        <v>45486.415000000001</v>
      </c>
      <c r="H11" s="33">
        <f>(95672.33-4699.5)-G11-I11</f>
        <v>5946.9604081781436</v>
      </c>
      <c r="I11" s="33">
        <f>(95672.33-4699.5)*43.4629268890743%</f>
        <v>39539.454591821857</v>
      </c>
      <c r="J11" s="31">
        <f>SUM(K11:M11)</f>
        <v>312827.44153616281</v>
      </c>
      <c r="K11" s="32">
        <v>156413.72</v>
      </c>
      <c r="L11" s="33">
        <v>20449.759999999998</v>
      </c>
      <c r="M11" s="33">
        <f>312827.44*43.4629268890743%</f>
        <v>135963.96153616279</v>
      </c>
      <c r="N11" s="33">
        <f>SUM(O11:Q11)</f>
        <v>0</v>
      </c>
      <c r="O11" s="33">
        <v>0</v>
      </c>
      <c r="P11" s="33">
        <v>0</v>
      </c>
      <c r="Q11" s="33">
        <v>0</v>
      </c>
    </row>
    <row r="12" spans="1:17" ht="67.599999999999994" customHeight="1">
      <c r="A12" s="86"/>
      <c r="B12" s="86"/>
      <c r="C12" s="81"/>
      <c r="D12" s="90"/>
      <c r="E12" s="86"/>
      <c r="F12" s="34">
        <v>1</v>
      </c>
      <c r="G12" s="35">
        <f>G11/F11</f>
        <v>0.5</v>
      </c>
      <c r="H12" s="36">
        <f>H11/F11</f>
        <v>6.5370731109256938E-2</v>
      </c>
      <c r="I12" s="36">
        <f>I11/F11</f>
        <v>0.43462926889074305</v>
      </c>
      <c r="J12" s="34">
        <v>1</v>
      </c>
      <c r="K12" s="35">
        <f>K11/J11</f>
        <v>0.49999999754471219</v>
      </c>
      <c r="L12" s="36">
        <f>L11/J11</f>
        <v>6.5370735698824581E-2</v>
      </c>
      <c r="M12" s="36">
        <f>M11/J11</f>
        <v>0.43462926675646318</v>
      </c>
      <c r="N12" s="36">
        <v>0</v>
      </c>
      <c r="O12" s="36">
        <v>0</v>
      </c>
      <c r="P12" s="36">
        <v>0</v>
      </c>
      <c r="Q12" s="36">
        <v>0</v>
      </c>
    </row>
    <row r="13" spans="1:17" ht="18.350000000000001">
      <c r="A13" s="27" t="s">
        <v>44</v>
      </c>
      <c r="B13" s="28">
        <f>B14</f>
        <v>0.18762000000000001</v>
      </c>
      <c r="C13" s="29" t="s">
        <v>40</v>
      </c>
      <c r="D13" s="29" t="s">
        <v>40</v>
      </c>
      <c r="E13" s="28" t="s">
        <v>40</v>
      </c>
      <c r="F13" s="37">
        <f>F14</f>
        <v>150857.71000000002</v>
      </c>
      <c r="G13" s="37">
        <f t="shared" ref="G13:Q13" si="2">G14</f>
        <v>75428.86</v>
      </c>
      <c r="H13" s="37">
        <f t="shared" si="2"/>
        <v>26523.439999999999</v>
      </c>
      <c r="I13" s="37">
        <f t="shared" si="2"/>
        <v>48905.41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 t="shared" si="2"/>
        <v>0</v>
      </c>
      <c r="N13" s="37">
        <f t="shared" si="2"/>
        <v>0</v>
      </c>
      <c r="O13" s="37">
        <f t="shared" si="2"/>
        <v>0</v>
      </c>
      <c r="P13" s="37">
        <f t="shared" si="2"/>
        <v>0</v>
      </c>
      <c r="Q13" s="37">
        <f t="shared" si="2"/>
        <v>0</v>
      </c>
    </row>
    <row r="14" spans="1:17" ht="18.350000000000001">
      <c r="A14" s="85" t="s">
        <v>45</v>
      </c>
      <c r="B14" s="85">
        <v>0.18762000000000001</v>
      </c>
      <c r="C14" s="87" t="s">
        <v>46</v>
      </c>
      <c r="D14" s="89">
        <f>150857710/1000</f>
        <v>150857.71</v>
      </c>
      <c r="E14" s="91" t="s">
        <v>47</v>
      </c>
      <c r="F14" s="33">
        <f>G14+H14+I14</f>
        <v>150857.71000000002</v>
      </c>
      <c r="G14" s="33">
        <v>75428.86</v>
      </c>
      <c r="H14" s="33">
        <v>26523.439999999999</v>
      </c>
      <c r="I14" s="33">
        <v>48905.41</v>
      </c>
      <c r="J14" s="33">
        <f>SUM(K14:M14)</f>
        <v>0</v>
      </c>
      <c r="K14" s="33">
        <v>0</v>
      </c>
      <c r="L14" s="33">
        <v>0</v>
      </c>
      <c r="M14" s="33">
        <v>0</v>
      </c>
      <c r="N14" s="33">
        <f>SUM(O14:Q14)</f>
        <v>0</v>
      </c>
      <c r="O14" s="33">
        <v>0</v>
      </c>
      <c r="P14" s="33">
        <v>0</v>
      </c>
      <c r="Q14" s="33">
        <v>0</v>
      </c>
    </row>
    <row r="15" spans="1:17" ht="164.25" customHeight="1">
      <c r="A15" s="86"/>
      <c r="B15" s="86"/>
      <c r="C15" s="88"/>
      <c r="D15" s="90"/>
      <c r="E15" s="92"/>
      <c r="F15" s="36">
        <v>1</v>
      </c>
      <c r="G15" s="36">
        <f>G14/F14</f>
        <v>0.50000003314381469</v>
      </c>
      <c r="H15" s="36">
        <f>H14/F14</f>
        <v>0.17581759659483095</v>
      </c>
      <c r="I15" s="36">
        <f>I14/F14</f>
        <v>0.32418237026135421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18.350000000000001">
      <c r="A16" s="83" t="s">
        <v>35</v>
      </c>
      <c r="B16" s="83"/>
      <c r="C16" s="83"/>
      <c r="D16" s="83"/>
      <c r="E16" s="83"/>
      <c r="F16" s="26">
        <f>F13+F10</f>
        <v>241830.54000000004</v>
      </c>
      <c r="G16" s="26">
        <f t="shared" ref="G16:Q16" si="3">G13+G10</f>
        <v>120915.27499999999</v>
      </c>
      <c r="H16" s="26">
        <f t="shared" si="3"/>
        <v>32470.400408178142</v>
      </c>
      <c r="I16" s="26">
        <f t="shared" si="3"/>
        <v>88444.864591821854</v>
      </c>
      <c r="J16" s="26">
        <f t="shared" si="3"/>
        <v>312827.44153616281</v>
      </c>
      <c r="K16" s="26">
        <f t="shared" si="3"/>
        <v>156413.72</v>
      </c>
      <c r="L16" s="26">
        <f t="shared" si="3"/>
        <v>20449.759999999998</v>
      </c>
      <c r="M16" s="26">
        <f t="shared" si="3"/>
        <v>135963.96153616279</v>
      </c>
      <c r="N16" s="26">
        <f t="shared" si="3"/>
        <v>0</v>
      </c>
      <c r="O16" s="26">
        <f t="shared" si="3"/>
        <v>0</v>
      </c>
      <c r="P16" s="26">
        <f t="shared" si="3"/>
        <v>0</v>
      </c>
      <c r="Q16" s="26">
        <f t="shared" si="3"/>
        <v>0</v>
      </c>
    </row>
    <row r="17" spans="1:17" ht="18.350000000000001">
      <c r="A17" s="38"/>
      <c r="B17" s="38"/>
      <c r="C17" s="39"/>
      <c r="D17" s="39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8.350000000000001">
      <c r="A18" s="84" t="s">
        <v>48</v>
      </c>
      <c r="B18" s="84"/>
      <c r="C18" s="84"/>
      <c r="D18" s="84"/>
      <c r="E18" s="84"/>
      <c r="F18" s="84"/>
      <c r="G18" s="84"/>
      <c r="H18" s="39"/>
      <c r="I18" s="39"/>
      <c r="J18" s="39"/>
      <c r="K18" s="39"/>
      <c r="L18" s="39"/>
      <c r="M18" s="39"/>
      <c r="N18" s="39"/>
      <c r="O18" s="39"/>
      <c r="P18" s="39"/>
      <c r="Q18" s="39"/>
    </row>
  </sheetData>
  <mergeCells count="30">
    <mergeCell ref="A1:O1"/>
    <mergeCell ref="A2:O2"/>
    <mergeCell ref="A3:O3"/>
    <mergeCell ref="A4:A7"/>
    <mergeCell ref="B4:B7"/>
    <mergeCell ref="C4:C7"/>
    <mergeCell ref="D4:D7"/>
    <mergeCell ref="E4:E7"/>
    <mergeCell ref="F4:Q4"/>
    <mergeCell ref="F5:I5"/>
    <mergeCell ref="J5:M5"/>
    <mergeCell ref="N5:Q5"/>
    <mergeCell ref="F6:F7"/>
    <mergeCell ref="H6:I6"/>
    <mergeCell ref="J6:J7"/>
    <mergeCell ref="L6:M6"/>
    <mergeCell ref="N6:N7"/>
    <mergeCell ref="P6:Q6"/>
    <mergeCell ref="A11:A12"/>
    <mergeCell ref="B11:B12"/>
    <mergeCell ref="C11:C12"/>
    <mergeCell ref="D11:D12"/>
    <mergeCell ref="E11:E12"/>
    <mergeCell ref="A16:E16"/>
    <mergeCell ref="A18:G18"/>
    <mergeCell ref="A14:A15"/>
    <mergeCell ref="B14:B15"/>
    <mergeCell ref="C14:C15"/>
    <mergeCell ref="D14:D15"/>
    <mergeCell ref="E14:E1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Нефтеюганск</vt:lpstr>
      <vt:lpstr>г. Когалым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Попович</cp:lastModifiedBy>
  <cp:revision>3</cp:revision>
  <dcterms:created xsi:type="dcterms:W3CDTF">2021-06-15T12:43:43Z</dcterms:created>
  <dcterms:modified xsi:type="dcterms:W3CDTF">2023-08-30T07:14:06Z</dcterms:modified>
</cp:coreProperties>
</file>