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ПРОСТОИ 2017" sheetId="1" r:id="rId1"/>
    <sheet name="дороги 2017" sheetId="2" r:id="rId2"/>
    <sheet name="развитие ЖКК" sheetId="3" r:id="rId3"/>
    <sheet name="Лист1" sheetId="4" r:id="rId4"/>
  </sheets>
  <definedNames>
    <definedName name="_xlnm.Print_Area" localSheetId="1">'дороги 2017'!$A$1:$AP$72</definedName>
    <definedName name="_xlnm.Print_Area" localSheetId="2">'развитие ЖКК'!$A$1:$BN$108</definedName>
  </definedNames>
  <calcPr fullCalcOnLoad="1"/>
</workbook>
</file>

<file path=xl/comments3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<sst xmlns="http://schemas.openxmlformats.org/spreadsheetml/2006/main" count="525" uniqueCount="180">
  <si>
    <t>Наименование</t>
  </si>
  <si>
    <t>Коды бюджетной</t>
  </si>
  <si>
    <t>***</t>
  </si>
  <si>
    <t>МКУ "Управление  ЖКХ"</t>
  </si>
  <si>
    <t>Февраль</t>
  </si>
  <si>
    <t>Январь</t>
  </si>
  <si>
    <t>план</t>
  </si>
  <si>
    <t>касса</t>
  </si>
  <si>
    <t>Март</t>
  </si>
  <si>
    <t>в    т.р.</t>
  </si>
  <si>
    <t>т. р.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</si>
  <si>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</si>
  <si>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</si>
  <si>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</si>
  <si>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</si>
  <si>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</si>
  <si>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</si>
  <si>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</si>
  <si>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</si>
  <si>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</si>
  <si>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2014 год</t>
  </si>
  <si>
    <t>Октябрь</t>
  </si>
  <si>
    <t>Ноябрь</t>
  </si>
  <si>
    <t>Декабрь</t>
  </si>
  <si>
    <t>СОГЛАСОВАНО:</t>
  </si>
  <si>
    <t>УТВЕРЖДАЮ:</t>
  </si>
  <si>
    <t>Начальник МКУ "Управление ЖКХ г.Урай"</t>
  </si>
  <si>
    <t>местный бюджет</t>
  </si>
  <si>
    <t>окружной бюджет</t>
  </si>
  <si>
    <r>
      <t xml:space="preserve"> - реконструкция канализационных очистных сооружений в г.Урай </t>
    </r>
    <r>
      <rPr>
        <b/>
        <sz val="10"/>
        <rFont val="Arial Cyr"/>
        <family val="0"/>
      </rPr>
      <t xml:space="preserve">(УКС) 16 157,0 т.р.         </t>
    </r>
  </si>
  <si>
    <t xml:space="preserve">окружной бюджет </t>
  </si>
  <si>
    <t>касса исполнение</t>
  </si>
  <si>
    <t>Всего</t>
  </si>
  <si>
    <t>Касса на отчетную дату</t>
  </si>
  <si>
    <t>__________________О.А.Лаушкин</t>
  </si>
  <si>
    <t>Заместитель главы  города Урай</t>
  </si>
  <si>
    <t>______________________И.А.Козлов</t>
  </si>
  <si>
    <t>__________________О.А. Лаушкин</t>
  </si>
  <si>
    <t>______________________И.А. Козлов</t>
  </si>
  <si>
    <t>1.</t>
  </si>
  <si>
    <t xml:space="preserve"> - ремонт дорог </t>
  </si>
  <si>
    <t xml:space="preserve">Программа «Развитие транспортной системы города Урай» на 2016-2020 годы </t>
  </si>
  <si>
    <t xml:space="preserve"> - ремонт квартир детям сиротам</t>
  </si>
  <si>
    <t>2017 год (проверка)</t>
  </si>
  <si>
    <t>План на 2017 г.</t>
  </si>
  <si>
    <t>Комплексный план (сетевой график) реализации финансовых средств муниципальных программ на 2017 год</t>
  </si>
  <si>
    <t xml:space="preserve">2017 год </t>
  </si>
  <si>
    <t xml:space="preserve">касса </t>
  </si>
  <si>
    <t>МКУ УЖКХ</t>
  </si>
  <si>
    <t>Источники финансирования</t>
  </si>
  <si>
    <t>План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</si>
  <si>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</si>
  <si>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</si>
  <si>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</si>
  <si>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</si>
  <si>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</si>
  <si>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</si>
  <si>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</si>
  <si>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>МКУ УКС</t>
  </si>
  <si>
    <t xml:space="preserve">Ответственный исполнитель </t>
  </si>
  <si>
    <t>№</t>
  </si>
  <si>
    <t xml:space="preserve"> - выполнение работ по вертикальной разметке</t>
  </si>
  <si>
    <t xml:space="preserve">Работы запланированы на третий квартал 2017 года  </t>
  </si>
  <si>
    <t xml:space="preserve">   Заключены 15 муниципальных контрактов.</t>
  </si>
  <si>
    <t>Без обеспечения финансирования</t>
  </si>
  <si>
    <t xml:space="preserve"> - </t>
  </si>
  <si>
    <t>Целевой показатель,         №</t>
  </si>
  <si>
    <t xml:space="preserve">Муниципальная программа "Совершенствование и развитие муниципального управления города Урай на 2018-2030 годы"  </t>
  </si>
  <si>
    <t xml:space="preserve"> -оплата жилищно-коммунальных услуг в период простоя</t>
  </si>
  <si>
    <t xml:space="preserve"> - субсидия по обращению с ТКО</t>
  </si>
  <si>
    <t>План на 2018 г.</t>
  </si>
  <si>
    <t>1.1.</t>
  </si>
  <si>
    <t xml:space="preserve">                           о ходе исполнения комплексного плана (сетевого графика) реализации </t>
  </si>
  <si>
    <t>всего:</t>
  </si>
  <si>
    <t>бюджет ХМАО-Югры</t>
  </si>
  <si>
    <t>Бюджет городского округа г.Урай</t>
  </si>
  <si>
    <t>1.1.1.10</t>
  </si>
  <si>
    <t>10.Проведение капитального ремонта многоквартирных домов и оплата взносов на капитальный ремонт за муниципальное имущество в многоквартирных домах</t>
  </si>
  <si>
    <t>Отчет о ходе исполнения комплексного плана (сетевого графика) реализации  муниципальной программы за февраль 2018 год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</si>
  <si>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</si>
  <si>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</si>
  <si>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</si>
  <si>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</si>
  <si>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</si>
  <si>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</si>
  <si>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</si>
  <si>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</si>
  <si>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</si>
  <si>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</si>
  <si>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</si>
  <si>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</si>
  <si>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</si>
  <si>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</si>
  <si>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</si>
  <si>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</si>
  <si>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</si>
  <si>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</si>
  <si>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</si>
  <si>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</si>
  <si>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</si>
  <si>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</si>
  <si>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</si>
  <si>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</si>
  <si>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</si>
  <si>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</si>
  <si>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</si>
  <si>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</si>
  <si>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</si>
  <si>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</si>
  <si>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</si>
  <si>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</si>
  <si>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</si>
  <si>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</si>
  <si>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</si>
  <si>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</si>
  <si>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</si>
  <si>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</si>
  <si>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</si>
  <si>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</si>
  <si>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</si>
  <si>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 xml:space="preserve">Организация отлова, транспортировки, учета, содержания, умерщвления, утилизации безнадзорных и бродячих животных  (5)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</si>
  <si>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</si>
  <si>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</si>
  <si>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</si>
  <si>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захоронения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</si>
  <si>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</si>
  <si>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</si>
  <si>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Инвестиции в объекты муниципальной собственности</t>
  </si>
  <si>
    <t>Прочие расходы</t>
  </si>
  <si>
    <t>Согласовано:</t>
  </si>
  <si>
    <t>Комитет по финансам администрации города Урай</t>
  </si>
  <si>
    <t>Председатель Комитета по финансам</t>
  </si>
  <si>
    <t>1.12.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</si>
  <si>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</si>
  <si>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</si>
  <si>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</si>
  <si>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«УКС г.Урай»)</t>
  </si>
  <si>
    <t>Поставка опор дорожных знаков на 2367,8 тыс.руб.</t>
  </si>
  <si>
    <t>Организация ремонта муниципального  жилищного фонда -2214,3 тыс.руб. в т.ч произведен ремонт жилых помещений по адресу:г.Урай,мкр.2А,д.41/2,кв.26,мкр. 1Г, д.13Г,кв.20, мкр.2А, д.45/2, кв.35, мкр.2А, д.45/2, кв.21, мкр.2А, д.45/2, кв. 44, мкр. 2А, д.40/2, кв.81, мкр. 2А, д.24, кв.9, мкр.1А,д.25,кв.411, мкр. 1А,д.25,кв.307- 90,9 тыс.руб.  мкр. 2 дом 89, кв. 32; мкр.1А, дом 18, кв.1; мкр.1Г, дом 51, кв.14; мкр. 1Г, дом 52, кв.10; мкр.1Г, дом 54, кв.1; мкр. 1Д, дом 39, кв.16; мкр. 1Д, дом 53, кв.2; ул. Сибирская, дом 4, ком. 5. - 717,3 тыс.руб., мкр. 2А-45/2 кв.29-134,4 тыс.руб., мкр.2А-45/2 кв.1, кв.2- 266,6 тыс.руб., мкр. 2А-45/2 кв.№№1,2,4, 11, 27,29- 198,8 тыс.руб., мкр. 2А-45/2 кв.№№4, 11, 27-286,8 тыс.руб., мкр. 2А-45/2 кв. 7, мкр. 2А-40/3,кв.154, мкр. 2А-40/4 кв. 215, мкр. Западный-7 кв.144, мкр.1А-71 кв.7, мкр.1-5 кв.7, мкр.2-89 кв.32, мкр.2-53 кв.31, мкр.1А-70 кв.9, мкр.1А-25 кв.207,ул. Сибирская -4 , кв.3,5-12,14-16,21-119,1 тыс.руб.,мкр.1-5,кв.49-15,6 тыс.руб.;  ул. Урусова д. 5 кв. 44 (а, б);  мкр. 2 д 43 кв. 71;  мкр. 2 д. 77 кв. 31;  мкр. 2 д. 90 кв. 63;  мкр. 2а д. 13 кв. 2; мкр. 2А д. 13 кв. 9; мкр. 2А д. 23 кв. 6; мкр.3 д. 22 кв. 54; мкр.3 д. 25 кв. 85;  мкр. 1А д. 70 кв. 24;  мкр. 1А  д 25 кв. 410;  мкр. Аэропорт д. 30 кв. 34; мкр. 1Гд. 8Г кв. 21;  мкр.1Д д. 30А кв. 1;  мкр. 1Д д. 35 кв. 24; мкр. Западный д. 13 кв. 73; мкр. Лесной д. 113 кв. 16; мкр. 2А д. 45/2 кв. 26; ул. Сибирская д. 4; мкр. 2А, д. 40/3 кв. 141- 384,8 тыс.руб.</t>
  </si>
  <si>
    <t>Ремонт жилых помещений по адресу:г.Урай,мкр.2,д.31,кв.27- 419,2 тыс.руб.</t>
  </si>
  <si>
    <t>Поставка мусорных контейнеров 29 шт.  - 529,0 тыс.руб.</t>
  </si>
  <si>
    <t xml:space="preserve"> Выполнение работ по устройству пандуса закрыто по фактическому объему выполненных  работ. </t>
  </si>
  <si>
    <t>Исполнение, %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</si>
  <si>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</si>
  <si>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Ответственный исполнитель/сосполнитель </t>
  </si>
  <si>
    <t>Финансовые затраты на реализацию (тыс.руб.)</t>
  </si>
  <si>
    <t>Касса</t>
  </si>
  <si>
    <t>МКУ "УЖКХ         г. Урай",          МКУ "УКС г.Урай"</t>
  </si>
  <si>
    <t>федеральный бюджет</t>
  </si>
  <si>
    <t>иные источники финансирования</t>
  </si>
  <si>
    <t>ВСЕГО по муниципальной программе:</t>
  </si>
  <si>
    <t>Исполнитель : Волокитина А.С. тел. 8(34676)2-84-61(381)</t>
  </si>
  <si>
    <t>И.о.начальника МКУ "УЖКХ г.Урай"</t>
  </si>
  <si>
    <t xml:space="preserve"> ___________________ Л.А.Сиденко</t>
  </si>
  <si>
    <t>"_____" _______________20____г.</t>
  </si>
  <si>
    <t xml:space="preserve">________________________ И.В.Хусаинова </t>
  </si>
  <si>
    <t xml:space="preserve">Выполнение работ по содержанию автомобильной дороги производственной зоны и жилой зоны закрыто по факту, установлена экономия в размере   - 1457,6 рублей:
1.За счет  очистки урн от мусора, погрузо-разгрузочных работ вручную  бытового мусора, перевозки мусора автомобилями-самосвалами, размещения мусора на полигоне утилизации ТБО- 1160,2 руб.;
 2.За счет разницы планового потребления электроэнергии на светоф. хозяйстве и фактического использования электроэнергии – 72,4 руб;      3.Денежные средства на установку опор дорожных знаков  были выделены в августе. В сентябре заключены договора  ООО "ИнжГеоКом"на инженерно-геодезические изыскания  инженерно-геологические изыскания с сроком выполнения работ до 13.12.2019. После получения инженерно-геодезических изысканий и инженерно-геологических изысканий, заключен договор с ООО "Гранд" на выполнение проектных работ. Срок выполнения проектных работ по договору  - февраль 2020г. -225,0 тыс.руб.
</t>
  </si>
  <si>
    <t>Организация содержания мест захоронения - 2149,1 тыс.руб., в т.ч.текущее содержание городских кладбищ (очистка от мусора и снега ) -610,8 тыс.руб.,транспортировка и доставка в морг останков невостребованных близкими и родственниками умерших (1 ед.) - 3,2 тыс.руб.,  выторфовка участка, распол. на кладбище №2А - 1535,1 тыс.руб.</t>
  </si>
  <si>
    <t xml:space="preserve">Оплата за транспортировку и доставку в морг останков невостребованных осуществлялась по факту перевозки. Оплата контракта на оказание услуг по содержанию кладбища осуществлялась  по  фактическим затратам, экономия сложилась в летний период, в связи с меньщим объёмом вывезенного мусора, чем было запланировано локально-сметным расчётом к контракту. </t>
  </si>
  <si>
    <t>1) Экономия по содержанию фонтанного хозяйства составила 188,8 тыс.руб., в связи с отклонением выполненных объёмов работ от запланированных, корректировкой расчетов на содержание фонтанного хозяйства, в том числе: 108,6 тыс.руб. -  ремонтные работы по замене двигателя на фонтане по адресу 2-44 не были проведены; 80,2 тыс.руб. - экономия затрат на содержание фонтанного хозяйства по причине того, что один фрнтан не работал, и несправность не была устранена.                                                                                           2)  Экономия в сумме 3 051,2 тыс.руб. сложилась по результатам проведенных конкурсных торгов на обостройство контейнерных площадок .                            3) Поставка нефтяного (попутного) газа на газогорелочное устройство Мемориала памяти закрыто по фактическому потреблению (экономия по данному направлению составила  5,2 тыс.руб.)</t>
  </si>
  <si>
    <t>Текущее  содержание объектов благоустройства – 62724,9 тыс.руб. 1.Содержание объектов внешнего благоустройства -26283,1тыс.руб. в.т.ч .содержание парково-культурной зоны – 4316,8 тыс.руб.; содержание внутриквартальных проездов – 8481,5 тыс.руб.;  содержание детских городков – 2661,4тыс.руб.; содержание газонов 5151,3 тыс.руб.; содержание цветников -4419,6 тыс.руб.; содержание объектов Берегоукрепление на реке Конда- 188,1 тыс.руб; консервация и расконсервация фонтанов -175,2 тыс.руб.; ремонтные работы по фонтанам - 82,5 тыс.руб.; содержание фонтанного хозяйства-565,2 тыс.руб.; содержание объекта "Водопонижение мкр.Юго-Восточный - 241,5 тыс.руб.2.содержание мест массового отдыха на реке Конда (подготовка к празднику Крещения Господни) – 98,5 тыс.руб.; 3.Выполнение работ по формовке деревьев и спиливанию деревьев по адресу: г.Урай,ул.Сибирская,д.4, мкр. 2, дом 29,мкр. Западный, мкр.1,  – 584,1 тыс.руб.;4.Оплата поставки нефтяного (попутного) газа на газогорелочное устройство Мемориала памяти (16,821 тыс.м3) – 80,7 тыс.руб.;6.Содержание территорий в микр.1,ДСК "Олимп" г.Урай -97,3 тыс.руб.;7.Осуществление приема сточных вод города Урай в централизованную систему водоотведения и обеспечение их транспортировки – 14734,9 тыс.руб.;8.Выполнение работ по устройству ограждений несанкционированных проездов на территории г.Урай - 93,0 тыс.руб.;9 Содержание и заливка катка, расположенного в микр.2  -  167,1 тыс. руб.; 10 Уборка и вывоз снега -  343,1 тыс. руб.; 11 Проведение праздничных мероприятий на площади "Планета Звезд" в микр.2  г.Урай - 40,6 тыс.руб.;12 Выполнение работ по водоотливу по адр.:г.Урай,мкр.2А,40/2, р-н "Монетка" по ул.Узбекистанская-99,4 тыс.руб.;13Уборке мусора на терр.в р-не снесенного МКД по адр.:г.Урай, ул.Сибирская 6-82,6 тыс.руб;14 Уборка мусора на береговой зоне в р-не ж/д по адр.:г.Урай,мкр.2,д.№28-41,3 тыс.руб.;15 Уборка и вывоз снега по адр.: г.Урай, ул.Урусова дома №6,7,8, 20,21,22,мкр. 1Г, д.10Г,11Г, мкр.1, д.1,3,7, мкр. 2А ,д. 7А, с автом. стоянки БУ «Урайская больница" -739,5 тыс.руб.;16 Выполнение работ по водоотливу с проезда по адр.:г.Урай, мкр.1Д р-н "Пятерочка", мкр.Западный р-н магазин "Туман"-198,8 тыс.руб.;17Погрузка,вывоз и утилизация мусора при проведении городских  мероприятий по очистке территорий вдоль город дорог г.Урай и  вдоль береговой зоны реки Конда г.Урай- 192,3 тыс.руб.;18Выполнение работ по водоотливу с проезда по адр.:г.Урай,мкр.1Д,в районе магазина "Визит"-87,4 тыс.руб.; 19 Ремонт площади "Первооткрывателей"и ремонт площади "Мемориал Памяти "-196,9 тыс.руб.;20 Установка дорожных знаков -163, 7 тыс.руб.; 21Услуги по изготовлению древок для флагов -35,1 тыс.руб.;22 Установка и вывоз ограждений для проведения праздничных мероприятий на территории города Урай -61,9 тыс.руб.; 23 Обустройство контейнерных площадок 22 шт. – 2285,6 тыс.руб.,24 Установка лавочек на территорий д/с «Солнышко»-41,9 тыс.руб; 25 Замена плит ПНД -97,8 тыс.руб;, 25 Устройство ливневой канализации в районе ПАО "Ростелеком" ул.Ленина,д.61-73,2 тыс.руб.,  27.Выполнение работ по отводу поверхностных вод с проезда по адресу:мкр.2А,д.7А- 80,4 тыс.руб.; 28  Установка лавочек на территории детского городка "Солнышка",вывозу и установке биотуалетов и контейнеров под мусор на терр.лыж.бызы - 42,0 тыс.руб., 29 Ремонт внутриквартального проезда:г.Урай,мкр.2,д.55-258,6 тыс.руб., 30. Выполнение работ по устройству тротуара между зданием Музея и ТЦ "Армада" -236,0тыс.руб., 31Устройство трапов в районе ул.Кольцова-ул.Нагорная,ул.Нагорная-ул.Механиков - 71,3 тыс.руб. 31 Ремонт ВКП в районе Ростелекома и площади "Планета звезд"-181,0тыс.руб., 32 Ремонт ВКП- 133,6 тыс. руб., 33 Услуги по содержанию ограждений несанкционированных проездов в районе береговой зоны реки Конда-14,4 тыс.руб., 34 Обустройство цветочных композиций на террит.ЗАГС администрации г.Урай:ул.Ленина-89а- 32,4 тыс.руб.,35 Ремонт ВКП :г.Урай,мкр.2А, в районе д/с"Умка"-1793,5тыс.руб., 36 Санитарное  обслуживанию и уборка контейнерных площадок в районе ИЖС  на территории г.Урай - 355,7 тыс.руб., 37 Перенос  гаражей для проведения работ по кап.ремонту объекта:Капит.ремонт напорного канализационного коллектора от КНС Аэропорт до напорного коллектора КНС-3-КОС -96,8 тыс.руб., 38 Проведение  праздничных мероприятий в июне и к Дню города и Дню раб. Нефтяной и газовой промышленности - 160,2 тыс.руб., 39 Разработка проекта:"Организация работ по устройству тротуаров" по адр.:от ж/д№16 по ул.Шевченко до ул.Ленина -24,0 тыс.руб., 40 Оказание услуг по отлову безнадзорных и бродячих домашних животных на территории города Урай-1383,8 тыс.руб.- произведен отлов 64 безнадзорных и бродячих домашних животных (выполнен отлов, транспортировка и регистрация животных), в  передержке животные находились (суммарно) 7523 дня.41 Выполнение работ по обслуживанию газового оборудования- 39,3 тыс.руб.,42 Предоставление субсидий из бюджета городского округа город Урай , на возмещение фактических затрат по кап.ремонту в виде благоустройства терр.Полигона- 300,0тыс.руб.43.Техническое обслуживание и очистка систем водоотведения и дренажных труб:г.Урай, мкр.2А-1848,0; 44.Погрузка,вывоз и утилизация мусора при проведении город мероприятий по очистке территорий вдоль городских дорог - 67,4 тыс.руб.; 45 Устройство тротуаров от жд№16 по ул.Шевченко до ул.Ленина - 729,1тыс.руб.;46.Обустройство контейнерных площадок (40 шт) – 3802,8 тыс.руб.; 47.Санитарное  обслуживанию и уборка контейнерных площадок в районе МКД  на территории г.Урай - 557,6 тыс.руб.; 48.Поставка мусорных контейнеров (168 шт.)-2397,2тыс.руб.49. Поставка стационарного туалета-1200,0 тыс.руб.</t>
  </si>
  <si>
    <t>Экономия обусловлена оплатой за фактическое потребление электрической энергии.</t>
  </si>
  <si>
    <t>Организация электроснабжения уличного освещения – 34 633,4 тыс.руб, техническое обслуживания сетей уличного освещения города Урай за период 01.-12.19г.- 8 968,3 тыс.руб., технологическое присоединение "ВРУ-0,22 кВ опорного пункта полиции"- 9,0 тыс.руб.,  текущей ремонт светильников уличного освещения на совместном подвесе на территории города Урай- 96,5 тыс.руб., ремонт уличного освещения по адр.: мкр.2А, д.42- 79,2  тыс.руб.,  перенос опор уличного освещения по ул.Сибирской  - 45,1 тыс.руб., и поставка электрической энергии за период 01.-11.2019 г. (  4 222,77 тыс.кВт*час) 22 939,1 тыс.руб.+ предоплата за декабрь 2019 г.-2 496,0 тыс.руб., технологическое присоединение энергопринимающих устройств "ВРУ-0,4кВ объекта "Светофор"-0,2 тыс.руб.</t>
  </si>
  <si>
    <t>Оказание услуг по отлову безнадзорных и бродячих домашних животных на территории города Урай- 319,1 тыс.руб.- произведен отлов 28 безнадзорных и бродячих домашних животных (выполнен отлов, транспортировка и регистрация животных), в передержке животные находились (суммарно) 765 дней</t>
  </si>
  <si>
    <t>Предоставлено субсидий организации  (за фактическое потребление населением сжиженного газа) на сумму 2 095,7 тыс.руб. Администрирование переданного государственного полномочия составило  - 2,6 тыс.руб. (оплата труда 1,997 тыс.руб. и начисления на оплату труда  0,603тыс.руб.)</t>
  </si>
  <si>
    <t>Экономия обусловлена оплатой за фактическое потребление населением сжиженного газа. При плане за 12 месяцев 2019 года - 12 028 кг., фактически потреблено - 11 928 кг.</t>
  </si>
  <si>
    <t>Основная экономия сложилась по оплате труда и начислениям на оплату труда. По оплате труда проводились мероприятия по оптимизации расходов: были сокращены ком. расходы (в связи с чем не увеличился среднедневной размер зар. платы), за дежурство в выходные и праздничные дни предоставлялись дни отдыха (начисление в двойном размере не производилось), у всех работников учреждения сокращены дни отпуска за ненормированный рабочий день, бол. листы составили 66 дней, дни без сохранения зар. платы – 10 дней. Экономия по начислениям на оплату труда обусловлена возвратом больничного с ФСС.</t>
  </si>
  <si>
    <t>Снос аварийных МКД - 4 648,9 тыс.руб. 1) Произведен снос жилых многоквартирных домов - 4 036,2 тыс.руб., расположенные по адресам: мкр. 1 Д  дом 15 , 1А дом 42,48, мкр.  1Д, дом 2; ул. Толстого, дом № 8,10; участок в границах улиц Пионеров-Островского-Толстого, мкр.1А, д.34,35, мкр.1Г,д.47  2) выполнены работ по обследованию технического состояния многоквартирных домов  г.Урай на предмет аварийности по адр.: мкр.1Г, д.№8; ул. Береговая, д.4, мкр.1Г, д.39, ул.Толстого, д.17,  ул.Пионеров д. 137, мкр. 1А, д. 18, мкр. 1Г, д.10, мкр.1А, д.17, мкр.1Г, д. 9 , 1Г, д.№18 - 280,0 тыс.руб.; ул. Нагорная, д. 31, кв.1 - 3,6 тыс.руб., мкр.1А, д.9, мкр. 1Д, д.10,13,43, мкр.1Г, д.16 - 69,1 тыс.руб.; 3) Оказание услуг по разработке проекта:"Организация работ по сносу жил.многоквартирного дома" расположенных по адресам : мкр.1"А", дом №42 - 140,0 тыс.руб., мкр. 1А, дом №1,3,4,34,35, мкр. 1Г, дом 47- 120,0 тыс.руб.</t>
  </si>
  <si>
    <t>Электронный аукцион на выполнение работ по сносу строений, разборке конструкций, вывозу строительного мусора и отсыпке участков под домами песком по адресу микрорайон 1А, дома 1, 3, 4  состоялся  24.12.2019г. Муниципальный контракт от 14.01.2020 №584 заключен  с ИП ГКФХ Тимошенко О.М.  Оплата за выполнение работ будет произведена в 1 квартале 2020 года.</t>
  </si>
  <si>
    <t>Обеспечение условий доступности для инвалидов жилых помещений и общего имущества МКД - 256,2 тыс.руб. Выполнение работ по устройству пандуса по адресам : мкр.2,д.105 - 162,3 тыс.руб.; мкр.2,д.66 (2 подъезд), мкр. 2, д.102 (3 подъезд), мкр. 1Г, д. 10Г (2 подъезд)- 93,9 тыс.руб.</t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</si>
  <si>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домах)–4 018,1тыс.руб. (за период 01-12.2019г.). В том числе, сумма  взносов, перечисленных в Югорский фонд капитального ремонта многоквартирных домов составила 3 909,4тыс.руб., сумма взносов, перечисленных на специальные счета составила 108,7 тыс.рублей, в том числе: ТСЖ «Кедр» – 65,4 тыс.руб.; ТСЖ «Югра» – 4,8 тыс.руб., ТСЖ "Западный 13" - 38,5 тыс.руб.</t>
  </si>
  <si>
    <t xml:space="preserve">Экономия образовалась в свяли с уменьшением площади жилых помещений, находящихся в муниципальной собственности в МКД за отчётный период. 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</si>
  <si>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за 2019 год</t>
  </si>
  <si>
    <r>
      <t xml:space="preserve">Организация содержания дорожного хозяйства –87073,0 тыс. руб. в т.ч. содержание автомобильных дорог производственной зоны –8277,2 тыс.руб.;содержание дорог жилой зоны –74078,2 тыс.руб.; замена электросчетчика на объектах светофорного хозяйства г.Урай - 5,4 тыс.руб.,  ремонт светофоров -626,2 тыс. руб.,  ремонт тротуаров вдоль городских дорог на территории г.Урай- 247,1 тыс. руб; асфальтирование тротуара - 113,5 тыс.руб.; поставка и шеф монтаж модулей ожидания общественного транспорта - 1768,7 тыс.руб.; ремонт городских тротуаров вдоль автомобильных дорог мест.значения-1685,7 тыс.руб. ; модернизация участков автомобильных дорог г.Урай на регулируемых перекрестках: ул. Ленина -Ул.Космонавтов;ул. Узбекистанская-ул.Космонавтов, ул. Нефтяников -ул. Строителей, ул. Нефтяников -ул. 50 лет ВЛКСМ-271,0 тыс.руб. </t>
    </r>
    <r>
      <rPr>
        <sz val="9"/>
        <color indexed="10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</si>
  <si>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ОТЧЕТ</t>
  </si>
  <si>
    <t xml:space="preserve"> Обеспечение условий доступности для инвалидов жилых помещений и общего имущества МКД (1)</t>
  </si>
  <si>
    <t>Проведены мероприятия  по энергосбережению и повышению энергетической эффективности в отношении общего имущества собственников помещений в многоквартирных домах (утепление, размещение брошюр)</t>
  </si>
  <si>
    <t xml:space="preserve">Обеспечение деятельности  МКУ "Управление ЖКХ г.Урай": за 2019 год учреждением заключено 201 мун. контрактов и договоров, из них 44 ед. с применением конкурентных процедур, в соответствии с ФЗ 05.04.2013г. № 44-ФЗ методом проведения запроса котировок, электронного аукциона, открытого конкурса, 151 ед. заключены с единственным поставщиком. Заключено 6 соглашений на предоставление субсидии . За отчетный период учреждением организована работа по ремонту 1 общежития, в 23 мун. квартирах,  произведена замена 59 индивидуальных приборов учета холодного водоснабжения, внутридомового газового оборудования, электрических водонагревателей. Организован снос 9 ветхих домов с отсыпкой участков после сноса песком, обследовано на предмет аварийности 15 жилых дома. </t>
  </si>
  <si>
    <t xml:space="preserve">Содержание мест массового отдыха на р.Конда - 185,1, тыс.руб., в.т.ч установка на территории места массового отдыха  2-х (двух) мус. контейнеров, ежедневный осмотр, патрульная очистка с территории песчанной зоны и зеленой зоны места массового отдыха от мусора, производился покос травы , вывоз твердых коммунальных отходов , уборка и обработка биотуалетов, вывоз мусора , изготовие и установика запрещающих щитов  с запрещающими знаками 6 шт </t>
  </si>
  <si>
    <t>В целях сокращения объемов потребления энергетических ресурсов муниципальными бюджетными учреждениями проводится мероприятия по энергосбережению и мониторингу потребления энергетических ресурсов. По всем зданиям бюджетных учреждений, находящимся в муниципальной собственности проведены энергетические обследования и выданы энергетические паспорта.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</si>
</sst>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_ ;\-#,##0.0\ "/>
    <numFmt numFmtId="184" formatCode="0.0000"/>
    <numFmt numFmtId="185" formatCode="0.00000"/>
    <numFmt numFmtId="186" formatCode="0.0000000"/>
    <numFmt numFmtId="187" formatCode="#,##0.0000000"/>
    <numFmt numFmtId="188" formatCode="#,##0.000000"/>
    <numFmt numFmtId="189" formatCode="_-* #,##0.000_р_._-;\-* #,##0.000_р_._-;_-* &quot;-&quot;??_р_._-;_-@_-"/>
    <numFmt numFmtId="190" formatCode="[$-FC19]d\ mmmm\ yyyy\ &quot;г.&quot;"/>
    <numFmt numFmtId="191" formatCode="0.000000"/>
  </numFmts>
  <fonts count="71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b/>
      <sz val="9"/>
      <color indexed="8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1"/>
      <name val="Arial"/>
      <family val="2"/>
    </font>
    <font>
      <sz val="9"/>
      <color indexed="10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3" fontId="0" fillId="33" borderId="10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right" vertical="center"/>
    </xf>
    <xf numFmtId="175" fontId="0" fillId="33" borderId="11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5" fontId="0" fillId="33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7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5" fontId="0" fillId="33" borderId="13" xfId="0" applyNumberFormat="1" applyFont="1" applyFill="1" applyBorder="1" applyAlignment="1">
      <alignment horizontal="right" vertical="center"/>
    </xf>
    <xf numFmtId="175" fontId="0" fillId="33" borderId="10" xfId="0" applyNumberFormat="1" applyFont="1" applyFill="1" applyBorder="1" applyAlignment="1">
      <alignment horizontal="right" vertical="center"/>
    </xf>
    <xf numFmtId="175" fontId="0" fillId="33" borderId="12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175" fontId="0" fillId="33" borderId="15" xfId="0" applyNumberFormat="1" applyFont="1" applyFill="1" applyBorder="1" applyAlignment="1">
      <alignment horizontal="right" vertical="center"/>
    </xf>
    <xf numFmtId="175" fontId="0" fillId="33" borderId="14" xfId="0" applyNumberFormat="1" applyFont="1" applyFill="1" applyBorder="1" applyAlignment="1">
      <alignment horizontal="right" vertical="center"/>
    </xf>
    <xf numFmtId="175" fontId="0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center"/>
    </xf>
    <xf numFmtId="175" fontId="0" fillId="33" borderId="16" xfId="0" applyNumberFormat="1" applyFont="1" applyFill="1" applyBorder="1" applyAlignment="1">
      <alignment vertical="center"/>
    </xf>
    <xf numFmtId="175" fontId="0" fillId="33" borderId="0" xfId="0" applyNumberFormat="1" applyFont="1" applyFill="1" applyBorder="1" applyAlignment="1">
      <alignment horizontal="right" vertical="center"/>
    </xf>
    <xf numFmtId="175" fontId="0" fillId="33" borderId="17" xfId="0" applyNumberFormat="1" applyFont="1" applyFill="1" applyBorder="1" applyAlignment="1">
      <alignment horizontal="right" vertical="center"/>
    </xf>
    <xf numFmtId="175" fontId="0" fillId="33" borderId="18" xfId="0" applyNumberFormat="1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/>
    </xf>
    <xf numFmtId="175" fontId="0" fillId="33" borderId="11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>
      <alignment horizontal="center" vertical="center"/>
    </xf>
    <xf numFmtId="175" fontId="3" fillId="33" borderId="14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0" fillId="33" borderId="23" xfId="0" applyNumberFormat="1" applyFont="1" applyFill="1" applyBorder="1" applyAlignment="1">
      <alignment horizontal="center" vertical="center"/>
    </xf>
    <xf numFmtId="175" fontId="0" fillId="0" borderId="23" xfId="0" applyNumberFormat="1" applyFont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175" fontId="0" fillId="0" borderId="23" xfId="0" applyNumberFormat="1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75" fontId="13" fillId="33" borderId="24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75" fontId="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5" fontId="0" fillId="0" borderId="26" xfId="0" applyNumberFormat="1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 wrapText="1"/>
    </xf>
    <xf numFmtId="175" fontId="3" fillId="34" borderId="27" xfId="0" applyNumberFormat="1" applyFont="1" applyFill="1" applyBorder="1" applyAlignment="1">
      <alignment horizontal="center" vertical="center"/>
    </xf>
    <xf numFmtId="175" fontId="3" fillId="34" borderId="28" xfId="0" applyNumberFormat="1" applyFont="1" applyFill="1" applyBorder="1" applyAlignment="1">
      <alignment horizontal="center" vertical="center"/>
    </xf>
    <xf numFmtId="175" fontId="0" fillId="34" borderId="27" xfId="0" applyNumberFormat="1" applyFont="1" applyFill="1" applyBorder="1" applyAlignment="1">
      <alignment horizontal="center" vertical="center"/>
    </xf>
    <xf numFmtId="175" fontId="0" fillId="34" borderId="28" xfId="0" applyNumberFormat="1" applyFont="1" applyFill="1" applyBorder="1" applyAlignment="1">
      <alignment horizontal="center" vertical="center"/>
    </xf>
    <xf numFmtId="175" fontId="3" fillId="34" borderId="29" xfId="0" applyNumberFormat="1" applyFont="1" applyFill="1" applyBorder="1" applyAlignment="1">
      <alignment horizontal="center" vertical="center"/>
    </xf>
    <xf numFmtId="175" fontId="3" fillId="34" borderId="30" xfId="0" applyNumberFormat="1" applyFont="1" applyFill="1" applyBorder="1" applyAlignment="1">
      <alignment horizontal="center" vertical="center"/>
    </xf>
    <xf numFmtId="175" fontId="1" fillId="34" borderId="28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 wrapText="1"/>
    </xf>
    <xf numFmtId="175" fontId="13" fillId="33" borderId="32" xfId="0" applyNumberFormat="1" applyFont="1" applyFill="1" applyBorder="1" applyAlignment="1">
      <alignment horizontal="center" vertical="center"/>
    </xf>
    <xf numFmtId="175" fontId="0" fillId="33" borderId="26" xfId="0" applyNumberFormat="1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175" fontId="0" fillId="33" borderId="26" xfId="0" applyNumberFormat="1" applyFont="1" applyFill="1" applyBorder="1" applyAlignment="1">
      <alignment horizontal="center" vertical="center"/>
    </xf>
    <xf numFmtId="175" fontId="13" fillId="34" borderId="33" xfId="0" applyNumberFormat="1" applyFont="1" applyFill="1" applyBorder="1" applyAlignment="1">
      <alignment horizontal="center" vertical="center"/>
    </xf>
    <xf numFmtId="175" fontId="13" fillId="34" borderId="34" xfId="0" applyNumberFormat="1" applyFont="1" applyFill="1" applyBorder="1" applyAlignment="1">
      <alignment horizontal="center" vertical="center"/>
    </xf>
    <xf numFmtId="175" fontId="13" fillId="33" borderId="31" xfId="0" applyNumberFormat="1" applyFont="1" applyFill="1" applyBorder="1" applyAlignment="1">
      <alignment horizontal="center" vertical="center"/>
    </xf>
    <xf numFmtId="175" fontId="0" fillId="33" borderId="23" xfId="0" applyNumberFormat="1" applyFont="1" applyFill="1" applyBorder="1" applyAlignment="1">
      <alignment horizontal="center" vertical="center"/>
    </xf>
    <xf numFmtId="175" fontId="0" fillId="33" borderId="25" xfId="0" applyNumberFormat="1" applyFont="1" applyFill="1" applyBorder="1" applyAlignment="1">
      <alignment horizontal="center" vertical="center"/>
    </xf>
    <xf numFmtId="175" fontId="3" fillId="0" borderId="35" xfId="0" applyNumberFormat="1" applyFont="1" applyBorder="1" applyAlignment="1">
      <alignment horizontal="center" vertical="center"/>
    </xf>
    <xf numFmtId="175" fontId="3" fillId="0" borderId="36" xfId="0" applyNumberFormat="1" applyFont="1" applyBorder="1" applyAlignment="1">
      <alignment horizontal="center" vertical="center"/>
    </xf>
    <xf numFmtId="175" fontId="3" fillId="0" borderId="37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wrapText="1"/>
    </xf>
    <xf numFmtId="0" fontId="3" fillId="0" borderId="36" xfId="0" applyFont="1" applyBorder="1" applyAlignment="1">
      <alignment wrapText="1"/>
    </xf>
    <xf numFmtId="49" fontId="2" fillId="33" borderId="33" xfId="0" applyNumberFormat="1" applyFont="1" applyFill="1" applyBorder="1" applyAlignment="1">
      <alignment horizontal="left" vertical="center" indent="1"/>
    </xf>
    <xf numFmtId="0" fontId="14" fillId="0" borderId="38" xfId="0" applyFont="1" applyBorder="1" applyAlignment="1">
      <alignment/>
    </xf>
    <xf numFmtId="175" fontId="14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wrapText="1"/>
    </xf>
    <xf numFmtId="175" fontId="0" fillId="33" borderId="3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75" fontId="1" fillId="34" borderId="33" xfId="0" applyNumberFormat="1" applyFont="1" applyFill="1" applyBorder="1" applyAlignment="1">
      <alignment horizontal="center" vertical="center"/>
    </xf>
    <xf numFmtId="175" fontId="0" fillId="34" borderId="40" xfId="0" applyNumberFormat="1" applyFont="1" applyFill="1" applyBorder="1" applyAlignment="1">
      <alignment horizontal="center" vertical="center"/>
    </xf>
    <xf numFmtId="175" fontId="3" fillId="34" borderId="2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left" vertical="center" indent="1"/>
    </xf>
    <xf numFmtId="0" fontId="2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175" fontId="13" fillId="34" borderId="41" xfId="0" applyNumberFormat="1" applyFont="1" applyFill="1" applyBorder="1" applyAlignment="1">
      <alignment horizontal="center" vertical="center"/>
    </xf>
    <xf numFmtId="175" fontId="13" fillId="33" borderId="44" xfId="0" applyNumberFormat="1" applyFont="1" applyFill="1" applyBorder="1" applyAlignment="1">
      <alignment horizontal="center" vertical="center"/>
    </xf>
    <xf numFmtId="175" fontId="13" fillId="33" borderId="42" xfId="0" applyNumberFormat="1" applyFont="1" applyFill="1" applyBorder="1" applyAlignment="1">
      <alignment horizontal="center" vertical="center"/>
    </xf>
    <xf numFmtId="175" fontId="13" fillId="33" borderId="43" xfId="0" applyNumberFormat="1" applyFont="1" applyFill="1" applyBorder="1" applyAlignment="1">
      <alignment horizontal="center" vertical="center"/>
    </xf>
    <xf numFmtId="175" fontId="13" fillId="34" borderId="45" xfId="0" applyNumberFormat="1" applyFont="1" applyFill="1" applyBorder="1" applyAlignment="1">
      <alignment horizontal="center" vertical="center"/>
    </xf>
    <xf numFmtId="175" fontId="13" fillId="34" borderId="17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wrapText="1"/>
    </xf>
    <xf numFmtId="0" fontId="0" fillId="33" borderId="31" xfId="0" applyFont="1" applyFill="1" applyBorder="1" applyAlignment="1">
      <alignment horizontal="center" vertical="center" wrapText="1"/>
    </xf>
    <xf numFmtId="175" fontId="1" fillId="34" borderId="34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75" fontId="13" fillId="33" borderId="45" xfId="0" applyNumberFormat="1" applyFont="1" applyFill="1" applyBorder="1" applyAlignment="1">
      <alignment horizontal="center" vertical="center"/>
    </xf>
    <xf numFmtId="175" fontId="0" fillId="34" borderId="27" xfId="0" applyNumberFormat="1" applyFont="1" applyFill="1" applyBorder="1" applyAlignment="1">
      <alignment horizontal="center" vertical="center"/>
    </xf>
    <xf numFmtId="175" fontId="0" fillId="34" borderId="28" xfId="0" applyNumberFormat="1" applyFont="1" applyFill="1" applyBorder="1" applyAlignment="1">
      <alignment horizontal="center" vertical="center"/>
    </xf>
    <xf numFmtId="175" fontId="13" fillId="33" borderId="46" xfId="0" applyNumberFormat="1" applyFont="1" applyFill="1" applyBorder="1" applyAlignment="1">
      <alignment horizontal="center" vertical="center"/>
    </xf>
    <xf numFmtId="175" fontId="3" fillId="34" borderId="25" xfId="0" applyNumberFormat="1" applyFont="1" applyFill="1" applyBorder="1" applyAlignment="1">
      <alignment horizontal="center" vertical="center"/>
    </xf>
    <xf numFmtId="175" fontId="13" fillId="34" borderId="47" xfId="0" applyNumberFormat="1" applyFont="1" applyFill="1" applyBorder="1" applyAlignment="1">
      <alignment horizontal="center" vertical="center"/>
    </xf>
    <xf numFmtId="175" fontId="0" fillId="33" borderId="24" xfId="0" applyNumberFormat="1" applyFont="1" applyFill="1" applyBorder="1" applyAlignment="1">
      <alignment horizontal="center" vertical="center"/>
    </xf>
    <xf numFmtId="175" fontId="3" fillId="33" borderId="24" xfId="0" applyNumberFormat="1" applyFont="1" applyFill="1" applyBorder="1" applyAlignment="1">
      <alignment horizontal="center"/>
    </xf>
    <xf numFmtId="175" fontId="0" fillId="34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75" fontId="3" fillId="34" borderId="26" xfId="0" applyNumberFormat="1" applyFont="1" applyFill="1" applyBorder="1" applyAlignment="1">
      <alignment horizontal="center" vertical="center"/>
    </xf>
    <xf numFmtId="175" fontId="13" fillId="34" borderId="27" xfId="0" applyNumberFormat="1" applyFont="1" applyFill="1" applyBorder="1" applyAlignment="1">
      <alignment horizontal="center" vertical="center"/>
    </xf>
    <xf numFmtId="175" fontId="17" fillId="34" borderId="33" xfId="0" applyNumberFormat="1" applyFont="1" applyFill="1" applyBorder="1" applyAlignment="1">
      <alignment horizontal="center" vertical="center"/>
    </xf>
    <xf numFmtId="175" fontId="17" fillId="34" borderId="47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5" fontId="13" fillId="33" borderId="4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5" fontId="0" fillId="33" borderId="34" xfId="0" applyNumberFormat="1" applyFont="1" applyFill="1" applyBorder="1" applyAlignment="1">
      <alignment horizontal="center" vertical="center"/>
    </xf>
    <xf numFmtId="175" fontId="0" fillId="34" borderId="48" xfId="0" applyNumberFormat="1" applyFont="1" applyFill="1" applyBorder="1" applyAlignment="1">
      <alignment horizontal="center" vertical="center"/>
    </xf>
    <xf numFmtId="175" fontId="0" fillId="34" borderId="49" xfId="0" applyNumberFormat="1" applyFont="1" applyFill="1" applyBorder="1" applyAlignment="1">
      <alignment horizontal="center" vertical="center"/>
    </xf>
    <xf numFmtId="175" fontId="3" fillId="34" borderId="3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 vertical="center"/>
    </xf>
    <xf numFmtId="174" fontId="0" fillId="0" borderId="3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5" fontId="0" fillId="33" borderId="28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50" xfId="0" applyFont="1" applyFill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175" fontId="13" fillId="33" borderId="33" xfId="0" applyNumberFormat="1" applyFont="1" applyFill="1" applyBorder="1" applyAlignment="1">
      <alignment horizontal="center" vertical="center"/>
    </xf>
    <xf numFmtId="175" fontId="0" fillId="33" borderId="27" xfId="0" applyNumberFormat="1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0" fillId="35" borderId="33" xfId="0" applyNumberFormat="1" applyFont="1" applyFill="1" applyBorder="1" applyAlignment="1">
      <alignment horizontal="center" vertical="center"/>
    </xf>
    <xf numFmtId="174" fontId="0" fillId="35" borderId="34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wrapText="1"/>
    </xf>
    <xf numFmtId="0" fontId="11" fillId="0" borderId="51" xfId="0" applyFont="1" applyFill="1" applyBorder="1" applyAlignment="1">
      <alignment wrapText="1"/>
    </xf>
    <xf numFmtId="175" fontId="3" fillId="35" borderId="29" xfId="0" applyNumberFormat="1" applyFont="1" applyFill="1" applyBorder="1" applyAlignment="1">
      <alignment horizontal="center" vertical="center"/>
    </xf>
    <xf numFmtId="175" fontId="3" fillId="35" borderId="30" xfId="0" applyNumberFormat="1" applyFont="1" applyFill="1" applyBorder="1" applyAlignment="1">
      <alignment horizontal="center" vertical="center"/>
    </xf>
    <xf numFmtId="175" fontId="1" fillId="35" borderId="27" xfId="0" applyNumberFormat="1" applyFont="1" applyFill="1" applyBorder="1" applyAlignment="1">
      <alignment horizontal="center" vertical="center"/>
    </xf>
    <xf numFmtId="175" fontId="0" fillId="35" borderId="28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5" borderId="55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4" fontId="0" fillId="35" borderId="5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3" borderId="54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175" fontId="13" fillId="0" borderId="57" xfId="0" applyNumberFormat="1" applyFont="1" applyFill="1" applyBorder="1" applyAlignment="1">
      <alignment horizontal="center" vertical="center"/>
    </xf>
    <xf numFmtId="175" fontId="13" fillId="0" borderId="58" xfId="0" applyNumberFormat="1" applyFont="1" applyFill="1" applyBorder="1" applyAlignment="1">
      <alignment horizontal="center" vertical="center"/>
    </xf>
    <xf numFmtId="175" fontId="13" fillId="0" borderId="59" xfId="0" applyNumberFormat="1" applyFont="1" applyFill="1" applyBorder="1" applyAlignment="1">
      <alignment horizontal="center" vertical="center"/>
    </xf>
    <xf numFmtId="175" fontId="13" fillId="0" borderId="60" xfId="0" applyNumberFormat="1" applyFont="1" applyFill="1" applyBorder="1" applyAlignment="1">
      <alignment horizontal="center" vertical="center"/>
    </xf>
    <xf numFmtId="175" fontId="13" fillId="0" borderId="61" xfId="0" applyNumberFormat="1" applyFont="1" applyFill="1" applyBorder="1" applyAlignment="1">
      <alignment horizontal="center" vertical="center"/>
    </xf>
    <xf numFmtId="175" fontId="14" fillId="0" borderId="62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0" fillId="0" borderId="0" xfId="0" applyNumberFormat="1" applyFont="1" applyBorder="1" applyAlignment="1">
      <alignment/>
    </xf>
    <xf numFmtId="174" fontId="0" fillId="0" borderId="25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1" fillId="33" borderId="31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right"/>
    </xf>
    <xf numFmtId="0" fontId="1" fillId="33" borderId="24" xfId="0" applyFont="1" applyFill="1" applyBorder="1" applyAlignment="1">
      <alignment horizontal="center" vertical="center" wrapText="1"/>
    </xf>
    <xf numFmtId="175" fontId="0" fillId="34" borderId="33" xfId="0" applyNumberFormat="1" applyFont="1" applyFill="1" applyBorder="1" applyAlignment="1">
      <alignment horizontal="center" vertical="center"/>
    </xf>
    <xf numFmtId="175" fontId="0" fillId="33" borderId="32" xfId="0" applyNumberFormat="1" applyFont="1" applyFill="1" applyBorder="1" applyAlignment="1">
      <alignment horizontal="center" vertical="center"/>
    </xf>
    <xf numFmtId="175" fontId="0" fillId="33" borderId="24" xfId="0" applyNumberFormat="1" applyFont="1" applyFill="1" applyBorder="1" applyAlignment="1">
      <alignment horizontal="center" vertical="center"/>
    </xf>
    <xf numFmtId="175" fontId="0" fillId="33" borderId="31" xfId="0" applyNumberFormat="1" applyFont="1" applyFill="1" applyBorder="1" applyAlignment="1">
      <alignment horizontal="center" vertical="center"/>
    </xf>
    <xf numFmtId="175" fontId="0" fillId="33" borderId="34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175" fontId="0" fillId="33" borderId="33" xfId="0" applyNumberFormat="1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174" fontId="13" fillId="34" borderId="18" xfId="0" applyNumberFormat="1" applyFont="1" applyFill="1" applyBorder="1" applyAlignment="1">
      <alignment horizontal="center" vertical="center"/>
    </xf>
    <xf numFmtId="174" fontId="3" fillId="34" borderId="21" xfId="0" applyNumberFormat="1" applyFont="1" applyFill="1" applyBorder="1" applyAlignment="1">
      <alignment horizontal="center" vertical="center"/>
    </xf>
    <xf numFmtId="174" fontId="0" fillId="34" borderId="40" xfId="0" applyNumberFormat="1" applyFont="1" applyFill="1" applyBorder="1" applyAlignment="1">
      <alignment horizontal="center" vertical="center"/>
    </xf>
    <xf numFmtId="175" fontId="1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14" fillId="0" borderId="6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1" xfId="0" applyFont="1" applyBorder="1" applyAlignment="1">
      <alignment/>
    </xf>
    <xf numFmtId="175" fontId="14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175" fontId="0" fillId="35" borderId="2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3" xfId="0" applyFont="1" applyBorder="1" applyAlignment="1">
      <alignment wrapText="1"/>
    </xf>
    <xf numFmtId="0" fontId="0" fillId="0" borderId="0" xfId="0" applyFont="1" applyAlignment="1">
      <alignment/>
    </xf>
    <xf numFmtId="174" fontId="0" fillId="35" borderId="23" xfId="0" applyNumberFormat="1" applyFont="1" applyFill="1" applyBorder="1" applyAlignment="1">
      <alignment horizontal="center"/>
    </xf>
    <xf numFmtId="174" fontId="0" fillId="0" borderId="23" xfId="0" applyNumberFormat="1" applyFont="1" applyBorder="1" applyAlignment="1">
      <alignment horizontal="center"/>
    </xf>
    <xf numFmtId="0" fontId="19" fillId="0" borderId="0" xfId="0" applyFont="1" applyAlignment="1">
      <alignment horizontal="justify"/>
    </xf>
    <xf numFmtId="0" fontId="26" fillId="0" borderId="0" xfId="0" applyFont="1" applyAlignment="1">
      <alignment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175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justify"/>
    </xf>
    <xf numFmtId="0" fontId="4" fillId="0" borderId="23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5" fontId="13" fillId="34" borderId="46" xfId="0" applyNumberFormat="1" applyFont="1" applyFill="1" applyBorder="1" applyAlignment="1">
      <alignment horizontal="center" vertical="center"/>
    </xf>
    <xf numFmtId="175" fontId="0" fillId="34" borderId="31" xfId="0" applyNumberFormat="1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/>
    </xf>
    <xf numFmtId="175" fontId="13" fillId="0" borderId="23" xfId="0" applyNumberFormat="1" applyFont="1" applyFill="1" applyBorder="1" applyAlignment="1">
      <alignment horizontal="center" vertical="center"/>
    </xf>
    <xf numFmtId="175" fontId="3" fillId="0" borderId="2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175" fontId="13" fillId="0" borderId="16" xfId="0" applyNumberFormat="1" applyFont="1" applyFill="1" applyBorder="1" applyAlignment="1">
      <alignment horizontal="center" vertical="center"/>
    </xf>
    <xf numFmtId="175" fontId="13" fillId="0" borderId="65" xfId="0" applyNumberFormat="1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/>
    </xf>
    <xf numFmtId="0" fontId="30" fillId="0" borderId="45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2" fontId="11" fillId="0" borderId="27" xfId="0" applyNumberFormat="1" applyFont="1" applyBorder="1" applyAlignment="1">
      <alignment vertical="center" wrapText="1"/>
    </xf>
    <xf numFmtId="4" fontId="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7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wrapText="1"/>
    </xf>
    <xf numFmtId="174" fontId="4" fillId="36" borderId="50" xfId="0" applyNumberFormat="1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wrapText="1"/>
    </xf>
    <xf numFmtId="0" fontId="26" fillId="0" borderId="65" xfId="0" applyFont="1" applyFill="1" applyBorder="1" applyAlignment="1">
      <alignment horizontal="center" wrapText="1"/>
    </xf>
    <xf numFmtId="0" fontId="8" fillId="0" borderId="65" xfId="0" applyFont="1" applyFill="1" applyBorder="1" applyAlignment="1">
      <alignment vertical="center" wrapText="1"/>
    </xf>
    <xf numFmtId="175" fontId="27" fillId="0" borderId="14" xfId="0" applyNumberFormat="1" applyFont="1" applyFill="1" applyBorder="1" applyAlignment="1">
      <alignment wrapText="1"/>
    </xf>
    <xf numFmtId="49" fontId="2" fillId="0" borderId="64" xfId="0" applyNumberFormat="1" applyFont="1" applyFill="1" applyBorder="1" applyAlignment="1">
      <alignment horizontal="left" vertical="center" indent="1"/>
    </xf>
    <xf numFmtId="0" fontId="7" fillId="0" borderId="6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175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75" fontId="20" fillId="0" borderId="17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74" fontId="4" fillId="0" borderId="23" xfId="0" applyNumberFormat="1" applyFont="1" applyFill="1" applyBorder="1" applyAlignment="1">
      <alignment horizontal="center"/>
    </xf>
    <xf numFmtId="174" fontId="4" fillId="0" borderId="36" xfId="0" applyNumberFormat="1" applyFont="1" applyFill="1" applyBorder="1" applyAlignment="1">
      <alignment horizontal="center"/>
    </xf>
    <xf numFmtId="174" fontId="4" fillId="0" borderId="53" xfId="0" applyNumberFormat="1" applyFont="1" applyFill="1" applyBorder="1" applyAlignment="1">
      <alignment horizontal="center"/>
    </xf>
    <xf numFmtId="174" fontId="4" fillId="0" borderId="35" xfId="0" applyNumberFormat="1" applyFont="1" applyFill="1" applyBorder="1" applyAlignment="1">
      <alignment horizontal="center"/>
    </xf>
    <xf numFmtId="174" fontId="4" fillId="0" borderId="2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74" fontId="4" fillId="0" borderId="3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174" fontId="4" fillId="0" borderId="28" xfId="0" applyNumberFormat="1" applyFont="1" applyFill="1" applyBorder="1" applyAlignment="1">
      <alignment horizontal="center"/>
    </xf>
    <xf numFmtId="174" fontId="4" fillId="0" borderId="52" xfId="0" applyNumberFormat="1" applyFont="1" applyFill="1" applyBorder="1" applyAlignment="1">
      <alignment horizontal="center"/>
    </xf>
    <xf numFmtId="174" fontId="4" fillId="0" borderId="27" xfId="0" applyNumberFormat="1" applyFont="1" applyFill="1" applyBorder="1" applyAlignment="1">
      <alignment horizontal="center"/>
    </xf>
    <xf numFmtId="174" fontId="4" fillId="0" borderId="50" xfId="0" applyNumberFormat="1" applyFont="1" applyFill="1" applyBorder="1" applyAlignment="1">
      <alignment horizontal="center"/>
    </xf>
    <xf numFmtId="174" fontId="4" fillId="0" borderId="56" xfId="0" applyNumberFormat="1" applyFont="1" applyFill="1" applyBorder="1" applyAlignment="1">
      <alignment horizontal="center"/>
    </xf>
    <xf numFmtId="174" fontId="4" fillId="0" borderId="25" xfId="0" applyNumberFormat="1" applyFont="1" applyFill="1" applyBorder="1" applyAlignment="1">
      <alignment horizontal="center"/>
    </xf>
    <xf numFmtId="174" fontId="4" fillId="0" borderId="54" xfId="0" applyNumberFormat="1" applyFont="1" applyFill="1" applyBorder="1" applyAlignment="1">
      <alignment horizontal="center"/>
    </xf>
    <xf numFmtId="0" fontId="11" fillId="0" borderId="65" xfId="0" applyFont="1" applyFill="1" applyBorder="1" applyAlignment="1">
      <alignment horizontal="left" wrapText="1"/>
    </xf>
    <xf numFmtId="174" fontId="4" fillId="0" borderId="29" xfId="0" applyNumberFormat="1" applyFont="1" applyFill="1" applyBorder="1" applyAlignment="1">
      <alignment horizontal="center"/>
    </xf>
    <xf numFmtId="174" fontId="4" fillId="0" borderId="37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wrapText="1"/>
    </xf>
    <xf numFmtId="174" fontId="25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189" fontId="26" fillId="0" borderId="0" xfId="6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75" fontId="13" fillId="0" borderId="70" xfId="0" applyNumberFormat="1" applyFont="1" applyFill="1" applyBorder="1" applyAlignment="1">
      <alignment horizontal="center" vertical="center"/>
    </xf>
    <xf numFmtId="175" fontId="13" fillId="0" borderId="71" xfId="0" applyNumberFormat="1" applyFont="1" applyFill="1" applyBorder="1" applyAlignment="1">
      <alignment horizontal="center" vertical="center"/>
    </xf>
    <xf numFmtId="175" fontId="13" fillId="0" borderId="15" xfId="0" applyNumberFormat="1" applyFont="1" applyFill="1" applyBorder="1" applyAlignment="1">
      <alignment horizontal="center" vertical="center"/>
    </xf>
    <xf numFmtId="175" fontId="13" fillId="0" borderId="72" xfId="0" applyNumberFormat="1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16" fontId="4" fillId="0" borderId="17" xfId="0" applyNumberFormat="1" applyFont="1" applyFill="1" applyBorder="1" applyAlignment="1">
      <alignment horizontal="center"/>
    </xf>
    <xf numFmtId="174" fontId="7" fillId="0" borderId="21" xfId="0" applyNumberFormat="1" applyFont="1" applyFill="1" applyBorder="1" applyAlignment="1">
      <alignment vertical="center" wrapText="1"/>
    </xf>
    <xf numFmtId="174" fontId="7" fillId="0" borderId="29" xfId="0" applyNumberFormat="1" applyFont="1" applyFill="1" applyBorder="1" applyAlignment="1">
      <alignment horizontal="center" vertical="center"/>
    </xf>
    <xf numFmtId="174" fontId="7" fillId="0" borderId="36" xfId="0" applyNumberFormat="1" applyFont="1" applyFill="1" applyBorder="1" applyAlignment="1">
      <alignment horizontal="center" vertical="center"/>
    </xf>
    <xf numFmtId="174" fontId="7" fillId="0" borderId="37" xfId="0" applyNumberFormat="1" applyFont="1" applyFill="1" applyBorder="1" applyAlignment="1">
      <alignment horizontal="center" vertical="center"/>
    </xf>
    <xf numFmtId="174" fontId="7" fillId="0" borderId="30" xfId="0" applyNumberFormat="1" applyFont="1" applyFill="1" applyBorder="1" applyAlignment="1">
      <alignment horizontal="center" vertical="center"/>
    </xf>
    <xf numFmtId="174" fontId="7" fillId="0" borderId="3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4" fontId="7" fillId="0" borderId="19" xfId="0" applyNumberFormat="1" applyFont="1" applyFill="1" applyBorder="1" applyAlignment="1">
      <alignment vertical="center" wrapText="1"/>
    </xf>
    <xf numFmtId="174" fontId="7" fillId="0" borderId="73" xfId="0" applyNumberFormat="1" applyFont="1" applyFill="1" applyBorder="1" applyAlignment="1">
      <alignment horizontal="center" vertical="center"/>
    </xf>
    <xf numFmtId="174" fontId="7" fillId="0" borderId="63" xfId="0" applyNumberFormat="1" applyFont="1" applyFill="1" applyBorder="1" applyAlignment="1">
      <alignment horizontal="center" vertical="center"/>
    </xf>
    <xf numFmtId="174" fontId="7" fillId="0" borderId="74" xfId="0" applyNumberFormat="1" applyFont="1" applyFill="1" applyBorder="1" applyAlignment="1">
      <alignment horizontal="center" vertical="center"/>
    </xf>
    <xf numFmtId="174" fontId="7" fillId="0" borderId="75" xfId="0" applyNumberFormat="1" applyFont="1" applyFill="1" applyBorder="1" applyAlignment="1">
      <alignment horizontal="center" vertical="center"/>
    </xf>
    <xf numFmtId="174" fontId="7" fillId="0" borderId="76" xfId="0" applyNumberFormat="1" applyFont="1" applyFill="1" applyBorder="1" applyAlignment="1">
      <alignment horizontal="center" vertical="center"/>
    </xf>
    <xf numFmtId="174" fontId="7" fillId="0" borderId="40" xfId="0" applyNumberFormat="1" applyFont="1" applyFill="1" applyBorder="1" applyAlignment="1">
      <alignment vertical="center" wrapText="1"/>
    </xf>
    <xf numFmtId="174" fontId="7" fillId="0" borderId="27" xfId="0" applyNumberFormat="1" applyFont="1" applyFill="1" applyBorder="1" applyAlignment="1">
      <alignment horizontal="center" vertical="center"/>
    </xf>
    <xf numFmtId="174" fontId="7" fillId="0" borderId="23" xfId="0" applyNumberFormat="1" applyFont="1" applyFill="1" applyBorder="1" applyAlignment="1">
      <alignment horizontal="center" vertical="center"/>
    </xf>
    <xf numFmtId="174" fontId="7" fillId="0" borderId="25" xfId="0" applyNumberFormat="1" applyFont="1" applyFill="1" applyBorder="1" applyAlignment="1">
      <alignment horizontal="center" vertical="center"/>
    </xf>
    <xf numFmtId="174" fontId="7" fillId="0" borderId="28" xfId="0" applyNumberFormat="1" applyFont="1" applyFill="1" applyBorder="1" applyAlignment="1">
      <alignment horizontal="center" vertical="center"/>
    </xf>
    <xf numFmtId="174" fontId="7" fillId="0" borderId="26" xfId="0" applyNumberFormat="1" applyFont="1" applyFill="1" applyBorder="1" applyAlignment="1">
      <alignment horizontal="center" vertical="center"/>
    </xf>
    <xf numFmtId="174" fontId="7" fillId="0" borderId="77" xfId="0" applyNumberFormat="1" applyFont="1" applyFill="1" applyBorder="1" applyAlignment="1">
      <alignment vertical="center" wrapText="1"/>
    </xf>
    <xf numFmtId="174" fontId="7" fillId="0" borderId="33" xfId="0" applyNumberFormat="1" applyFont="1" applyFill="1" applyBorder="1" applyAlignment="1">
      <alignment horizontal="center" vertical="center"/>
    </xf>
    <xf numFmtId="174" fontId="7" fillId="0" borderId="24" xfId="0" applyNumberFormat="1" applyFont="1" applyFill="1" applyBorder="1" applyAlignment="1">
      <alignment horizontal="center" vertical="center"/>
    </xf>
    <xf numFmtId="174" fontId="7" fillId="0" borderId="31" xfId="0" applyNumberFormat="1" applyFont="1" applyFill="1" applyBorder="1" applyAlignment="1">
      <alignment horizontal="center" vertical="center"/>
    </xf>
    <xf numFmtId="174" fontId="7" fillId="0" borderId="34" xfId="0" applyNumberFormat="1" applyFont="1" applyFill="1" applyBorder="1" applyAlignment="1">
      <alignment horizontal="center" vertical="center"/>
    </xf>
    <xf numFmtId="174" fontId="7" fillId="0" borderId="32" xfId="0" applyNumberFormat="1" applyFont="1" applyFill="1" applyBorder="1" applyAlignment="1">
      <alignment horizontal="center" vertical="center"/>
    </xf>
    <xf numFmtId="174" fontId="7" fillId="0" borderId="55" xfId="0" applyNumberFormat="1" applyFont="1" applyFill="1" applyBorder="1" applyAlignment="1">
      <alignment vertical="center" wrapText="1"/>
    </xf>
    <xf numFmtId="174" fontId="7" fillId="0" borderId="50" xfId="0" applyNumberFormat="1" applyFont="1" applyFill="1" applyBorder="1" applyAlignment="1">
      <alignment horizontal="center" vertical="center"/>
    </xf>
    <xf numFmtId="174" fontId="7" fillId="0" borderId="53" xfId="0" applyNumberFormat="1" applyFont="1" applyFill="1" applyBorder="1" applyAlignment="1">
      <alignment horizontal="center" vertical="center"/>
    </xf>
    <xf numFmtId="174" fontId="7" fillId="0" borderId="54" xfId="0" applyNumberFormat="1" applyFont="1" applyFill="1" applyBorder="1" applyAlignment="1">
      <alignment horizontal="center" vertical="center"/>
    </xf>
    <xf numFmtId="174" fontId="7" fillId="0" borderId="56" xfId="0" applyNumberFormat="1" applyFont="1" applyFill="1" applyBorder="1" applyAlignment="1">
      <alignment horizontal="center" vertical="center"/>
    </xf>
    <xf numFmtId="174" fontId="7" fillId="0" borderId="52" xfId="0" applyNumberFormat="1" applyFont="1" applyFill="1" applyBorder="1" applyAlignment="1">
      <alignment horizontal="center" vertical="center"/>
    </xf>
    <xf numFmtId="174" fontId="4" fillId="0" borderId="53" xfId="0" applyNumberFormat="1" applyFont="1" applyFill="1" applyBorder="1" applyAlignment="1">
      <alignment horizontal="center" vertical="center"/>
    </xf>
    <xf numFmtId="174" fontId="4" fillId="0" borderId="78" xfId="0" applyNumberFormat="1" applyFont="1" applyFill="1" applyBorder="1" applyAlignment="1">
      <alignment vertical="center" wrapText="1"/>
    </xf>
    <xf numFmtId="174" fontId="4" fillId="0" borderId="73" xfId="0" applyNumberFormat="1" applyFont="1" applyFill="1" applyBorder="1" applyAlignment="1">
      <alignment horizontal="center" vertical="center"/>
    </xf>
    <xf numFmtId="174" fontId="4" fillId="0" borderId="63" xfId="0" applyNumberFormat="1" applyFont="1" applyFill="1" applyBorder="1" applyAlignment="1">
      <alignment horizontal="center" vertical="center"/>
    </xf>
    <xf numFmtId="174" fontId="18" fillId="0" borderId="74" xfId="0" applyNumberFormat="1" applyFont="1" applyFill="1" applyBorder="1" applyAlignment="1">
      <alignment horizontal="center" vertical="center"/>
    </xf>
    <xf numFmtId="174" fontId="4" fillId="0" borderId="75" xfId="0" applyNumberFormat="1" applyFont="1" applyFill="1" applyBorder="1" applyAlignment="1">
      <alignment horizontal="center" vertical="center"/>
    </xf>
    <xf numFmtId="174" fontId="4" fillId="0" borderId="29" xfId="0" applyNumberFormat="1" applyFont="1" applyFill="1" applyBorder="1" applyAlignment="1">
      <alignment horizontal="center" vertical="center"/>
    </xf>
    <xf numFmtId="174" fontId="4" fillId="0" borderId="36" xfId="0" applyNumberFormat="1" applyFont="1" applyFill="1" applyBorder="1" applyAlignment="1">
      <alignment horizontal="center" vertical="center"/>
    </xf>
    <xf numFmtId="174" fontId="4" fillId="0" borderId="30" xfId="0" applyNumberFormat="1" applyFont="1" applyFill="1" applyBorder="1" applyAlignment="1">
      <alignment horizontal="center" vertical="center"/>
    </xf>
    <xf numFmtId="174" fontId="4" fillId="0" borderId="76" xfId="0" applyNumberFormat="1" applyFont="1" applyFill="1" applyBorder="1" applyAlignment="1">
      <alignment horizontal="center" vertical="center"/>
    </xf>
    <xf numFmtId="174" fontId="18" fillId="0" borderId="63" xfId="0" applyNumberFormat="1" applyFont="1" applyFill="1" applyBorder="1" applyAlignment="1">
      <alignment horizontal="center" vertical="center"/>
    </xf>
    <xf numFmtId="175" fontId="1" fillId="0" borderId="68" xfId="0" applyNumberFormat="1" applyFont="1" applyFill="1" applyBorder="1" applyAlignment="1">
      <alignment horizontal="center" vertical="center"/>
    </xf>
    <xf numFmtId="175" fontId="0" fillId="0" borderId="69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174" fontId="4" fillId="0" borderId="79" xfId="0" applyNumberFormat="1" applyFont="1" applyFill="1" applyBorder="1" applyAlignment="1">
      <alignment vertical="center" wrapText="1"/>
    </xf>
    <xf numFmtId="174" fontId="4" fillId="0" borderId="27" xfId="0" applyNumberFormat="1" applyFont="1" applyFill="1" applyBorder="1" applyAlignment="1">
      <alignment horizontal="center" vertical="center"/>
    </xf>
    <xf numFmtId="174" fontId="4" fillId="0" borderId="23" xfId="0" applyNumberFormat="1" applyFont="1" applyFill="1" applyBorder="1" applyAlignment="1">
      <alignment horizontal="center" vertical="center"/>
    </xf>
    <xf numFmtId="174" fontId="18" fillId="0" borderId="25" xfId="0" applyNumberFormat="1" applyFont="1" applyFill="1" applyBorder="1" applyAlignment="1">
      <alignment horizontal="center" vertical="center"/>
    </xf>
    <xf numFmtId="174" fontId="4" fillId="0" borderId="28" xfId="0" applyNumberFormat="1" applyFont="1" applyFill="1" applyBorder="1" applyAlignment="1">
      <alignment horizontal="center" vertical="center"/>
    </xf>
    <xf numFmtId="174" fontId="4" fillId="0" borderId="26" xfId="0" applyNumberFormat="1" applyFont="1" applyFill="1" applyBorder="1" applyAlignment="1">
      <alignment horizontal="center" vertical="center"/>
    </xf>
    <xf numFmtId="174" fontId="18" fillId="0" borderId="23" xfId="0" applyNumberFormat="1" applyFont="1" applyFill="1" applyBorder="1" applyAlignment="1">
      <alignment horizontal="center" vertical="center"/>
    </xf>
    <xf numFmtId="175" fontId="1" fillId="0" borderId="80" xfId="0" applyNumberFormat="1" applyFont="1" applyFill="1" applyBorder="1" applyAlignment="1">
      <alignment horizontal="center" vertical="center"/>
    </xf>
    <xf numFmtId="175" fontId="0" fillId="0" borderId="81" xfId="0" applyNumberFormat="1" applyFont="1" applyFill="1" applyBorder="1" applyAlignment="1">
      <alignment horizontal="center" vertical="center"/>
    </xf>
    <xf numFmtId="174" fontId="4" fillId="0" borderId="82" xfId="0" applyNumberFormat="1" applyFont="1" applyFill="1" applyBorder="1" applyAlignment="1">
      <alignment vertical="center" wrapText="1"/>
    </xf>
    <xf numFmtId="174" fontId="4" fillId="0" borderId="25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54" xfId="0" applyNumberFormat="1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vertical="center" wrapText="1"/>
    </xf>
    <xf numFmtId="174" fontId="4" fillId="0" borderId="50" xfId="0" applyNumberFormat="1" applyFont="1" applyFill="1" applyBorder="1" applyAlignment="1">
      <alignment horizontal="center" vertical="center"/>
    </xf>
    <xf numFmtId="174" fontId="4" fillId="0" borderId="54" xfId="0" applyNumberFormat="1" applyFont="1" applyFill="1" applyBorder="1" applyAlignment="1">
      <alignment horizontal="center" vertical="center"/>
    </xf>
    <xf numFmtId="174" fontId="4" fillId="0" borderId="56" xfId="0" applyNumberFormat="1" applyFont="1" applyFill="1" applyBorder="1" applyAlignment="1">
      <alignment horizontal="center" vertical="center"/>
    </xf>
    <xf numFmtId="174" fontId="4" fillId="0" borderId="52" xfId="0" applyNumberFormat="1" applyFont="1" applyFill="1" applyBorder="1" applyAlignment="1">
      <alignment horizontal="center" vertical="center"/>
    </xf>
    <xf numFmtId="174" fontId="0" fillId="0" borderId="68" xfId="0" applyNumberFormat="1" applyFont="1" applyFill="1" applyBorder="1" applyAlignment="1">
      <alignment horizontal="center" vertical="center"/>
    </xf>
    <xf numFmtId="174" fontId="0" fillId="0" borderId="69" xfId="0" applyNumberFormat="1" applyFont="1" applyFill="1" applyBorder="1" applyAlignment="1">
      <alignment horizontal="center" vertical="center"/>
    </xf>
    <xf numFmtId="174" fontId="4" fillId="0" borderId="83" xfId="0" applyNumberFormat="1" applyFont="1" applyFill="1" applyBorder="1" applyAlignment="1">
      <alignment vertical="center" wrapText="1"/>
    </xf>
    <xf numFmtId="174" fontId="18" fillId="0" borderId="37" xfId="0" applyNumberFormat="1" applyFont="1" applyFill="1" applyBorder="1" applyAlignment="1">
      <alignment horizontal="center" vertical="center"/>
    </xf>
    <xf numFmtId="175" fontId="1" fillId="0" borderId="44" xfId="0" applyNumberFormat="1" applyFont="1" applyFill="1" applyBorder="1" applyAlignment="1">
      <alignment horizontal="center" vertical="center"/>
    </xf>
    <xf numFmtId="175" fontId="0" fillId="0" borderId="43" xfId="0" applyNumberFormat="1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174" fontId="0" fillId="0" borderId="64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4" fillId="0" borderId="35" xfId="0" applyNumberFormat="1" applyFont="1" applyFill="1" applyBorder="1" applyAlignment="1">
      <alignment horizontal="center" vertical="center"/>
    </xf>
    <xf numFmtId="174" fontId="18" fillId="0" borderId="36" xfId="0" applyNumberFormat="1" applyFont="1" applyFill="1" applyBorder="1" applyAlignment="1">
      <alignment horizontal="center" vertical="center"/>
    </xf>
    <xf numFmtId="174" fontId="4" fillId="0" borderId="84" xfId="0" applyNumberFormat="1" applyFont="1" applyFill="1" applyBorder="1" applyAlignment="1">
      <alignment vertical="center" wrapText="1"/>
    </xf>
    <xf numFmtId="174" fontId="4" fillId="0" borderId="33" xfId="0" applyNumberFormat="1" applyFont="1" applyFill="1" applyBorder="1" applyAlignment="1">
      <alignment horizontal="center" vertical="center"/>
    </xf>
    <xf numFmtId="174" fontId="4" fillId="0" borderId="24" xfId="0" applyNumberFormat="1" applyFont="1" applyFill="1" applyBorder="1" applyAlignment="1">
      <alignment horizontal="center" vertical="center"/>
    </xf>
    <xf numFmtId="174" fontId="4" fillId="0" borderId="34" xfId="0" applyNumberFormat="1" applyFont="1" applyFill="1" applyBorder="1" applyAlignment="1">
      <alignment horizontal="center" vertical="center"/>
    </xf>
    <xf numFmtId="174" fontId="4" fillId="0" borderId="32" xfId="0" applyNumberFormat="1" applyFont="1" applyFill="1" applyBorder="1" applyAlignment="1">
      <alignment horizontal="center" vertical="center"/>
    </xf>
    <xf numFmtId="174" fontId="0" fillId="0" borderId="65" xfId="0" applyNumberFormat="1" applyFont="1" applyFill="1" applyBorder="1" applyAlignment="1">
      <alignment horizontal="center" vertical="center"/>
    </xf>
    <xf numFmtId="174" fontId="0" fillId="0" borderId="66" xfId="0" applyNumberFormat="1" applyFont="1" applyFill="1" applyBorder="1" applyAlignment="1">
      <alignment horizontal="center" vertical="center"/>
    </xf>
    <xf numFmtId="174" fontId="4" fillId="0" borderId="37" xfId="0" applyNumberFormat="1" applyFont="1" applyFill="1" applyBorder="1" applyAlignment="1">
      <alignment vertical="center" wrapText="1"/>
    </xf>
    <xf numFmtId="175" fontId="1" fillId="0" borderId="35" xfId="0" applyNumberFormat="1" applyFont="1" applyFill="1" applyBorder="1" applyAlignment="1">
      <alignment horizontal="center" vertical="center"/>
    </xf>
    <xf numFmtId="175" fontId="0" fillId="0" borderId="36" xfId="0" applyNumberFormat="1" applyFont="1" applyFill="1" applyBorder="1" applyAlignment="1">
      <alignment horizontal="center" vertical="center"/>
    </xf>
    <xf numFmtId="175" fontId="3" fillId="0" borderId="36" xfId="0" applyNumberFormat="1" applyFont="1" applyFill="1" applyBorder="1" applyAlignment="1">
      <alignment horizontal="center" vertical="center"/>
    </xf>
    <xf numFmtId="175" fontId="3" fillId="0" borderId="3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4" fontId="4" fillId="0" borderId="25" xfId="0" applyNumberFormat="1" applyFont="1" applyFill="1" applyBorder="1" applyAlignment="1">
      <alignment vertical="center" wrapText="1"/>
    </xf>
    <xf numFmtId="175" fontId="1" fillId="0" borderId="26" xfId="0" applyNumberFormat="1" applyFont="1" applyFill="1" applyBorder="1" applyAlignment="1">
      <alignment horizontal="center" vertical="center"/>
    </xf>
    <xf numFmtId="175" fontId="0" fillId="0" borderId="23" xfId="0" applyNumberFormat="1" applyFont="1" applyFill="1" applyBorder="1" applyAlignment="1">
      <alignment horizontal="center" vertical="center"/>
    </xf>
    <xf numFmtId="175" fontId="3" fillId="0" borderId="28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174" fontId="4" fillId="0" borderId="54" xfId="0" applyNumberFormat="1" applyFont="1" applyFill="1" applyBorder="1" applyAlignment="1">
      <alignment vertical="center" wrapText="1"/>
    </xf>
    <xf numFmtId="174" fontId="18" fillId="0" borderId="54" xfId="0" applyNumberFormat="1" applyFont="1" applyFill="1" applyBorder="1" applyAlignment="1">
      <alignment horizontal="center" vertical="center"/>
    </xf>
    <xf numFmtId="174" fontId="18" fillId="0" borderId="53" xfId="0" applyNumberFormat="1" applyFont="1" applyFill="1" applyBorder="1" applyAlignment="1">
      <alignment horizontal="center" vertical="center"/>
    </xf>
    <xf numFmtId="175" fontId="1" fillId="0" borderId="52" xfId="0" applyNumberFormat="1" applyFont="1" applyFill="1" applyBorder="1" applyAlignment="1">
      <alignment horizontal="center" vertical="center"/>
    </xf>
    <xf numFmtId="175" fontId="0" fillId="0" borderId="53" xfId="0" applyNumberFormat="1" applyFont="1" applyFill="1" applyBorder="1" applyAlignment="1">
      <alignment horizontal="center" vertical="center"/>
    </xf>
    <xf numFmtId="175" fontId="3" fillId="0" borderId="53" xfId="0" applyNumberFormat="1" applyFont="1" applyFill="1" applyBorder="1" applyAlignment="1">
      <alignment horizontal="center" vertical="center"/>
    </xf>
    <xf numFmtId="175" fontId="3" fillId="0" borderId="56" xfId="0" applyNumberFormat="1" applyFont="1" applyFill="1" applyBorder="1" applyAlignment="1">
      <alignment horizontal="center" vertical="center"/>
    </xf>
    <xf numFmtId="174" fontId="4" fillId="0" borderId="66" xfId="0" applyNumberFormat="1" applyFont="1" applyFill="1" applyBorder="1" applyAlignment="1">
      <alignment vertical="center" wrapText="1"/>
    </xf>
    <xf numFmtId="174" fontId="4" fillId="0" borderId="57" xfId="0" applyNumberFormat="1" applyFont="1" applyFill="1" applyBorder="1" applyAlignment="1">
      <alignment horizontal="center" vertical="center"/>
    </xf>
    <xf numFmtId="174" fontId="4" fillId="0" borderId="58" xfId="0" applyNumberFormat="1" applyFont="1" applyFill="1" applyBorder="1" applyAlignment="1">
      <alignment horizontal="center" vertical="center"/>
    </xf>
    <xf numFmtId="174" fontId="7" fillId="0" borderId="58" xfId="0" applyNumberFormat="1" applyFont="1" applyFill="1" applyBorder="1" applyAlignment="1">
      <alignment horizontal="center" vertical="center"/>
    </xf>
    <xf numFmtId="174" fontId="7" fillId="0" borderId="59" xfId="0" applyNumberFormat="1" applyFont="1" applyFill="1" applyBorder="1" applyAlignment="1">
      <alignment horizontal="center" vertical="center"/>
    </xf>
    <xf numFmtId="174" fontId="18" fillId="0" borderId="58" xfId="0" applyNumberFormat="1" applyFont="1" applyFill="1" applyBorder="1" applyAlignment="1">
      <alignment horizontal="center" vertical="center"/>
    </xf>
    <xf numFmtId="175" fontId="1" fillId="0" borderId="57" xfId="0" applyNumberFormat="1" applyFont="1" applyFill="1" applyBorder="1" applyAlignment="1">
      <alignment horizontal="center" vertical="center"/>
    </xf>
    <xf numFmtId="175" fontId="0" fillId="0" borderId="59" xfId="0" applyNumberFormat="1" applyFont="1" applyFill="1" applyBorder="1" applyAlignment="1">
      <alignment horizontal="center" vertical="center"/>
    </xf>
    <xf numFmtId="175" fontId="3" fillId="0" borderId="66" xfId="0" applyNumberFormat="1" applyFont="1" applyFill="1" applyBorder="1" applyAlignment="1">
      <alignment horizontal="center" vertical="center"/>
    </xf>
    <xf numFmtId="175" fontId="3" fillId="0" borderId="62" xfId="0" applyNumberFormat="1" applyFont="1" applyFill="1" applyBorder="1" applyAlignment="1">
      <alignment horizontal="center" vertical="center"/>
    </xf>
    <xf numFmtId="174" fontId="4" fillId="0" borderId="18" xfId="0" applyNumberFormat="1" applyFont="1" applyFill="1" applyBorder="1" applyAlignment="1">
      <alignment vertical="center" wrapText="1"/>
    </xf>
    <xf numFmtId="174" fontId="4" fillId="0" borderId="44" xfId="0" applyNumberFormat="1" applyFont="1" applyFill="1" applyBorder="1" applyAlignment="1">
      <alignment horizontal="center" vertical="center"/>
    </xf>
    <xf numFmtId="174" fontId="4" fillId="0" borderId="42" xfId="0" applyNumberFormat="1" applyFont="1" applyFill="1" applyBorder="1" applyAlignment="1">
      <alignment horizontal="center" vertical="center"/>
    </xf>
    <xf numFmtId="174" fontId="7" fillId="0" borderId="42" xfId="0" applyNumberFormat="1" applyFont="1" applyFill="1" applyBorder="1" applyAlignment="1">
      <alignment horizontal="center" vertical="center"/>
    </xf>
    <xf numFmtId="174" fontId="7" fillId="0" borderId="43" xfId="0" applyNumberFormat="1" applyFont="1" applyFill="1" applyBorder="1" applyAlignment="1">
      <alignment horizontal="center" vertical="center"/>
    </xf>
    <xf numFmtId="175" fontId="3" fillId="0" borderId="18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/>
    </xf>
    <xf numFmtId="174" fontId="4" fillId="0" borderId="11" xfId="0" applyNumberFormat="1" applyFont="1" applyFill="1" applyBorder="1" applyAlignment="1">
      <alignment vertical="center" wrapText="1"/>
    </xf>
    <xf numFmtId="174" fontId="4" fillId="0" borderId="68" xfId="0" applyNumberFormat="1" applyFont="1" applyFill="1" applyBorder="1" applyAlignment="1">
      <alignment horizontal="center" vertical="center"/>
    </xf>
    <xf numFmtId="174" fontId="4" fillId="0" borderId="85" xfId="0" applyNumberFormat="1" applyFont="1" applyFill="1" applyBorder="1" applyAlignment="1">
      <alignment horizontal="center" vertical="center"/>
    </xf>
    <xf numFmtId="174" fontId="7" fillId="0" borderId="85" xfId="0" applyNumberFormat="1" applyFont="1" applyFill="1" applyBorder="1" applyAlignment="1">
      <alignment horizontal="center" vertical="center"/>
    </xf>
    <xf numFmtId="174" fontId="7" fillId="0" borderId="69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174" fontId="4" fillId="0" borderId="61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4" fillId="0" borderId="63" xfId="0" applyNumberFormat="1" applyFont="1" applyFill="1" applyBorder="1" applyAlignment="1">
      <alignment vertical="center" wrapText="1"/>
    </xf>
    <xf numFmtId="2" fontId="24" fillId="0" borderId="14" xfId="0" applyNumberFormat="1" applyFont="1" applyFill="1" applyBorder="1" applyAlignment="1">
      <alignment wrapText="1"/>
    </xf>
    <xf numFmtId="174" fontId="4" fillId="0" borderId="23" xfId="0" applyNumberFormat="1" applyFont="1" applyFill="1" applyBorder="1" applyAlignment="1">
      <alignment vertical="center" wrapText="1"/>
    </xf>
    <xf numFmtId="174" fontId="10" fillId="0" borderId="16" xfId="0" applyNumberFormat="1" applyFont="1" applyFill="1" applyBorder="1" applyAlignment="1">
      <alignment horizontal="center" vertical="center"/>
    </xf>
    <xf numFmtId="174" fontId="4" fillId="0" borderId="23" xfId="0" applyNumberFormat="1" applyFont="1" applyFill="1" applyBorder="1" applyAlignment="1">
      <alignment horizontal="center" vertical="center" wrapText="1"/>
    </xf>
    <xf numFmtId="174" fontId="18" fillId="0" borderId="24" xfId="0" applyNumberFormat="1" applyFont="1" applyFill="1" applyBorder="1" applyAlignment="1">
      <alignment horizontal="center" vertical="center"/>
    </xf>
    <xf numFmtId="174" fontId="69" fillId="0" borderId="29" xfId="0" applyNumberFormat="1" applyFont="1" applyFill="1" applyBorder="1" applyAlignment="1">
      <alignment horizontal="center" vertical="center"/>
    </xf>
    <xf numFmtId="2" fontId="24" fillId="0" borderId="14" xfId="0" applyNumberFormat="1" applyFont="1" applyFill="1" applyBorder="1" applyAlignment="1">
      <alignment horizontal="center" wrapText="1"/>
    </xf>
    <xf numFmtId="174" fontId="69" fillId="0" borderId="27" xfId="0" applyNumberFormat="1" applyFont="1" applyFill="1" applyBorder="1" applyAlignment="1">
      <alignment horizontal="center" vertical="center"/>
    </xf>
    <xf numFmtId="174" fontId="4" fillId="0" borderId="24" xfId="0" applyNumberFormat="1" applyFont="1" applyFill="1" applyBorder="1" applyAlignment="1">
      <alignment vertical="center" wrapText="1"/>
    </xf>
    <xf numFmtId="174" fontId="18" fillId="0" borderId="31" xfId="0" applyNumberFormat="1" applyFont="1" applyFill="1" applyBorder="1" applyAlignment="1">
      <alignment horizontal="center" vertical="center"/>
    </xf>
    <xf numFmtId="174" fontId="4" fillId="0" borderId="70" xfId="0" applyNumberFormat="1" applyFont="1" applyFill="1" applyBorder="1" applyAlignment="1">
      <alignment horizontal="center" vertical="center"/>
    </xf>
    <xf numFmtId="174" fontId="4" fillId="0" borderId="71" xfId="0" applyNumberFormat="1" applyFont="1" applyFill="1" applyBorder="1" applyAlignment="1">
      <alignment horizontal="center" vertical="center"/>
    </xf>
    <xf numFmtId="174" fontId="4" fillId="0" borderId="86" xfId="0" applyNumberFormat="1" applyFont="1" applyFill="1" applyBorder="1" applyAlignment="1">
      <alignment horizontal="center" vertical="center"/>
    </xf>
    <xf numFmtId="174" fontId="4" fillId="0" borderId="80" xfId="0" applyNumberFormat="1" applyFont="1" applyFill="1" applyBorder="1" applyAlignment="1">
      <alignment horizontal="center" vertical="center"/>
    </xf>
    <xf numFmtId="174" fontId="69" fillId="0" borderId="70" xfId="0" applyNumberFormat="1" applyFont="1" applyFill="1" applyBorder="1" applyAlignment="1">
      <alignment horizontal="center" vertical="center"/>
    </xf>
    <xf numFmtId="174" fontId="18" fillId="0" borderId="71" xfId="0" applyNumberFormat="1" applyFont="1" applyFill="1" applyBorder="1" applyAlignment="1">
      <alignment horizontal="center" vertical="center"/>
    </xf>
    <xf numFmtId="174" fontId="4" fillId="0" borderId="37" xfId="0" applyNumberFormat="1" applyFont="1" applyFill="1" applyBorder="1" applyAlignment="1">
      <alignment horizontal="center" vertical="center"/>
    </xf>
    <xf numFmtId="175" fontId="1" fillId="0" borderId="32" xfId="0" applyNumberFormat="1" applyFont="1" applyFill="1" applyBorder="1" applyAlignment="1">
      <alignment horizontal="center" vertical="center"/>
    </xf>
    <xf numFmtId="175" fontId="0" fillId="0" borderId="31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left" vertical="center" wrapText="1"/>
    </xf>
    <xf numFmtId="175" fontId="0" fillId="0" borderId="0" xfId="0" applyNumberFormat="1" applyFont="1" applyFill="1" applyBorder="1" applyAlignment="1">
      <alignment horizontal="center" vertical="center"/>
    </xf>
    <xf numFmtId="174" fontId="4" fillId="0" borderId="29" xfId="0" applyNumberFormat="1" applyFont="1" applyFill="1" applyBorder="1" applyAlignment="1">
      <alignment horizontal="center" vertical="center" wrapText="1"/>
    </xf>
    <xf numFmtId="174" fontId="4" fillId="0" borderId="36" xfId="0" applyNumberFormat="1" applyFont="1" applyFill="1" applyBorder="1" applyAlignment="1">
      <alignment horizontal="center" vertical="center" wrapText="1"/>
    </xf>
    <xf numFmtId="174" fontId="4" fillId="0" borderId="30" xfId="0" applyNumberFormat="1" applyFont="1" applyFill="1" applyBorder="1" applyAlignment="1">
      <alignment horizontal="center" vertical="center" wrapText="1"/>
    </xf>
    <xf numFmtId="174" fontId="4" fillId="0" borderId="35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174" fontId="4" fillId="0" borderId="26" xfId="0" applyNumberFormat="1" applyFont="1" applyFill="1" applyBorder="1" applyAlignment="1">
      <alignment horizontal="center" vertical="center" wrapText="1"/>
    </xf>
    <xf numFmtId="174" fontId="4" fillId="0" borderId="39" xfId="0" applyNumberFormat="1" applyFont="1" applyFill="1" applyBorder="1" applyAlignment="1">
      <alignment horizontal="center"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174" fontId="4" fillId="0" borderId="28" xfId="0" applyNumberFormat="1" applyFont="1" applyFill="1" applyBorder="1" applyAlignment="1">
      <alignment horizontal="center" vertical="center" wrapText="1"/>
    </xf>
    <xf numFmtId="174" fontId="4" fillId="0" borderId="25" xfId="0" applyNumberFormat="1" applyFont="1" applyFill="1" applyBorder="1" applyAlignment="1">
      <alignment horizontal="center" vertical="center" wrapText="1"/>
    </xf>
    <xf numFmtId="174" fontId="4" fillId="0" borderId="33" xfId="0" applyNumberFormat="1" applyFont="1" applyFill="1" applyBorder="1" applyAlignment="1">
      <alignment horizontal="center" vertical="center" wrapText="1"/>
    </xf>
    <xf numFmtId="174" fontId="4" fillId="0" borderId="24" xfId="0" applyNumberFormat="1" applyFont="1" applyFill="1" applyBorder="1" applyAlignment="1">
      <alignment horizontal="center" vertical="center" wrapText="1"/>
    </xf>
    <xf numFmtId="174" fontId="4" fillId="0" borderId="34" xfId="0" applyNumberFormat="1" applyFont="1" applyFill="1" applyBorder="1" applyAlignment="1">
      <alignment horizontal="center" vertical="center" wrapText="1"/>
    </xf>
    <xf numFmtId="174" fontId="4" fillId="0" borderId="32" xfId="0" applyNumberFormat="1" applyFont="1" applyFill="1" applyBorder="1" applyAlignment="1">
      <alignment horizontal="center" vertical="center" wrapText="1"/>
    </xf>
    <xf numFmtId="174" fontId="4" fillId="0" borderId="47" xfId="0" applyNumberFormat="1" applyFont="1" applyFill="1" applyBorder="1" applyAlignment="1">
      <alignment horizontal="center" vertical="center" wrapText="1"/>
    </xf>
    <xf numFmtId="174" fontId="4" fillId="0" borderId="46" xfId="0" applyNumberFormat="1" applyFont="1" applyFill="1" applyBorder="1" applyAlignment="1">
      <alignment horizontal="center" vertical="center" wrapText="1"/>
    </xf>
    <xf numFmtId="175" fontId="3" fillId="0" borderId="57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0" borderId="16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wrapText="1"/>
    </xf>
    <xf numFmtId="174" fontId="4" fillId="0" borderId="11" xfId="0" applyNumberFormat="1" applyFont="1" applyFill="1" applyBorder="1" applyAlignment="1">
      <alignment horizontal="center" vertical="center"/>
    </xf>
    <xf numFmtId="174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1" xfId="0" applyNumberFormat="1" applyFont="1" applyFill="1" applyBorder="1" applyAlignment="1">
      <alignment horizontal="left" vertical="center" wrapText="1"/>
    </xf>
    <xf numFmtId="174" fontId="4" fillId="0" borderId="48" xfId="0" applyNumberFormat="1" applyFont="1" applyFill="1" applyBorder="1" applyAlignment="1">
      <alignment horizontal="center" vertical="center" wrapText="1"/>
    </xf>
    <xf numFmtId="174" fontId="18" fillId="0" borderId="49" xfId="0" applyNumberFormat="1" applyFont="1" applyFill="1" applyBorder="1" applyAlignment="1">
      <alignment horizontal="center" vertical="center"/>
    </xf>
    <xf numFmtId="174" fontId="4" fillId="0" borderId="48" xfId="0" applyNumberFormat="1" applyFont="1" applyFill="1" applyBorder="1" applyAlignment="1">
      <alignment horizontal="center" vertical="center"/>
    </xf>
    <xf numFmtId="174" fontId="4" fillId="0" borderId="69" xfId="0" applyNumberFormat="1" applyFont="1" applyFill="1" applyBorder="1" applyAlignment="1">
      <alignment horizontal="center" vertical="center"/>
    </xf>
    <xf numFmtId="174" fontId="4" fillId="0" borderId="49" xfId="0" applyNumberFormat="1" applyFont="1" applyFill="1" applyBorder="1" applyAlignment="1">
      <alignment horizontal="center" vertical="center"/>
    </xf>
    <xf numFmtId="174" fontId="4" fillId="0" borderId="85" xfId="0" applyNumberFormat="1" applyFont="1" applyFill="1" applyBorder="1" applyAlignment="1">
      <alignment horizontal="center" vertical="center" wrapText="1"/>
    </xf>
    <xf numFmtId="174" fontId="4" fillId="0" borderId="49" xfId="0" applyNumberFormat="1" applyFont="1" applyFill="1" applyBorder="1" applyAlignment="1">
      <alignment horizontal="center" vertical="center" wrapText="1"/>
    </xf>
    <xf numFmtId="174" fontId="18" fillId="0" borderId="85" xfId="0" applyNumberFormat="1" applyFont="1" applyFill="1" applyBorder="1" applyAlignment="1">
      <alignment horizontal="center" vertical="center"/>
    </xf>
    <xf numFmtId="174" fontId="18" fillId="0" borderId="69" xfId="0" applyNumberFormat="1" applyFont="1" applyFill="1" applyBorder="1" applyAlignment="1">
      <alignment horizontal="center" vertical="center"/>
    </xf>
    <xf numFmtId="174" fontId="4" fillId="0" borderId="85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left" vertical="center" wrapText="1"/>
    </xf>
    <xf numFmtId="191" fontId="20" fillId="0" borderId="18" xfId="0" applyNumberFormat="1" applyFont="1" applyFill="1" applyBorder="1" applyAlignment="1">
      <alignment horizontal="center" vertical="center" wrapText="1"/>
    </xf>
    <xf numFmtId="191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91" fontId="4" fillId="0" borderId="18" xfId="0" applyNumberFormat="1" applyFont="1" applyFill="1" applyBorder="1" applyAlignment="1">
      <alignment horizontal="left" vertical="center" wrapText="1"/>
    </xf>
    <xf numFmtId="191" fontId="4" fillId="0" borderId="60" xfId="0" applyNumberFormat="1" applyFont="1" applyFill="1" applyBorder="1" applyAlignment="1">
      <alignment horizontal="center" vertical="center"/>
    </xf>
    <xf numFmtId="191" fontId="4" fillId="0" borderId="58" xfId="0" applyNumberFormat="1" applyFont="1" applyFill="1" applyBorder="1" applyAlignment="1">
      <alignment horizontal="center" vertical="center" wrapText="1"/>
    </xf>
    <xf numFmtId="191" fontId="4" fillId="0" borderId="61" xfId="0" applyNumberFormat="1" applyFont="1" applyFill="1" applyBorder="1" applyAlignment="1">
      <alignment horizontal="center" vertical="center" wrapText="1"/>
    </xf>
    <xf numFmtId="191" fontId="4" fillId="0" borderId="57" xfId="0" applyNumberFormat="1" applyFont="1" applyFill="1" applyBorder="1" applyAlignment="1">
      <alignment horizontal="center" vertical="center"/>
    </xf>
    <xf numFmtId="191" fontId="4" fillId="0" borderId="58" xfId="0" applyNumberFormat="1" applyFont="1" applyFill="1" applyBorder="1" applyAlignment="1">
      <alignment horizontal="center" vertical="center"/>
    </xf>
    <xf numFmtId="191" fontId="4" fillId="0" borderId="59" xfId="0" applyNumberFormat="1" applyFont="1" applyFill="1" applyBorder="1" applyAlignment="1">
      <alignment horizontal="center" vertical="center"/>
    </xf>
    <xf numFmtId="191" fontId="4" fillId="0" borderId="61" xfId="0" applyNumberFormat="1" applyFont="1" applyFill="1" applyBorder="1" applyAlignment="1">
      <alignment horizontal="center" vertical="center"/>
    </xf>
    <xf numFmtId="191" fontId="4" fillId="0" borderId="60" xfId="0" applyNumberFormat="1" applyFont="1" applyFill="1" applyBorder="1" applyAlignment="1">
      <alignment horizontal="center" vertical="center" wrapText="1"/>
    </xf>
    <xf numFmtId="191" fontId="18" fillId="0" borderId="58" xfId="0" applyNumberFormat="1" applyFont="1" applyFill="1" applyBorder="1" applyAlignment="1">
      <alignment horizontal="center" vertical="center"/>
    </xf>
    <xf numFmtId="191" fontId="18" fillId="0" borderId="59" xfId="0" applyNumberFormat="1" applyFont="1" applyFill="1" applyBorder="1" applyAlignment="1">
      <alignment horizontal="center" vertical="center"/>
    </xf>
    <xf numFmtId="191" fontId="4" fillId="0" borderId="58" xfId="0" applyNumberFormat="1" applyFont="1" applyFill="1" applyBorder="1" applyAlignment="1">
      <alignment/>
    </xf>
    <xf numFmtId="175" fontId="18" fillId="0" borderId="80" xfId="0" applyNumberFormat="1" applyFont="1" applyFill="1" applyBorder="1" applyAlignment="1">
      <alignment horizontal="center" vertical="center"/>
    </xf>
    <xf numFmtId="175" fontId="4" fillId="0" borderId="81" xfId="0" applyNumberFormat="1" applyFont="1" applyFill="1" applyBorder="1" applyAlignment="1">
      <alignment horizontal="center" vertical="center"/>
    </xf>
    <xf numFmtId="175" fontId="4" fillId="0" borderId="0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74" fontId="7" fillId="0" borderId="29" xfId="0" applyNumberFormat="1" applyFont="1" applyFill="1" applyBorder="1" applyAlignment="1">
      <alignment horizontal="center"/>
    </xf>
    <xf numFmtId="174" fontId="7" fillId="0" borderId="36" xfId="0" applyNumberFormat="1" applyFont="1" applyFill="1" applyBorder="1" applyAlignment="1">
      <alignment horizontal="center"/>
    </xf>
    <xf numFmtId="174" fontId="7" fillId="0" borderId="30" xfId="0" applyNumberFormat="1" applyFont="1" applyFill="1" applyBorder="1" applyAlignment="1">
      <alignment horizontal="center"/>
    </xf>
    <xf numFmtId="174" fontId="7" fillId="0" borderId="37" xfId="0" applyNumberFormat="1" applyFont="1" applyFill="1" applyBorder="1" applyAlignment="1">
      <alignment horizontal="center"/>
    </xf>
    <xf numFmtId="174" fontId="7" fillId="0" borderId="35" xfId="0" applyNumberFormat="1" applyFont="1" applyFill="1" applyBorder="1" applyAlignment="1">
      <alignment horizontal="center"/>
    </xf>
    <xf numFmtId="174" fontId="7" fillId="0" borderId="87" xfId="0" applyNumberFormat="1" applyFont="1" applyFill="1" applyBorder="1" applyAlignment="1">
      <alignment horizontal="center"/>
    </xf>
    <xf numFmtId="174" fontId="7" fillId="0" borderId="83" xfId="0" applyNumberFormat="1" applyFont="1" applyFill="1" applyBorder="1" applyAlignment="1">
      <alignment horizontal="center"/>
    </xf>
    <xf numFmtId="174" fontId="7" fillId="0" borderId="21" xfId="0" applyNumberFormat="1" applyFont="1" applyFill="1" applyBorder="1" applyAlignment="1">
      <alignment horizontal="center"/>
    </xf>
    <xf numFmtId="174" fontId="7" fillId="0" borderId="73" xfId="0" applyNumberFormat="1" applyFont="1" applyFill="1" applyBorder="1" applyAlignment="1">
      <alignment horizontal="center"/>
    </xf>
    <xf numFmtId="174" fontId="7" fillId="0" borderId="63" xfId="0" applyNumberFormat="1" applyFont="1" applyFill="1" applyBorder="1" applyAlignment="1">
      <alignment horizontal="center"/>
    </xf>
    <xf numFmtId="174" fontId="7" fillId="0" borderId="75" xfId="0" applyNumberFormat="1" applyFont="1" applyFill="1" applyBorder="1" applyAlignment="1">
      <alignment horizontal="center"/>
    </xf>
    <xf numFmtId="174" fontId="7" fillId="0" borderId="74" xfId="0" applyNumberFormat="1" applyFont="1" applyFill="1" applyBorder="1" applyAlignment="1">
      <alignment horizontal="center"/>
    </xf>
    <xf numFmtId="174" fontId="7" fillId="0" borderId="76" xfId="0" applyNumberFormat="1" applyFont="1" applyFill="1" applyBorder="1" applyAlignment="1">
      <alignment horizontal="center"/>
    </xf>
    <xf numFmtId="174" fontId="7" fillId="0" borderId="88" xfId="0" applyNumberFormat="1" applyFont="1" applyFill="1" applyBorder="1" applyAlignment="1">
      <alignment horizontal="center"/>
    </xf>
    <xf numFmtId="174" fontId="7" fillId="0" borderId="78" xfId="0" applyNumberFormat="1" applyFont="1" applyFill="1" applyBorder="1" applyAlignment="1">
      <alignment horizontal="center"/>
    </xf>
    <xf numFmtId="174" fontId="7" fillId="0" borderId="19" xfId="0" applyNumberFormat="1" applyFont="1" applyFill="1" applyBorder="1" applyAlignment="1">
      <alignment horizontal="center"/>
    </xf>
    <xf numFmtId="174" fontId="7" fillId="0" borderId="27" xfId="0" applyNumberFormat="1" applyFont="1" applyFill="1" applyBorder="1" applyAlignment="1">
      <alignment horizontal="center"/>
    </xf>
    <xf numFmtId="174" fontId="7" fillId="0" borderId="23" xfId="0" applyNumberFormat="1" applyFont="1" applyFill="1" applyBorder="1" applyAlignment="1">
      <alignment horizontal="center"/>
    </xf>
    <xf numFmtId="174" fontId="7" fillId="0" borderId="28" xfId="0" applyNumberFormat="1" applyFont="1" applyFill="1" applyBorder="1" applyAlignment="1">
      <alignment horizontal="center"/>
    </xf>
    <xf numFmtId="174" fontId="7" fillId="0" borderId="25" xfId="0" applyNumberFormat="1" applyFont="1" applyFill="1" applyBorder="1" applyAlignment="1">
      <alignment horizontal="center"/>
    </xf>
    <xf numFmtId="174" fontId="7" fillId="0" borderId="26" xfId="0" applyNumberFormat="1" applyFont="1" applyFill="1" applyBorder="1" applyAlignment="1">
      <alignment horizontal="center"/>
    </xf>
    <xf numFmtId="174" fontId="7" fillId="0" borderId="39" xfId="0" applyNumberFormat="1" applyFont="1" applyFill="1" applyBorder="1" applyAlignment="1">
      <alignment horizontal="center"/>
    </xf>
    <xf numFmtId="174" fontId="7" fillId="0" borderId="79" xfId="0" applyNumberFormat="1" applyFont="1" applyFill="1" applyBorder="1" applyAlignment="1">
      <alignment horizontal="center"/>
    </xf>
    <xf numFmtId="174" fontId="7" fillId="0" borderId="4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174" fontId="7" fillId="0" borderId="51" xfId="0" applyNumberFormat="1" applyFont="1" applyFill="1" applyBorder="1" applyAlignment="1">
      <alignment horizontal="center"/>
    </xf>
    <xf numFmtId="174" fontId="7" fillId="0" borderId="82" xfId="0" applyNumberFormat="1" applyFont="1" applyFill="1" applyBorder="1" applyAlignment="1">
      <alignment horizontal="center"/>
    </xf>
    <xf numFmtId="174" fontId="7" fillId="0" borderId="55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vertical="center" wrapText="1"/>
    </xf>
    <xf numFmtId="174" fontId="7" fillId="0" borderId="33" xfId="0" applyNumberFormat="1" applyFont="1" applyFill="1" applyBorder="1" applyAlignment="1">
      <alignment horizontal="center"/>
    </xf>
    <xf numFmtId="174" fontId="7" fillId="0" borderId="24" xfId="0" applyNumberFormat="1" applyFont="1" applyFill="1" applyBorder="1" applyAlignment="1">
      <alignment horizontal="center"/>
    </xf>
    <xf numFmtId="174" fontId="7" fillId="0" borderId="34" xfId="0" applyNumberFormat="1" applyFont="1" applyFill="1" applyBorder="1" applyAlignment="1">
      <alignment horizontal="center"/>
    </xf>
    <xf numFmtId="174" fontId="7" fillId="0" borderId="31" xfId="0" applyNumberFormat="1" applyFont="1" applyFill="1" applyBorder="1" applyAlignment="1">
      <alignment horizontal="center"/>
    </xf>
    <xf numFmtId="174" fontId="7" fillId="0" borderId="3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174" fontId="7" fillId="0" borderId="11" xfId="0" applyNumberFormat="1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0" fontId="7" fillId="0" borderId="66" xfId="0" applyFont="1" applyFill="1" applyBorder="1" applyAlignment="1">
      <alignment vertical="center" wrapText="1"/>
    </xf>
    <xf numFmtId="174" fontId="7" fillId="0" borderId="67" xfId="0" applyNumberFormat="1" applyFont="1" applyFill="1" applyBorder="1" applyAlignment="1">
      <alignment horizontal="center"/>
    </xf>
    <xf numFmtId="174" fontId="7" fillId="0" borderId="17" xfId="0" applyNumberFormat="1" applyFont="1" applyFill="1" applyBorder="1" applyAlignment="1">
      <alignment horizontal="center"/>
    </xf>
    <xf numFmtId="174" fontId="4" fillId="0" borderId="21" xfId="0" applyNumberFormat="1" applyFont="1" applyFill="1" applyBorder="1" applyAlignment="1">
      <alignment vertical="center" wrapText="1"/>
    </xf>
    <xf numFmtId="174" fontId="4" fillId="0" borderId="4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174" fontId="4" fillId="0" borderId="35" xfId="0" applyNumberFormat="1" applyFont="1" applyFill="1" applyBorder="1" applyAlignment="1">
      <alignment/>
    </xf>
    <xf numFmtId="174" fontId="4" fillId="0" borderId="36" xfId="0" applyNumberFormat="1" applyFont="1" applyFill="1" applyBorder="1" applyAlignment="1">
      <alignment/>
    </xf>
    <xf numFmtId="0" fontId="4" fillId="0" borderId="69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171" fontId="33" fillId="0" borderId="0" xfId="6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4" fontId="4" fillId="0" borderId="77" xfId="0" applyNumberFormat="1" applyFont="1" applyFill="1" applyBorder="1" applyAlignment="1">
      <alignment vertical="center" wrapText="1"/>
    </xf>
    <xf numFmtId="174" fontId="4" fillId="0" borderId="32" xfId="0" applyNumberFormat="1" applyFont="1" applyFill="1" applyBorder="1" applyAlignment="1">
      <alignment horizontal="center"/>
    </xf>
    <xf numFmtId="174" fontId="4" fillId="0" borderId="24" xfId="0" applyNumberFormat="1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 horizontal="center"/>
    </xf>
    <xf numFmtId="174" fontId="4" fillId="0" borderId="33" xfId="0" applyNumberFormat="1" applyFont="1" applyFill="1" applyBorder="1" applyAlignment="1">
      <alignment horizontal="center"/>
    </xf>
    <xf numFmtId="174" fontId="4" fillId="0" borderId="34" xfId="0" applyNumberFormat="1" applyFont="1" applyFill="1" applyBorder="1" applyAlignment="1">
      <alignment horizontal="center"/>
    </xf>
    <xf numFmtId="0" fontId="11" fillId="0" borderId="81" xfId="0" applyFont="1" applyFill="1" applyBorder="1" applyAlignment="1">
      <alignment horizontal="left" wrapText="1"/>
    </xf>
    <xf numFmtId="174" fontId="4" fillId="0" borderId="70" xfId="0" applyNumberFormat="1" applyFont="1" applyFill="1" applyBorder="1" applyAlignment="1">
      <alignment/>
    </xf>
    <xf numFmtId="174" fontId="4" fillId="0" borderId="71" xfId="0" applyNumberFormat="1" applyFont="1" applyFill="1" applyBorder="1" applyAlignment="1">
      <alignment/>
    </xf>
    <xf numFmtId="174" fontId="4" fillId="0" borderId="86" xfId="0" applyNumberFormat="1" applyFont="1" applyFill="1" applyBorder="1" applyAlignment="1">
      <alignment/>
    </xf>
    <xf numFmtId="174" fontId="4" fillId="0" borderId="80" xfId="0" applyNumberFormat="1" applyFont="1" applyFill="1" applyBorder="1" applyAlignment="1">
      <alignment/>
    </xf>
    <xf numFmtId="174" fontId="4" fillId="0" borderId="81" xfId="0" applyNumberFormat="1" applyFont="1" applyFill="1" applyBorder="1" applyAlignment="1">
      <alignment/>
    </xf>
    <xf numFmtId="174" fontId="0" fillId="0" borderId="71" xfId="0" applyNumberFormat="1" applyFont="1" applyFill="1" applyBorder="1" applyAlignment="1">
      <alignment/>
    </xf>
    <xf numFmtId="174" fontId="0" fillId="0" borderId="86" xfId="0" applyNumberFormat="1" applyFont="1" applyFill="1" applyBorder="1" applyAlignment="1">
      <alignment/>
    </xf>
    <xf numFmtId="174" fontId="0" fillId="0" borderId="70" xfId="0" applyNumberFormat="1" applyFont="1" applyFill="1" applyBorder="1" applyAlignment="1">
      <alignment/>
    </xf>
    <xf numFmtId="174" fontId="0" fillId="0" borderId="80" xfId="0" applyNumberFormat="1" applyFont="1" applyFill="1" applyBorder="1" applyAlignment="1">
      <alignment/>
    </xf>
    <xf numFmtId="174" fontId="0" fillId="0" borderId="81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86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75" fontId="18" fillId="0" borderId="68" xfId="0" applyNumberFormat="1" applyFont="1" applyFill="1" applyBorder="1" applyAlignment="1">
      <alignment horizontal="center" vertical="center"/>
    </xf>
    <xf numFmtId="175" fontId="4" fillId="0" borderId="69" xfId="0" applyNumberFormat="1" applyFont="1" applyFill="1" applyBorder="1" applyAlignment="1">
      <alignment horizontal="center" vertical="center"/>
    </xf>
    <xf numFmtId="175" fontId="4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75" fontId="3" fillId="0" borderId="68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34" borderId="29" xfId="0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7" fillId="33" borderId="0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left" vertical="center" wrapText="1"/>
    </xf>
    <xf numFmtId="0" fontId="1" fillId="33" borderId="7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4" fontId="4" fillId="0" borderId="62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66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4" fontId="4" fillId="0" borderId="62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25" fillId="0" borderId="0" xfId="0" applyNumberFormat="1" applyFont="1" applyFill="1" applyBorder="1" applyAlignment="1">
      <alignment horizontal="left"/>
    </xf>
    <xf numFmtId="174" fontId="7" fillId="0" borderId="16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174" fontId="7" fillId="0" borderId="15" xfId="0" applyNumberFormat="1" applyFont="1" applyFill="1" applyBorder="1" applyAlignment="1">
      <alignment horizontal="left" vertical="center" wrapText="1"/>
    </xf>
    <xf numFmtId="174" fontId="16" fillId="0" borderId="66" xfId="0" applyNumberFormat="1" applyFont="1" applyFill="1" applyBorder="1" applyAlignment="1">
      <alignment horizontal="center" wrapText="1"/>
    </xf>
    <xf numFmtId="174" fontId="16" fillId="0" borderId="16" xfId="0" applyNumberFormat="1" applyFont="1" applyFill="1" applyBorder="1" applyAlignment="1">
      <alignment horizontal="center" wrapText="1"/>
    </xf>
    <xf numFmtId="174" fontId="16" fillId="0" borderId="11" xfId="0" applyNumberFormat="1" applyFont="1" applyFill="1" applyBorder="1" applyAlignment="1">
      <alignment horizontal="center" wrapText="1"/>
    </xf>
    <xf numFmtId="0" fontId="4" fillId="0" borderId="7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7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/>
    </xf>
    <xf numFmtId="0" fontId="30" fillId="0" borderId="7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9" fontId="26" fillId="0" borderId="18" xfId="60" applyNumberFormat="1" applyFont="1" applyFill="1" applyBorder="1" applyAlignment="1">
      <alignment horizontal="center" vertical="center" wrapText="1"/>
    </xf>
    <xf numFmtId="189" fontId="26" fillId="0" borderId="64" xfId="60" applyNumberFormat="1" applyFont="1" applyFill="1" applyBorder="1" applyAlignment="1">
      <alignment horizontal="center" vertical="center" wrapText="1"/>
    </xf>
    <xf numFmtId="174" fontId="4" fillId="0" borderId="57" xfId="0" applyNumberFormat="1" applyFont="1" applyFill="1" applyBorder="1" applyAlignment="1">
      <alignment horizontal="center" vertical="center" wrapText="1"/>
    </xf>
    <xf numFmtId="174" fontId="4" fillId="0" borderId="80" xfId="0" applyNumberFormat="1" applyFont="1" applyFill="1" applyBorder="1" applyAlignment="1">
      <alignment horizontal="center" vertical="center" wrapText="1"/>
    </xf>
    <xf numFmtId="174" fontId="4" fillId="0" borderId="6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2" fontId="24" fillId="0" borderId="62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75" fontId="20" fillId="0" borderId="62" xfId="0" applyNumberFormat="1" applyFont="1" applyFill="1" applyBorder="1" applyAlignment="1">
      <alignment horizontal="center" vertical="center" wrapText="1"/>
    </xf>
    <xf numFmtId="175" fontId="20" fillId="0" borderId="14" xfId="0" applyNumberFormat="1" applyFont="1" applyFill="1" applyBorder="1" applyAlignment="1">
      <alignment horizontal="center" vertical="center" wrapText="1"/>
    </xf>
    <xf numFmtId="175" fontId="20" fillId="0" borderId="10" xfId="0" applyNumberFormat="1" applyFont="1" applyFill="1" applyBorder="1" applyAlignment="1">
      <alignment horizontal="center" vertical="center" wrapText="1"/>
    </xf>
    <xf numFmtId="2" fontId="24" fillId="0" borderId="77" xfId="0" applyNumberFormat="1" applyFont="1" applyFill="1" applyBorder="1" applyAlignment="1">
      <alignment horizontal="center" vertical="top" wrapText="1"/>
    </xf>
    <xf numFmtId="2" fontId="24" fillId="0" borderId="14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175" fontId="20" fillId="0" borderId="77" xfId="0" applyNumberFormat="1" applyFont="1" applyFill="1" applyBorder="1" applyAlignment="1">
      <alignment horizontal="center" vertical="top" wrapText="1"/>
    </xf>
    <xf numFmtId="175" fontId="27" fillId="0" borderId="14" xfId="0" applyNumberFormat="1" applyFont="1" applyFill="1" applyBorder="1" applyAlignment="1">
      <alignment horizontal="center" vertical="top" wrapText="1"/>
    </xf>
    <xf numFmtId="175" fontId="27" fillId="0" borderId="10" xfId="0" applyNumberFormat="1" applyFont="1" applyFill="1" applyBorder="1" applyAlignment="1">
      <alignment horizontal="center" vertical="top" wrapText="1"/>
    </xf>
    <xf numFmtId="175" fontId="27" fillId="0" borderId="14" xfId="0" applyNumberFormat="1" applyFont="1" applyFill="1" applyBorder="1" applyAlignment="1">
      <alignment horizont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5" fontId="20" fillId="0" borderId="77" xfId="0" applyNumberFormat="1" applyFont="1" applyFill="1" applyBorder="1" applyAlignment="1">
      <alignment horizontal="center" vertical="center" wrapText="1"/>
    </xf>
    <xf numFmtId="175" fontId="20" fillId="0" borderId="62" xfId="0" applyNumberFormat="1" applyFont="1" applyFill="1" applyBorder="1" applyAlignment="1">
      <alignment horizontal="center" vertical="top" wrapText="1"/>
    </xf>
    <xf numFmtId="175" fontId="20" fillId="0" borderId="14" xfId="0" applyNumberFormat="1" applyFont="1" applyFill="1" applyBorder="1" applyAlignment="1">
      <alignment horizontal="center" vertical="top" wrapText="1"/>
    </xf>
    <xf numFmtId="175" fontId="20" fillId="0" borderId="10" xfId="0" applyNumberFormat="1" applyFont="1" applyFill="1" applyBorder="1" applyAlignment="1">
      <alignment horizontal="center" vertical="top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0" fillId="0" borderId="18" xfId="0" applyFont="1" applyFill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189" fontId="26" fillId="0" borderId="0" xfId="60" applyNumberFormat="1" applyFont="1" applyFill="1" applyAlignment="1">
      <alignment horizontal="center" vertical="center" wrapText="1"/>
    </xf>
    <xf numFmtId="0" fontId="26" fillId="0" borderId="41" xfId="0" applyFont="1" applyFill="1" applyBorder="1" applyAlignment="1">
      <alignment horizontal="center" wrapText="1"/>
    </xf>
    <xf numFmtId="0" fontId="26" fillId="0" borderId="45" xfId="0" applyFont="1" applyFill="1" applyBorder="1" applyAlignment="1">
      <alignment horizontal="center" wrapText="1"/>
    </xf>
    <xf numFmtId="0" fontId="26" fillId="0" borderId="6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wrapText="1"/>
    </xf>
    <xf numFmtId="0" fontId="26" fillId="0" borderId="64" xfId="0" applyFont="1" applyFill="1" applyBorder="1" applyAlignment="1">
      <alignment horizontal="center" wrapText="1"/>
    </xf>
    <xf numFmtId="0" fontId="26" fillId="0" borderId="67" xfId="0" applyFont="1" applyFill="1" applyBorder="1" applyAlignment="1">
      <alignment horizontal="center" wrapText="1"/>
    </xf>
    <xf numFmtId="175" fontId="4" fillId="0" borderId="62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175" fontId="4" fillId="0" borderId="72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0" fontId="20" fillId="0" borderId="6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65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174" fontId="4" fillId="0" borderId="84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4" fontId="10" fillId="0" borderId="14" xfId="0" applyNumberFormat="1" applyFont="1" applyFill="1" applyBorder="1" applyAlignment="1">
      <alignment horizontal="center" vertical="center"/>
    </xf>
    <xf numFmtId="174" fontId="10" fillId="0" borderId="10" xfId="0" applyNumberFormat="1" applyFont="1" applyFill="1" applyBorder="1" applyAlignment="1">
      <alignment horizontal="center" vertical="center"/>
    </xf>
    <xf numFmtId="174" fontId="10" fillId="0" borderId="62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74" fontId="4" fillId="0" borderId="77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74" fontId="7" fillId="0" borderId="62" xfId="0" applyNumberFormat="1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66" xfId="0" applyNumberFormat="1" applyFont="1" applyFill="1" applyBorder="1" applyAlignment="1">
      <alignment horizontal="center" vertical="center" wrapText="1"/>
    </xf>
    <xf numFmtId="174" fontId="7" fillId="0" borderId="16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4" fillId="0" borderId="6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2" fontId="4" fillId="0" borderId="66" xfId="0" applyNumberFormat="1" applyFont="1" applyFill="1" applyBorder="1" applyAlignment="1">
      <alignment horizontal="center" vertical="center" wrapText="1"/>
    </xf>
    <xf numFmtId="2" fontId="4" fillId="0" borderId="65" xfId="0" applyNumberFormat="1" applyFont="1" applyFill="1" applyBorder="1" applyAlignment="1">
      <alignment horizontal="center" vertical="center" wrapText="1"/>
    </xf>
    <xf numFmtId="2" fontId="4" fillId="0" borderId="7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7" fillId="0" borderId="6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/>
    </xf>
    <xf numFmtId="174" fontId="25" fillId="0" borderId="0" xfId="0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9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29.375" style="10" customWidth="1"/>
    <col min="2" max="2" width="6.00390625" style="16" customWidth="1"/>
    <col min="3" max="3" width="25.125" style="10" customWidth="1"/>
    <col min="4" max="4" width="10.625" style="10" customWidth="1"/>
    <col min="5" max="5" width="10.875" style="10" customWidth="1"/>
    <col min="6" max="6" width="9.75390625" style="10" customWidth="1"/>
    <col min="7" max="7" width="9.375" style="10" customWidth="1"/>
    <col min="8" max="8" width="9.75390625" style="10" customWidth="1"/>
    <col min="9" max="9" width="9.00390625" style="10" customWidth="1"/>
    <col min="10" max="10" width="9.25390625" style="10" customWidth="1"/>
    <col min="11" max="11" width="14.00390625" style="10" customWidth="1"/>
    <col min="12" max="12" width="0.12890625" style="10" customWidth="1"/>
    <col min="13" max="13" width="8.375" style="10" hidden="1" customWidth="1"/>
    <col min="14" max="14" width="10.00390625" style="9" customWidth="1"/>
    <col min="15" max="15" width="9.875" style="9" customWidth="1"/>
    <col min="16" max="16" width="9.625" style="9" customWidth="1"/>
    <col min="17" max="18" width="10.00390625" style="9" customWidth="1"/>
    <col min="19" max="19" width="12.00390625" style="9" customWidth="1"/>
    <col min="20" max="20" width="0.12890625" style="9" customWidth="1"/>
    <col min="21" max="21" width="8.625" style="9" hidden="1" customWidth="1"/>
    <col min="22" max="22" width="9.125" style="9" customWidth="1"/>
    <col min="23" max="23" width="9.625" style="9" customWidth="1"/>
    <col min="24" max="24" width="8.625" style="9" customWidth="1"/>
    <col min="25" max="25" width="8.125" style="9" customWidth="1"/>
    <col min="26" max="26" width="10.125" style="9" customWidth="1"/>
    <col min="27" max="27" width="9.75390625" style="9" customWidth="1"/>
    <col min="28" max="28" width="9.25390625" style="9" hidden="1" customWidth="1"/>
    <col min="29" max="29" width="0.2421875" style="9" customWidth="1"/>
    <col min="30" max="30" width="9.00390625" style="9" customWidth="1"/>
    <col min="31" max="31" width="11.25390625" style="9" hidden="1" customWidth="1"/>
    <col min="32" max="32" width="11.125" style="9" hidden="1" customWidth="1"/>
    <col min="33" max="33" width="9.875" style="9" customWidth="1"/>
    <col min="34" max="34" width="10.375" style="9" customWidth="1"/>
    <col min="35" max="35" width="9.00390625" style="9" customWidth="1"/>
    <col min="36" max="36" width="9.125" style="9" hidden="1" customWidth="1"/>
    <col min="37" max="37" width="8.75390625" style="9" customWidth="1"/>
    <col min="38" max="38" width="10.00390625" style="9" customWidth="1"/>
    <col min="39" max="39" width="0.12890625" style="9" hidden="1" customWidth="1"/>
    <col min="40" max="40" width="0.12890625" style="9" customWidth="1"/>
    <col min="41" max="41" width="28.25390625" style="9" customWidth="1"/>
    <col min="42" max="42" width="23.00390625" style="9" customWidth="1"/>
    <col min="43" max="43" width="9.75390625" style="9" bestFit="1" customWidth="1"/>
    <col min="44" max="16384" width="9.125" style="9" customWidth="1"/>
  </cols>
  <sheetData>
    <row r="1" spans="1:14" ht="21" customHeight="1">
      <c r="A1" s="8" t="s">
        <v>24</v>
      </c>
      <c r="B1" s="9"/>
      <c r="J1" s="648" t="s">
        <v>25</v>
      </c>
      <c r="K1" s="648"/>
      <c r="L1" s="648"/>
      <c r="M1" s="648"/>
      <c r="N1" s="648"/>
    </row>
    <row r="2" spans="1:13" ht="18.75" customHeight="1">
      <c r="A2" t="s">
        <v>35</v>
      </c>
      <c r="B2" s="9"/>
      <c r="J2" s="261" t="s">
        <v>26</v>
      </c>
      <c r="K2" s="262"/>
      <c r="L2" s="262"/>
      <c r="M2" s="262"/>
    </row>
    <row r="3" spans="1:17" ht="29.25" customHeight="1">
      <c r="A3" t="s">
        <v>38</v>
      </c>
      <c r="B3" s="9"/>
      <c r="J3" s="262" t="s">
        <v>34</v>
      </c>
      <c r="K3" s="262"/>
      <c r="L3" s="262"/>
      <c r="M3" s="262"/>
      <c r="Q3" s="190"/>
    </row>
    <row r="4" spans="1:35" s="12" customFormat="1" ht="11.25" customHeight="1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</row>
    <row r="5" spans="1:40" s="12" customFormat="1" ht="28.5" customHeight="1">
      <c r="A5" s="260" t="s">
        <v>78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M5" s="642"/>
      <c r="AN5" s="643"/>
    </row>
    <row r="6" spans="1:41" s="12" customFormat="1" ht="28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O6" s="153"/>
    </row>
    <row r="7" spans="1:42" ht="49.5" customHeight="1">
      <c r="A7" s="640" t="s">
        <v>0</v>
      </c>
      <c r="B7" s="650" t="s">
        <v>9</v>
      </c>
      <c r="C7" s="633" t="s">
        <v>1</v>
      </c>
      <c r="D7" s="652" t="s">
        <v>32</v>
      </c>
      <c r="E7" s="653"/>
      <c r="F7" s="632" t="s">
        <v>5</v>
      </c>
      <c r="G7" s="631"/>
      <c r="H7" s="631" t="s">
        <v>4</v>
      </c>
      <c r="I7" s="631"/>
      <c r="J7" s="631" t="s">
        <v>8</v>
      </c>
      <c r="K7" s="633"/>
      <c r="L7" s="629" t="s">
        <v>11</v>
      </c>
      <c r="M7" s="630"/>
      <c r="N7" s="632" t="s">
        <v>12</v>
      </c>
      <c r="O7" s="631"/>
      <c r="P7" s="631" t="s">
        <v>13</v>
      </c>
      <c r="Q7" s="631"/>
      <c r="R7" s="631" t="s">
        <v>14</v>
      </c>
      <c r="S7" s="636"/>
      <c r="T7" s="629" t="s">
        <v>15</v>
      </c>
      <c r="U7" s="630"/>
      <c r="V7" s="632" t="s">
        <v>17</v>
      </c>
      <c r="W7" s="631"/>
      <c r="X7" s="631" t="s">
        <v>18</v>
      </c>
      <c r="Y7" s="631"/>
      <c r="Z7" s="631" t="s">
        <v>19</v>
      </c>
      <c r="AA7" s="633"/>
      <c r="AB7" s="629" t="s">
        <v>16</v>
      </c>
      <c r="AC7" s="630"/>
      <c r="AD7" s="632" t="s">
        <v>21</v>
      </c>
      <c r="AE7" s="631"/>
      <c r="AF7" s="631"/>
      <c r="AG7" s="631"/>
      <c r="AH7" s="631" t="s">
        <v>22</v>
      </c>
      <c r="AI7" s="631"/>
      <c r="AJ7" s="86" t="s">
        <v>20</v>
      </c>
      <c r="AK7" s="631" t="s">
        <v>23</v>
      </c>
      <c r="AL7" s="633"/>
      <c r="AM7" s="629" t="s">
        <v>43</v>
      </c>
      <c r="AN7" s="630"/>
      <c r="AO7" s="646" t="s">
        <v>55</v>
      </c>
      <c r="AP7" s="644" t="s">
        <v>57</v>
      </c>
    </row>
    <row r="8" spans="1:43" ht="39" customHeight="1" thickBot="1">
      <c r="A8" s="641"/>
      <c r="B8" s="651"/>
      <c r="C8" s="654"/>
      <c r="D8" s="102" t="s">
        <v>70</v>
      </c>
      <c r="E8" s="103" t="s">
        <v>33</v>
      </c>
      <c r="F8" s="104" t="s">
        <v>6</v>
      </c>
      <c r="G8" s="105" t="s">
        <v>47</v>
      </c>
      <c r="H8" s="106" t="s">
        <v>6</v>
      </c>
      <c r="I8" s="105" t="s">
        <v>7</v>
      </c>
      <c r="J8" s="106" t="s">
        <v>6</v>
      </c>
      <c r="K8" s="124" t="s">
        <v>47</v>
      </c>
      <c r="L8" s="107" t="s">
        <v>6</v>
      </c>
      <c r="M8" s="103" t="s">
        <v>7</v>
      </c>
      <c r="N8" s="104" t="s">
        <v>6</v>
      </c>
      <c r="O8" s="105" t="s">
        <v>47</v>
      </c>
      <c r="P8" s="106" t="s">
        <v>6</v>
      </c>
      <c r="Q8" s="108" t="s">
        <v>7</v>
      </c>
      <c r="R8" s="106" t="s">
        <v>6</v>
      </c>
      <c r="S8" s="125" t="s">
        <v>7</v>
      </c>
      <c r="T8" s="107" t="s">
        <v>6</v>
      </c>
      <c r="U8" s="103" t="s">
        <v>7</v>
      </c>
      <c r="V8" s="104" t="s">
        <v>6</v>
      </c>
      <c r="W8" s="108" t="s">
        <v>7</v>
      </c>
      <c r="X8" s="106" t="s">
        <v>6</v>
      </c>
      <c r="Y8" s="108" t="s">
        <v>7</v>
      </c>
      <c r="Z8" s="106" t="s">
        <v>6</v>
      </c>
      <c r="AA8" s="101" t="s">
        <v>7</v>
      </c>
      <c r="AB8" s="107" t="s">
        <v>6</v>
      </c>
      <c r="AC8" s="109" t="s">
        <v>7</v>
      </c>
      <c r="AD8" s="104" t="s">
        <v>6</v>
      </c>
      <c r="AE8" s="106" t="s">
        <v>7</v>
      </c>
      <c r="AF8" s="106" t="s">
        <v>6</v>
      </c>
      <c r="AG8" s="106" t="s">
        <v>7</v>
      </c>
      <c r="AH8" s="106" t="s">
        <v>6</v>
      </c>
      <c r="AI8" s="106" t="s">
        <v>7</v>
      </c>
      <c r="AJ8" s="106" t="s">
        <v>6</v>
      </c>
      <c r="AK8" s="106" t="s">
        <v>6</v>
      </c>
      <c r="AL8" s="101" t="s">
        <v>7</v>
      </c>
      <c r="AM8" s="110" t="s">
        <v>6</v>
      </c>
      <c r="AN8" s="111" t="s">
        <v>7</v>
      </c>
      <c r="AO8" s="647"/>
      <c r="AP8" s="645"/>
      <c r="AQ8" s="212"/>
    </row>
    <row r="9" spans="1:46" ht="35.25" customHeight="1" thickBot="1">
      <c r="A9" s="112" t="s">
        <v>3</v>
      </c>
      <c r="B9" s="113" t="s">
        <v>10</v>
      </c>
      <c r="C9" s="114"/>
      <c r="D9" s="208">
        <f aca="true" t="shared" si="0" ref="D9:AD9">D10</f>
        <v>477.5</v>
      </c>
      <c r="E9" s="120">
        <f>E10+E13</f>
        <v>2.47881</v>
      </c>
      <c r="F9" s="116">
        <f t="shared" si="0"/>
        <v>0</v>
      </c>
      <c r="G9" s="117">
        <f t="shared" si="0"/>
        <v>0</v>
      </c>
      <c r="H9" s="117">
        <f t="shared" si="0"/>
        <v>45</v>
      </c>
      <c r="I9" s="117">
        <f t="shared" si="0"/>
        <v>2.47881</v>
      </c>
      <c r="J9" s="117">
        <f t="shared" si="0"/>
        <v>40</v>
      </c>
      <c r="K9" s="118">
        <f t="shared" si="0"/>
        <v>0</v>
      </c>
      <c r="L9" s="115">
        <f t="shared" si="0"/>
        <v>85</v>
      </c>
      <c r="M9" s="119">
        <f t="shared" si="0"/>
        <v>2.47881</v>
      </c>
      <c r="N9" s="116">
        <f t="shared" si="0"/>
        <v>38</v>
      </c>
      <c r="O9" s="117">
        <f t="shared" si="0"/>
        <v>0</v>
      </c>
      <c r="P9" s="117">
        <f t="shared" si="0"/>
        <v>30</v>
      </c>
      <c r="Q9" s="117">
        <f t="shared" si="0"/>
        <v>0</v>
      </c>
      <c r="R9" s="117">
        <f>R10</f>
        <v>28</v>
      </c>
      <c r="S9" s="126">
        <f t="shared" si="0"/>
        <v>0</v>
      </c>
      <c r="T9" s="115">
        <f>T10</f>
        <v>2121.4</v>
      </c>
      <c r="U9" s="119">
        <f t="shared" si="0"/>
        <v>2.47881</v>
      </c>
      <c r="V9" s="116">
        <f t="shared" si="0"/>
        <v>20</v>
      </c>
      <c r="W9" s="117">
        <f t="shared" si="0"/>
        <v>0</v>
      </c>
      <c r="X9" s="117">
        <f t="shared" si="0"/>
        <v>20</v>
      </c>
      <c r="Y9" s="117">
        <f t="shared" si="0"/>
        <v>0</v>
      </c>
      <c r="Z9" s="117">
        <f>Z10</f>
        <v>128.1</v>
      </c>
      <c r="AA9" s="118">
        <f t="shared" si="0"/>
        <v>0</v>
      </c>
      <c r="AB9" s="115">
        <f t="shared" si="0"/>
        <v>241</v>
      </c>
      <c r="AC9" s="119">
        <f t="shared" si="0"/>
        <v>2.47881</v>
      </c>
      <c r="AD9" s="116">
        <f t="shared" si="0"/>
        <v>32</v>
      </c>
      <c r="AE9" s="117" t="e">
        <f>#REF!+#REF!+#REF!+AE10+#REF!</f>
        <v>#REF!</v>
      </c>
      <c r="AF9" s="117" t="e">
        <f>#REF!+#REF!+#REF!+AF10+#REF!</f>
        <v>#REF!</v>
      </c>
      <c r="AG9" s="117">
        <f aca="true" t="shared" si="1" ref="AG9:AI10">AG10</f>
        <v>0</v>
      </c>
      <c r="AH9" s="117">
        <f t="shared" si="1"/>
        <v>35</v>
      </c>
      <c r="AI9" s="117">
        <f t="shared" si="1"/>
        <v>0</v>
      </c>
      <c r="AJ9" s="117" t="e">
        <f>#REF!+#REF!+#REF!+AJ10+#REF!</f>
        <v>#REF!</v>
      </c>
      <c r="AK9" s="117">
        <f aca="true" t="shared" si="2" ref="AK9:AN10">AK10</f>
        <v>61.4</v>
      </c>
      <c r="AL9" s="118">
        <f t="shared" si="2"/>
        <v>0</v>
      </c>
      <c r="AM9" s="115">
        <f t="shared" si="2"/>
        <v>2309.8</v>
      </c>
      <c r="AN9" s="119">
        <f t="shared" si="2"/>
        <v>0</v>
      </c>
      <c r="AO9" s="213"/>
      <c r="AP9" s="216"/>
      <c r="AQ9" s="89"/>
      <c r="AR9" s="38"/>
      <c r="AS9" s="38"/>
      <c r="AT9" s="38"/>
    </row>
    <row r="10" spans="1:43" ht="46.5" customHeight="1">
      <c r="A10" s="637" t="s">
        <v>67</v>
      </c>
      <c r="B10" s="638"/>
      <c r="C10" s="639"/>
      <c r="D10" s="209">
        <f>D11+D13+D14</f>
        <v>477.5</v>
      </c>
      <c r="E10" s="100">
        <f aca="true" t="shared" si="3" ref="E10:Q10">E11</f>
        <v>2.47881</v>
      </c>
      <c r="F10" s="82">
        <f t="shared" si="3"/>
        <v>0</v>
      </c>
      <c r="G10" s="83">
        <f t="shared" si="3"/>
        <v>0</v>
      </c>
      <c r="H10" s="83">
        <f t="shared" si="3"/>
        <v>45</v>
      </c>
      <c r="I10" s="83">
        <f t="shared" si="3"/>
        <v>2.47881</v>
      </c>
      <c r="J10" s="83">
        <f t="shared" si="3"/>
        <v>40</v>
      </c>
      <c r="K10" s="84">
        <f t="shared" si="3"/>
        <v>0</v>
      </c>
      <c r="L10" s="65">
        <f t="shared" si="3"/>
        <v>85</v>
      </c>
      <c r="M10" s="66">
        <f t="shared" si="3"/>
        <v>2.47881</v>
      </c>
      <c r="N10" s="82">
        <f t="shared" si="3"/>
        <v>38</v>
      </c>
      <c r="O10" s="83">
        <f t="shared" si="3"/>
        <v>0</v>
      </c>
      <c r="P10" s="83">
        <f t="shared" si="3"/>
        <v>30</v>
      </c>
      <c r="Q10" s="83">
        <f t="shared" si="3"/>
        <v>0</v>
      </c>
      <c r="R10" s="83">
        <f>R11+R13</f>
        <v>28</v>
      </c>
      <c r="S10" s="84">
        <f>S11+S13</f>
        <v>0</v>
      </c>
      <c r="T10" s="65">
        <f>T11+T12+T13</f>
        <v>2121.4</v>
      </c>
      <c r="U10" s="66">
        <f aca="true" t="shared" si="4" ref="U10:AA10">U11</f>
        <v>2.47881</v>
      </c>
      <c r="V10" s="82">
        <f t="shared" si="4"/>
        <v>20</v>
      </c>
      <c r="W10" s="83">
        <f t="shared" si="4"/>
        <v>0</v>
      </c>
      <c r="X10" s="83">
        <f t="shared" si="4"/>
        <v>20</v>
      </c>
      <c r="Y10" s="83">
        <f t="shared" si="4"/>
        <v>0</v>
      </c>
      <c r="Z10" s="83">
        <f>Z11+Z14</f>
        <v>128.1</v>
      </c>
      <c r="AA10" s="84">
        <f t="shared" si="4"/>
        <v>0</v>
      </c>
      <c r="AB10" s="65">
        <f>AB11+AB12</f>
        <v>241</v>
      </c>
      <c r="AC10" s="66">
        <f>AC11</f>
        <v>2.47881</v>
      </c>
      <c r="AD10" s="82">
        <f>AD11+AD14</f>
        <v>32</v>
      </c>
      <c r="AE10" s="83" t="e">
        <f>AE11+#REF!+#REF!+#REF!+#REF!+#REF!+#REF!+#REF!</f>
        <v>#REF!</v>
      </c>
      <c r="AF10" s="83" t="e">
        <f>AF11+#REF!+#REF!+#REF!+#REF!+#REF!+#REF!+#REF!</f>
        <v>#REF!</v>
      </c>
      <c r="AG10" s="83">
        <f t="shared" si="1"/>
        <v>0</v>
      </c>
      <c r="AH10" s="83">
        <f>AH11+AH14</f>
        <v>35</v>
      </c>
      <c r="AI10" s="83">
        <f>AI11+AI13</f>
        <v>0</v>
      </c>
      <c r="AJ10" s="83" t="e">
        <f>AJ11+#REF!+#REF!+#REF!+#REF!+#REF!+#REF!+#REF!</f>
        <v>#REF!</v>
      </c>
      <c r="AK10" s="83">
        <f t="shared" si="2"/>
        <v>61.4</v>
      </c>
      <c r="AL10" s="84">
        <f t="shared" si="2"/>
        <v>0</v>
      </c>
      <c r="AM10" s="169">
        <f>AM11+AM13+AM14</f>
        <v>2309.8</v>
      </c>
      <c r="AN10" s="170">
        <f>AN11+AN13</f>
        <v>0</v>
      </c>
      <c r="AO10" s="214"/>
      <c r="AP10" s="216"/>
      <c r="AQ10" s="89"/>
    </row>
    <row r="11" spans="1:43" ht="47.25" customHeight="1">
      <c r="A11" s="259" t="s">
        <v>68</v>
      </c>
      <c r="B11" s="50" t="s">
        <v>2</v>
      </c>
      <c r="C11" s="72" t="s">
        <v>27</v>
      </c>
      <c r="D11" s="210">
        <f>L11+N11+P11+R11+V11+X11+Z11+AD11+AH11+AK11</f>
        <v>369.4</v>
      </c>
      <c r="E11" s="99">
        <f>M11+O11+Q11+S11+W11+Y11+AA11+AG11+AI11+AL11</f>
        <v>2.47881</v>
      </c>
      <c r="F11" s="58">
        <v>0</v>
      </c>
      <c r="G11" s="49">
        <v>0</v>
      </c>
      <c r="H11" s="49">
        <v>45</v>
      </c>
      <c r="I11" s="49">
        <v>2.47881</v>
      </c>
      <c r="J11" s="51">
        <v>40</v>
      </c>
      <c r="K11" s="56">
        <v>0</v>
      </c>
      <c r="L11" s="63">
        <f>F11+H11+J11</f>
        <v>85</v>
      </c>
      <c r="M11" s="64">
        <f>G11+I11+K11</f>
        <v>2.47881</v>
      </c>
      <c r="N11" s="58">
        <v>38</v>
      </c>
      <c r="O11" s="49">
        <v>0</v>
      </c>
      <c r="P11" s="49">
        <v>30</v>
      </c>
      <c r="Q11" s="49">
        <v>0</v>
      </c>
      <c r="R11" s="49">
        <v>28</v>
      </c>
      <c r="S11" s="191">
        <v>0</v>
      </c>
      <c r="T11" s="63">
        <f>L11+N11+P11+R11</f>
        <v>181</v>
      </c>
      <c r="U11" s="67">
        <f>M11+O11+Q11+S11</f>
        <v>2.47881</v>
      </c>
      <c r="V11" s="58">
        <v>20</v>
      </c>
      <c r="W11" s="49">
        <v>0</v>
      </c>
      <c r="X11" s="49">
        <v>20</v>
      </c>
      <c r="Y11" s="49">
        <v>0</v>
      </c>
      <c r="Z11" s="49">
        <v>20</v>
      </c>
      <c r="AA11" s="56">
        <v>0</v>
      </c>
      <c r="AB11" s="63">
        <f aca="true" t="shared" si="5" ref="AB11:AC13">T11+V11+X11+Z11</f>
        <v>241</v>
      </c>
      <c r="AC11" s="67">
        <f t="shared" si="5"/>
        <v>2.47881</v>
      </c>
      <c r="AD11" s="58">
        <v>32</v>
      </c>
      <c r="AE11" s="49"/>
      <c r="AF11" s="49"/>
      <c r="AG11" s="49">
        <v>0</v>
      </c>
      <c r="AH11" s="49">
        <v>35</v>
      </c>
      <c r="AI11" s="49">
        <v>0</v>
      </c>
      <c r="AJ11" s="49"/>
      <c r="AK11" s="51">
        <v>61.4</v>
      </c>
      <c r="AL11" s="56">
        <v>0</v>
      </c>
      <c r="AM11" s="171">
        <f>AB11+AD11+AH11+AK11</f>
        <v>369.4</v>
      </c>
      <c r="AN11" s="218"/>
      <c r="AO11" s="229"/>
      <c r="AP11" s="230"/>
      <c r="AQ11" s="89"/>
    </row>
    <row r="12" spans="1:43" ht="0.75" customHeight="1">
      <c r="A12" s="85"/>
      <c r="B12" s="50"/>
      <c r="C12" s="72"/>
      <c r="D12" s="210">
        <f>L12+N12+P12+R12+V12+X12+Z12+AD12+AH12+AK12</f>
        <v>0</v>
      </c>
      <c r="E12" s="99">
        <f>M12+O12+Q12+S12+W12+Y12+AA12+AG12+AI12+AL12</f>
        <v>0</v>
      </c>
      <c r="F12" s="58"/>
      <c r="G12" s="49"/>
      <c r="H12" s="49"/>
      <c r="I12" s="49"/>
      <c r="J12" s="49"/>
      <c r="K12" s="56"/>
      <c r="L12" s="63">
        <f>F12+H12+J12</f>
        <v>0</v>
      </c>
      <c r="M12" s="64">
        <f>G12+I12+K12</f>
        <v>0</v>
      </c>
      <c r="N12" s="58"/>
      <c r="O12" s="49"/>
      <c r="P12" s="49"/>
      <c r="Q12" s="49"/>
      <c r="R12" s="49"/>
      <c r="S12" s="191"/>
      <c r="T12" s="63">
        <f>L12+N12+P12+R12</f>
        <v>0</v>
      </c>
      <c r="U12" s="67">
        <f>M12+O12+Q12+S12</f>
        <v>0</v>
      </c>
      <c r="V12" s="58"/>
      <c r="W12" s="49"/>
      <c r="X12" s="49"/>
      <c r="Y12" s="49"/>
      <c r="Z12" s="49"/>
      <c r="AA12" s="56"/>
      <c r="AB12" s="63">
        <f t="shared" si="5"/>
        <v>0</v>
      </c>
      <c r="AC12" s="67">
        <f t="shared" si="5"/>
        <v>0</v>
      </c>
      <c r="AD12" s="58"/>
      <c r="AE12" s="49"/>
      <c r="AF12" s="49"/>
      <c r="AG12" s="49"/>
      <c r="AH12" s="49"/>
      <c r="AI12" s="49"/>
      <c r="AJ12" s="49"/>
      <c r="AK12" s="49"/>
      <c r="AL12" s="156"/>
      <c r="AM12" s="171">
        <f>AB12+AD12+AH12+AK12</f>
        <v>0</v>
      </c>
      <c r="AN12" s="172">
        <f>AC12+AG12+AI12+AL12</f>
        <v>0</v>
      </c>
      <c r="AO12" s="227" t="s">
        <v>63</v>
      </c>
      <c r="AP12" s="228"/>
      <c r="AQ12" s="89"/>
    </row>
    <row r="13" spans="1:42" ht="45" customHeight="1" hidden="1">
      <c r="A13" s="121" t="s">
        <v>42</v>
      </c>
      <c r="B13" s="160" t="s">
        <v>2</v>
      </c>
      <c r="C13" s="122" t="s">
        <v>27</v>
      </c>
      <c r="D13" s="210">
        <f>L13+N13+P13+R13+V13+X13+Z13+AD13+AH13+AK13</f>
        <v>0</v>
      </c>
      <c r="E13" s="99">
        <f>M13+O13+Q13+S13+W13+Y13+AA13+AG13+AI13+AL13</f>
        <v>0</v>
      </c>
      <c r="F13" s="161">
        <v>0</v>
      </c>
      <c r="G13" s="150">
        <v>0</v>
      </c>
      <c r="H13" s="150">
        <v>0</v>
      </c>
      <c r="I13" s="150">
        <v>0</v>
      </c>
      <c r="J13" s="150">
        <v>0</v>
      </c>
      <c r="K13" s="147">
        <v>0</v>
      </c>
      <c r="L13" s="162">
        <v>0</v>
      </c>
      <c r="M13" s="163">
        <v>0</v>
      </c>
      <c r="N13" s="161">
        <v>0</v>
      </c>
      <c r="O13" s="150">
        <v>0</v>
      </c>
      <c r="P13" s="150">
        <v>0</v>
      </c>
      <c r="Q13" s="150">
        <v>0</v>
      </c>
      <c r="R13" s="150">
        <v>0</v>
      </c>
      <c r="S13" s="164">
        <v>0</v>
      </c>
      <c r="T13" s="162">
        <v>1940.4</v>
      </c>
      <c r="U13" s="67">
        <f>M13+O13+Q13+S13</f>
        <v>0</v>
      </c>
      <c r="V13" s="161">
        <v>0</v>
      </c>
      <c r="W13" s="150">
        <v>0</v>
      </c>
      <c r="X13" s="150">
        <v>0</v>
      </c>
      <c r="Y13" s="150">
        <v>0</v>
      </c>
      <c r="Z13" s="150">
        <v>0</v>
      </c>
      <c r="AA13" s="147">
        <v>0</v>
      </c>
      <c r="AB13" s="63">
        <f t="shared" si="5"/>
        <v>1940.4</v>
      </c>
      <c r="AC13" s="67">
        <f t="shared" si="5"/>
        <v>0</v>
      </c>
      <c r="AD13" s="149">
        <v>0</v>
      </c>
      <c r="AE13" s="150"/>
      <c r="AF13" s="150"/>
      <c r="AG13" s="148">
        <v>0</v>
      </c>
      <c r="AH13" s="148">
        <v>0</v>
      </c>
      <c r="AI13" s="148">
        <v>0</v>
      </c>
      <c r="AJ13" s="150"/>
      <c r="AK13" s="148">
        <v>0</v>
      </c>
      <c r="AL13" s="164">
        <v>0</v>
      </c>
      <c r="AM13" s="165">
        <v>1940.4</v>
      </c>
      <c r="AN13" s="166">
        <f>AC13+AG13+AI13+AL13</f>
        <v>0</v>
      </c>
      <c r="AO13" s="226"/>
      <c r="AP13" s="217"/>
    </row>
    <row r="14" spans="1:42" ht="28.5" customHeight="1" thickBot="1">
      <c r="A14" s="167" t="s">
        <v>69</v>
      </c>
      <c r="B14" s="168"/>
      <c r="C14" s="181" t="s">
        <v>28</v>
      </c>
      <c r="D14" s="210">
        <f>L14+N14+P14+R14+V14+X14+Z14+AD14+AH14+AK14</f>
        <v>108.1</v>
      </c>
      <c r="E14" s="176">
        <v>0</v>
      </c>
      <c r="F14" s="173">
        <v>0</v>
      </c>
      <c r="G14" s="174">
        <v>0</v>
      </c>
      <c r="H14" s="174">
        <v>0</v>
      </c>
      <c r="I14" s="174">
        <v>0</v>
      </c>
      <c r="J14" s="174">
        <v>0</v>
      </c>
      <c r="K14" s="175">
        <v>0</v>
      </c>
      <c r="L14" s="155">
        <v>0</v>
      </c>
      <c r="M14" s="177">
        <v>0</v>
      </c>
      <c r="N14" s="173">
        <v>0</v>
      </c>
      <c r="O14" s="174">
        <v>0</v>
      </c>
      <c r="P14" s="174">
        <v>0</v>
      </c>
      <c r="Q14" s="174">
        <v>0</v>
      </c>
      <c r="R14" s="174">
        <v>0</v>
      </c>
      <c r="S14" s="175">
        <v>0</v>
      </c>
      <c r="T14" s="178">
        <v>0</v>
      </c>
      <c r="U14" s="177">
        <v>0</v>
      </c>
      <c r="V14" s="173">
        <v>0</v>
      </c>
      <c r="W14" s="174">
        <v>0</v>
      </c>
      <c r="X14" s="174">
        <v>0</v>
      </c>
      <c r="Y14" s="174">
        <v>0</v>
      </c>
      <c r="Z14" s="174">
        <v>108.1</v>
      </c>
      <c r="AA14" s="175">
        <v>0</v>
      </c>
      <c r="AB14" s="178">
        <v>0</v>
      </c>
      <c r="AC14" s="177">
        <v>0</v>
      </c>
      <c r="AD14" s="173">
        <v>0</v>
      </c>
      <c r="AE14" s="174"/>
      <c r="AF14" s="174"/>
      <c r="AG14" s="174">
        <v>0</v>
      </c>
      <c r="AH14" s="174">
        <v>0</v>
      </c>
      <c r="AI14" s="174">
        <v>0</v>
      </c>
      <c r="AJ14" s="174"/>
      <c r="AK14" s="174">
        <v>0</v>
      </c>
      <c r="AL14" s="175">
        <v>0</v>
      </c>
      <c r="AM14" s="179">
        <f>AD14+AH14</f>
        <v>0</v>
      </c>
      <c r="AN14" s="177">
        <v>0</v>
      </c>
      <c r="AO14" s="215"/>
      <c r="AP14" s="217"/>
    </row>
    <row r="15" spans="1:13" ht="12.75">
      <c r="A15" s="9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3" ht="12.75">
      <c r="A16" s="90"/>
      <c r="B16" s="9"/>
      <c r="C16" s="154"/>
    </row>
    <row r="17" spans="1:3" ht="12.75">
      <c r="A17" s="90"/>
      <c r="B17" s="9"/>
      <c r="C17" s="9"/>
    </row>
    <row r="18" spans="1:3" ht="15">
      <c r="A18" s="90"/>
      <c r="B18" s="9"/>
      <c r="C18" s="224"/>
    </row>
    <row r="19" spans="1:3" ht="12.75">
      <c r="A19" s="90"/>
      <c r="B19" s="9"/>
      <c r="C19" s="9"/>
    </row>
    <row r="20" spans="1:44" ht="14.25">
      <c r="A20" s="9"/>
      <c r="B20" s="9"/>
      <c r="C20" s="225"/>
      <c r="AO20" s="627"/>
      <c r="AP20" s="627"/>
      <c r="AQ20" s="627"/>
      <c r="AR20" s="627"/>
    </row>
    <row r="21" spans="2:44" ht="12.75">
      <c r="B21" s="9"/>
      <c r="AO21" s="627"/>
      <c r="AP21" s="628"/>
      <c r="AQ21" s="628"/>
      <c r="AR21" s="628"/>
    </row>
    <row r="22" spans="2:44" ht="12.75">
      <c r="B22" s="9"/>
      <c r="AO22" s="627"/>
      <c r="AP22" s="628"/>
      <c r="AQ22" s="628"/>
      <c r="AR22" s="628"/>
    </row>
    <row r="23" spans="2:44" ht="12.7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7"/>
      <c r="AO23" s="180"/>
      <c r="AP23" s="180"/>
      <c r="AQ23" s="180"/>
      <c r="AR23" s="180"/>
    </row>
    <row r="24" spans="2:44" ht="12.7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7"/>
      <c r="AO24" s="625"/>
      <c r="AP24" s="626"/>
      <c r="AQ24" s="626"/>
      <c r="AR24" s="626"/>
    </row>
    <row r="25" spans="2:14" ht="12.7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7"/>
    </row>
    <row r="26" spans="2:14" ht="12.7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2:14" ht="12.75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7"/>
    </row>
    <row r="28" spans="2:14" ht="12.75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7"/>
    </row>
    <row r="29" spans="2:14" ht="12.75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7"/>
    </row>
    <row r="30" spans="2:14" ht="12.75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7"/>
    </row>
    <row r="31" spans="2:14" ht="12.7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7"/>
    </row>
    <row r="32" spans="2:14" ht="12.75">
      <c r="B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5"/>
    </row>
    <row r="33" spans="2:14" ht="12.75">
      <c r="B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2:14" ht="12.75">
      <c r="B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</row>
    <row r="35" spans="2:14" ht="12.75">
      <c r="B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</row>
    <row r="36" spans="2:14" ht="12.75">
      <c r="B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6"/>
    </row>
    <row r="37" spans="2:14" ht="12.75">
      <c r="B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</row>
    <row r="38" spans="2:14" ht="12.75">
      <c r="B38" s="9"/>
      <c r="N38" s="29"/>
    </row>
    <row r="39" spans="1:3" ht="12.75">
      <c r="A39" s="9"/>
      <c r="B39" s="9"/>
      <c r="C39" s="9"/>
    </row>
    <row r="40" spans="1:3" ht="75.75" customHeight="1" thickBot="1">
      <c r="A40" s="9"/>
      <c r="B40" s="9"/>
      <c r="C40" s="9"/>
    </row>
    <row r="41" spans="1:40" ht="27" customHeight="1" thickBot="1">
      <c r="A41" s="634" t="s">
        <v>29</v>
      </c>
      <c r="B41" s="39" t="s">
        <v>2</v>
      </c>
      <c r="C41" s="40" t="s">
        <v>27</v>
      </c>
      <c r="D41" s="3">
        <v>808</v>
      </c>
      <c r="E41" s="7"/>
      <c r="F41" s="7"/>
      <c r="G41" s="3"/>
      <c r="H41" s="7">
        <v>700</v>
      </c>
      <c r="I41" s="3"/>
      <c r="J41" s="7"/>
      <c r="K41" s="4"/>
      <c r="L41" s="4">
        <f>H41</f>
        <v>700</v>
      </c>
      <c r="M41" s="2"/>
      <c r="N41" s="3"/>
      <c r="O41" s="3"/>
      <c r="P41" s="7"/>
      <c r="Q41" s="3"/>
      <c r="R41" s="7"/>
      <c r="S41" s="3"/>
      <c r="T41" s="41">
        <v>700</v>
      </c>
      <c r="U41" s="42"/>
      <c r="V41" s="15"/>
      <c r="W41" s="14"/>
      <c r="X41" s="14"/>
      <c r="Y41" s="13"/>
      <c r="Z41" s="15"/>
      <c r="AA41" s="14"/>
      <c r="AB41" s="36">
        <v>700</v>
      </c>
      <c r="AC41" s="14"/>
      <c r="AD41" s="14"/>
      <c r="AE41" s="15"/>
      <c r="AF41" s="15"/>
      <c r="AG41" s="15"/>
      <c r="AH41" s="14"/>
      <c r="AI41" s="37"/>
      <c r="AJ41" s="35"/>
      <c r="AK41" s="14">
        <v>108</v>
      </c>
      <c r="AL41" s="15"/>
      <c r="AM41" s="14">
        <f>H41+AK41</f>
        <v>808</v>
      </c>
      <c r="AN41" s="31"/>
    </row>
    <row r="42" spans="1:40" ht="23.25" customHeight="1" thickBot="1">
      <c r="A42" s="635"/>
      <c r="B42" s="25" t="s">
        <v>2</v>
      </c>
      <c r="C42" s="33" t="s">
        <v>28</v>
      </c>
      <c r="D42" s="18">
        <v>15349</v>
      </c>
      <c r="E42" s="22"/>
      <c r="F42" s="22"/>
      <c r="G42" s="18"/>
      <c r="H42" s="22">
        <v>13300</v>
      </c>
      <c r="I42" s="18"/>
      <c r="J42" s="22"/>
      <c r="K42" s="19"/>
      <c r="L42" s="24">
        <f>H42</f>
        <v>13300</v>
      </c>
      <c r="M42" s="20"/>
      <c r="N42" s="18"/>
      <c r="O42" s="18"/>
      <c r="P42" s="22"/>
      <c r="Q42" s="18"/>
      <c r="R42" s="22"/>
      <c r="S42" s="18"/>
      <c r="T42" s="34">
        <v>13300</v>
      </c>
      <c r="U42" s="43"/>
      <c r="V42" s="22"/>
      <c r="W42" s="18"/>
      <c r="X42" s="18"/>
      <c r="Y42" s="17"/>
      <c r="Z42" s="22"/>
      <c r="AA42" s="18"/>
      <c r="AB42" s="21">
        <v>13300</v>
      </c>
      <c r="AC42" s="23"/>
      <c r="AD42" s="18"/>
      <c r="AE42" s="22"/>
      <c r="AF42" s="22"/>
      <c r="AG42" s="22"/>
      <c r="AH42" s="18"/>
      <c r="AI42" s="32"/>
      <c r="AJ42" s="26"/>
      <c r="AK42" s="18">
        <v>2049</v>
      </c>
      <c r="AL42" s="22"/>
      <c r="AM42" s="18">
        <f>H42+AK42</f>
        <v>15349</v>
      </c>
      <c r="AN42" s="30"/>
    </row>
    <row r="43" ht="12.75">
      <c r="B43" s="9"/>
    </row>
    <row r="44" ht="12.75">
      <c r="B44" s="9"/>
    </row>
    <row r="45" ht="12.75">
      <c r="B45" s="9"/>
    </row>
    <row r="46" ht="12.75">
      <c r="B46" s="9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</sheetData>
  <sheetProtection/>
  <mergeCells count="31">
    <mergeCell ref="J1:N1"/>
    <mergeCell ref="AB7:AC7"/>
    <mergeCell ref="Z7:AA7"/>
    <mergeCell ref="A4:AI4"/>
    <mergeCell ref="B7:B8"/>
    <mergeCell ref="F7:G7"/>
    <mergeCell ref="J7:K7"/>
    <mergeCell ref="D7:E7"/>
    <mergeCell ref="L7:M7"/>
    <mergeCell ref="C7:C8"/>
    <mergeCell ref="AM5:AN5"/>
    <mergeCell ref="AO20:AR20"/>
    <mergeCell ref="AP7:AP8"/>
    <mergeCell ref="AO7:AO8"/>
    <mergeCell ref="AM7:AN7"/>
    <mergeCell ref="H7:I7"/>
    <mergeCell ref="A41:A42"/>
    <mergeCell ref="N7:O7"/>
    <mergeCell ref="P7:Q7"/>
    <mergeCell ref="R7:S7"/>
    <mergeCell ref="A10:C10"/>
    <mergeCell ref="A7:A8"/>
    <mergeCell ref="AO24:AR24"/>
    <mergeCell ref="AO21:AR21"/>
    <mergeCell ref="AO22:AR22"/>
    <mergeCell ref="T7:U7"/>
    <mergeCell ref="AH7:AI7"/>
    <mergeCell ref="V7:W7"/>
    <mergeCell ref="X7:Y7"/>
    <mergeCell ref="AK7:AL7"/>
    <mergeCell ref="AD7:AG7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82"/>
  <sheetViews>
    <sheetView zoomScale="75" zoomScaleNormal="75" zoomScalePageLayoutView="0" workbookViewId="0" topLeftCell="A1">
      <selection activeCell="R13" sqref="R13"/>
    </sheetView>
  </sheetViews>
  <sheetFormatPr defaultColWidth="9.00390625" defaultRowHeight="12.75"/>
  <cols>
    <col min="1" max="1" width="26.75390625" style="93" customWidth="1"/>
    <col min="2" max="2" width="6.00390625" style="97" customWidth="1"/>
    <col min="3" max="3" width="24.375" style="93" customWidth="1"/>
    <col min="4" max="4" width="11.25390625" style="93" customWidth="1"/>
    <col min="5" max="5" width="11.375" style="93" customWidth="1"/>
    <col min="6" max="6" width="9.75390625" style="93" customWidth="1"/>
    <col min="7" max="7" width="12.375" style="93" customWidth="1"/>
    <col min="8" max="8" width="9.75390625" style="93" customWidth="1"/>
    <col min="9" max="9" width="10.625" style="93" customWidth="1"/>
    <col min="10" max="10" width="9.25390625" style="93" customWidth="1"/>
    <col min="11" max="11" width="9.625" style="93" customWidth="1"/>
    <col min="12" max="12" width="10.25390625" style="93" hidden="1" customWidth="1"/>
    <col min="13" max="13" width="11.75390625" style="93" hidden="1" customWidth="1"/>
    <col min="14" max="14" width="10.00390625" style="92" customWidth="1"/>
    <col min="15" max="15" width="11.75390625" style="92" customWidth="1"/>
    <col min="16" max="16" width="9.625" style="92" customWidth="1"/>
    <col min="17" max="17" width="11.25390625" style="92" customWidth="1"/>
    <col min="18" max="18" width="10.00390625" style="92" customWidth="1"/>
    <col min="19" max="19" width="11.625" style="92" customWidth="1"/>
    <col min="20" max="20" width="10.00390625" style="92" hidden="1" customWidth="1"/>
    <col min="21" max="21" width="11.125" style="92" hidden="1" customWidth="1"/>
    <col min="22" max="22" width="10.25390625" style="92" customWidth="1"/>
    <col min="23" max="23" width="10.875" style="92" customWidth="1"/>
    <col min="24" max="24" width="11.125" style="92" customWidth="1"/>
    <col min="25" max="25" width="11.25390625" style="92" customWidth="1"/>
    <col min="26" max="27" width="12.375" style="92" customWidth="1"/>
    <col min="28" max="28" width="11.00390625" style="92" hidden="1" customWidth="1"/>
    <col min="29" max="29" width="10.25390625" style="92" hidden="1" customWidth="1"/>
    <col min="30" max="30" width="10.875" style="92" customWidth="1"/>
    <col min="31" max="31" width="11.25390625" style="92" hidden="1" customWidth="1"/>
    <col min="32" max="32" width="11.125" style="92" hidden="1" customWidth="1"/>
    <col min="33" max="33" width="10.125" style="92" customWidth="1"/>
    <col min="34" max="34" width="10.375" style="92" customWidth="1"/>
    <col min="35" max="35" width="11.125" style="92" customWidth="1"/>
    <col min="36" max="36" width="9.125" style="92" hidden="1" customWidth="1"/>
    <col min="37" max="37" width="11.125" style="92" customWidth="1"/>
    <col min="38" max="38" width="9.875" style="92" customWidth="1"/>
    <col min="39" max="39" width="13.125" style="92" hidden="1" customWidth="1"/>
    <col min="40" max="40" width="11.375" style="92" hidden="1" customWidth="1"/>
    <col min="41" max="41" width="27.375" style="92" customWidth="1"/>
    <col min="42" max="44" width="28.25390625" style="92" customWidth="1"/>
    <col min="45" max="45" width="9.125" style="92" customWidth="1"/>
    <col min="46" max="46" width="9.75390625" style="92" bestFit="1" customWidth="1"/>
    <col min="47" max="16384" width="9.125" style="92" customWidth="1"/>
  </cols>
  <sheetData>
    <row r="1" spans="1:13" ht="21" customHeight="1">
      <c r="A1" s="8" t="s">
        <v>24</v>
      </c>
      <c r="B1" s="92"/>
      <c r="J1" s="231" t="s">
        <v>25</v>
      </c>
      <c r="K1" s="231"/>
      <c r="L1" s="231"/>
      <c r="M1" s="231"/>
    </row>
    <row r="2" spans="1:13" ht="18.75" customHeight="1">
      <c r="A2" s="93" t="s">
        <v>35</v>
      </c>
      <c r="B2" s="92"/>
      <c r="J2" s="221" t="s">
        <v>26</v>
      </c>
      <c r="K2" s="221"/>
      <c r="L2" s="221"/>
      <c r="M2" s="221"/>
    </row>
    <row r="3" spans="1:13" ht="29.25" customHeight="1">
      <c r="A3" s="93" t="s">
        <v>36</v>
      </c>
      <c r="B3" s="92"/>
      <c r="J3" s="221" t="s">
        <v>37</v>
      </c>
      <c r="K3" s="221"/>
      <c r="L3" s="221"/>
      <c r="M3" s="221"/>
    </row>
    <row r="4" spans="1:35" ht="11.25" customHeight="1">
      <c r="A4" s="649"/>
      <c r="B4" s="649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</row>
    <row r="5" spans="1:41" ht="20.25" customHeight="1">
      <c r="A5" s="655" t="s">
        <v>45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M5" s="642">
        <v>42917</v>
      </c>
      <c r="AN5" s="643"/>
      <c r="AO5" s="153"/>
    </row>
    <row r="6" spans="1:35" ht="1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4" ht="13.5" customHeight="1">
      <c r="A7" s="640" t="s">
        <v>0</v>
      </c>
      <c r="B7" s="650" t="s">
        <v>9</v>
      </c>
      <c r="C7" s="633" t="s">
        <v>1</v>
      </c>
      <c r="D7" s="652" t="s">
        <v>32</v>
      </c>
      <c r="E7" s="653"/>
      <c r="F7" s="632" t="s">
        <v>5</v>
      </c>
      <c r="G7" s="631"/>
      <c r="H7" s="631" t="s">
        <v>4</v>
      </c>
      <c r="I7" s="631"/>
      <c r="J7" s="631" t="s">
        <v>8</v>
      </c>
      <c r="K7" s="633"/>
      <c r="L7" s="629" t="s">
        <v>11</v>
      </c>
      <c r="M7" s="630"/>
      <c r="N7" s="632" t="s">
        <v>12</v>
      </c>
      <c r="O7" s="631"/>
      <c r="P7" s="631" t="s">
        <v>13</v>
      </c>
      <c r="Q7" s="631"/>
      <c r="R7" s="631" t="s">
        <v>14</v>
      </c>
      <c r="S7" s="636"/>
      <c r="T7" s="629" t="s">
        <v>15</v>
      </c>
      <c r="U7" s="630"/>
      <c r="V7" s="632" t="s">
        <v>17</v>
      </c>
      <c r="W7" s="631"/>
      <c r="X7" s="631" t="s">
        <v>18</v>
      </c>
      <c r="Y7" s="631"/>
      <c r="Z7" s="631" t="s">
        <v>19</v>
      </c>
      <c r="AA7" s="633"/>
      <c r="AB7" s="629" t="s">
        <v>16</v>
      </c>
      <c r="AC7" s="630"/>
      <c r="AD7" s="640" t="s">
        <v>21</v>
      </c>
      <c r="AE7" s="631"/>
      <c r="AF7" s="631"/>
      <c r="AG7" s="631"/>
      <c r="AH7" s="631" t="s">
        <v>22</v>
      </c>
      <c r="AI7" s="631"/>
      <c r="AJ7" s="86" t="s">
        <v>20</v>
      </c>
      <c r="AK7" s="631" t="s">
        <v>23</v>
      </c>
      <c r="AL7" s="636"/>
      <c r="AM7" s="629" t="s">
        <v>46</v>
      </c>
      <c r="AN7" s="630"/>
      <c r="AO7" s="646" t="s">
        <v>55</v>
      </c>
      <c r="AP7" s="644" t="s">
        <v>57</v>
      </c>
      <c r="AQ7" s="232"/>
      <c r="AR7" s="232"/>
    </row>
    <row r="8" spans="1:46" ht="39" customHeight="1">
      <c r="A8" s="657"/>
      <c r="B8" s="658"/>
      <c r="C8" s="659"/>
      <c r="D8" s="75" t="s">
        <v>44</v>
      </c>
      <c r="E8" s="60" t="s">
        <v>33</v>
      </c>
      <c r="F8" s="57" t="s">
        <v>6</v>
      </c>
      <c r="G8" s="46" t="s">
        <v>31</v>
      </c>
      <c r="H8" s="45" t="s">
        <v>6</v>
      </c>
      <c r="I8" s="46" t="s">
        <v>31</v>
      </c>
      <c r="J8" s="45" t="s">
        <v>6</v>
      </c>
      <c r="K8" s="55" t="s">
        <v>7</v>
      </c>
      <c r="L8" s="59" t="s">
        <v>6</v>
      </c>
      <c r="M8" s="60" t="s">
        <v>7</v>
      </c>
      <c r="N8" s="57" t="s">
        <v>6</v>
      </c>
      <c r="O8" s="44" t="s">
        <v>7</v>
      </c>
      <c r="P8" s="45" t="s">
        <v>6</v>
      </c>
      <c r="Q8" s="44" t="s">
        <v>7</v>
      </c>
      <c r="R8" s="45" t="s">
        <v>6</v>
      </c>
      <c r="S8" s="152" t="s">
        <v>7</v>
      </c>
      <c r="T8" s="59" t="s">
        <v>6</v>
      </c>
      <c r="U8" s="60" t="s">
        <v>7</v>
      </c>
      <c r="V8" s="57" t="s">
        <v>6</v>
      </c>
      <c r="W8" s="44" t="s">
        <v>7</v>
      </c>
      <c r="X8" s="45" t="s">
        <v>6</v>
      </c>
      <c r="Y8" s="44" t="s">
        <v>7</v>
      </c>
      <c r="Z8" s="45" t="s">
        <v>6</v>
      </c>
      <c r="AA8" s="54" t="s">
        <v>7</v>
      </c>
      <c r="AB8" s="59" t="s">
        <v>6</v>
      </c>
      <c r="AC8" s="68" t="s">
        <v>7</v>
      </c>
      <c r="AD8" s="157" t="s">
        <v>6</v>
      </c>
      <c r="AE8" s="45" t="s">
        <v>7</v>
      </c>
      <c r="AF8" s="45" t="s">
        <v>6</v>
      </c>
      <c r="AG8" s="45" t="s">
        <v>7</v>
      </c>
      <c r="AH8" s="45" t="s">
        <v>6</v>
      </c>
      <c r="AI8" s="45" t="s">
        <v>7</v>
      </c>
      <c r="AJ8" s="45" t="s">
        <v>6</v>
      </c>
      <c r="AK8" s="45" t="s">
        <v>6</v>
      </c>
      <c r="AL8" s="142" t="s">
        <v>7</v>
      </c>
      <c r="AM8" s="69" t="s">
        <v>6</v>
      </c>
      <c r="AN8" s="70" t="s">
        <v>7</v>
      </c>
      <c r="AO8" s="647"/>
      <c r="AP8" s="645"/>
      <c r="AQ8" s="232"/>
      <c r="AR8" s="232"/>
      <c r="AS8" s="662"/>
      <c r="AT8" s="663"/>
    </row>
    <row r="9" spans="1:49" ht="35.25" customHeight="1">
      <c r="A9" s="87" t="s">
        <v>3</v>
      </c>
      <c r="B9" s="52" t="s">
        <v>10</v>
      </c>
      <c r="C9" s="71"/>
      <c r="D9" s="137">
        <f>D10+D13</f>
        <v>28384.9</v>
      </c>
      <c r="E9" s="62">
        <f>G9+I9+K9+O9+Q9+S9+W9+Y9+AA9+AG9+AI9+AL9</f>
        <v>0</v>
      </c>
      <c r="F9" s="73">
        <f>0</f>
        <v>0</v>
      </c>
      <c r="G9" s="53">
        <v>0</v>
      </c>
      <c r="H9" s="53">
        <v>0</v>
      </c>
      <c r="I9" s="53">
        <v>0</v>
      </c>
      <c r="J9" s="53">
        <v>0</v>
      </c>
      <c r="K9" s="79">
        <v>0</v>
      </c>
      <c r="L9" s="77">
        <f>L10</f>
        <v>0</v>
      </c>
      <c r="M9" s="78">
        <v>0</v>
      </c>
      <c r="N9" s="73">
        <f>N10</f>
        <v>0</v>
      </c>
      <c r="O9" s="73">
        <f aca="true" t="shared" si="0" ref="O9:AL9">O10</f>
        <v>0</v>
      </c>
      <c r="P9" s="73">
        <f t="shared" si="0"/>
        <v>0</v>
      </c>
      <c r="Q9" s="73">
        <f t="shared" si="0"/>
        <v>0</v>
      </c>
      <c r="R9" s="73">
        <f t="shared" si="0"/>
        <v>0</v>
      </c>
      <c r="S9" s="141">
        <f t="shared" si="0"/>
        <v>0</v>
      </c>
      <c r="T9" s="138">
        <f t="shared" si="0"/>
        <v>0</v>
      </c>
      <c r="U9" s="139">
        <f t="shared" si="0"/>
        <v>0</v>
      </c>
      <c r="V9" s="73">
        <f>V13</f>
        <v>100</v>
      </c>
      <c r="W9" s="73">
        <f t="shared" si="0"/>
        <v>0</v>
      </c>
      <c r="X9" s="73">
        <f t="shared" si="0"/>
        <v>0</v>
      </c>
      <c r="Y9" s="73">
        <f t="shared" si="0"/>
        <v>0</v>
      </c>
      <c r="Z9" s="73">
        <f>Z10+Z1</f>
        <v>28284.9</v>
      </c>
      <c r="AA9" s="129">
        <f t="shared" si="0"/>
        <v>0</v>
      </c>
      <c r="AB9" s="77">
        <f>AB10+AB13</f>
        <v>28384.9</v>
      </c>
      <c r="AC9" s="131">
        <f t="shared" si="0"/>
        <v>0</v>
      </c>
      <c r="AD9" s="158">
        <f t="shared" si="0"/>
        <v>0</v>
      </c>
      <c r="AE9" s="73" t="e">
        <f t="shared" si="0"/>
        <v>#REF!</v>
      </c>
      <c r="AF9" s="73" t="e">
        <f t="shared" si="0"/>
        <v>#REF!</v>
      </c>
      <c r="AG9" s="73">
        <f t="shared" si="0"/>
        <v>0</v>
      </c>
      <c r="AH9" s="73">
        <f t="shared" si="0"/>
        <v>0</v>
      </c>
      <c r="AI9" s="73">
        <f t="shared" si="0"/>
        <v>0</v>
      </c>
      <c r="AJ9" s="73">
        <f t="shared" si="0"/>
        <v>0</v>
      </c>
      <c r="AK9" s="73">
        <f t="shared" si="0"/>
        <v>0</v>
      </c>
      <c r="AL9" s="141">
        <f t="shared" si="0"/>
        <v>0</v>
      </c>
      <c r="AM9" s="77">
        <f>AM10+AM13</f>
        <v>28384.9</v>
      </c>
      <c r="AN9" s="233">
        <f>AN10</f>
        <v>0</v>
      </c>
      <c r="AO9" s="236"/>
      <c r="AP9" s="88"/>
      <c r="AQ9" s="38"/>
      <c r="AR9" s="38"/>
      <c r="AS9" s="89"/>
      <c r="AT9" s="89"/>
      <c r="AU9" s="38"/>
      <c r="AV9" s="38"/>
      <c r="AW9" s="38"/>
    </row>
    <row r="10" spans="1:46" ht="39" customHeight="1">
      <c r="A10" s="664" t="s">
        <v>41</v>
      </c>
      <c r="B10" s="665"/>
      <c r="C10" s="666"/>
      <c r="D10" s="61">
        <f>D11+D12</f>
        <v>28284.9</v>
      </c>
      <c r="E10" s="62">
        <f>G10+I10+K10+O10+Q10+S10+W10+Y10+AA10+AG10+AI10+AL10</f>
        <v>0</v>
      </c>
      <c r="F10" s="136">
        <f aca="true" t="shared" si="1" ref="F10:M10">F11+F12</f>
        <v>0</v>
      </c>
      <c r="G10" s="136">
        <f t="shared" si="1"/>
        <v>0</v>
      </c>
      <c r="H10" s="136">
        <f t="shared" si="1"/>
        <v>0</v>
      </c>
      <c r="I10" s="136">
        <f t="shared" si="1"/>
        <v>0</v>
      </c>
      <c r="J10" s="136">
        <f t="shared" si="1"/>
        <v>0</v>
      </c>
      <c r="K10" s="136">
        <f t="shared" si="1"/>
        <v>0</v>
      </c>
      <c r="L10" s="61">
        <f t="shared" si="1"/>
        <v>0</v>
      </c>
      <c r="M10" s="146">
        <f t="shared" si="1"/>
        <v>0</v>
      </c>
      <c r="N10" s="136">
        <f aca="true" t="shared" si="2" ref="N10:S10">N11+N12</f>
        <v>0</v>
      </c>
      <c r="O10" s="136">
        <f t="shared" si="2"/>
        <v>0</v>
      </c>
      <c r="P10" s="136">
        <f t="shared" si="2"/>
        <v>0</v>
      </c>
      <c r="Q10" s="136">
        <f t="shared" si="2"/>
        <v>0</v>
      </c>
      <c r="R10" s="136">
        <f t="shared" si="2"/>
        <v>0</v>
      </c>
      <c r="S10" s="146">
        <f t="shared" si="2"/>
        <v>0</v>
      </c>
      <c r="T10" s="61">
        <f aca="true" t="shared" si="3" ref="T10:AD10">T11+T12</f>
        <v>0</v>
      </c>
      <c r="U10" s="146">
        <f t="shared" si="3"/>
        <v>0</v>
      </c>
      <c r="V10" s="136">
        <f t="shared" si="3"/>
        <v>0</v>
      </c>
      <c r="W10" s="136">
        <f t="shared" si="3"/>
        <v>0</v>
      </c>
      <c r="X10" s="136">
        <f t="shared" si="3"/>
        <v>0</v>
      </c>
      <c r="Y10" s="136">
        <f t="shared" si="3"/>
        <v>0</v>
      </c>
      <c r="Z10" s="136">
        <f t="shared" si="3"/>
        <v>28284.9</v>
      </c>
      <c r="AA10" s="136">
        <f t="shared" si="3"/>
        <v>0</v>
      </c>
      <c r="AB10" s="61">
        <f t="shared" si="3"/>
        <v>28284.9</v>
      </c>
      <c r="AC10" s="146">
        <f t="shared" si="3"/>
        <v>0</v>
      </c>
      <c r="AD10" s="61">
        <f t="shared" si="3"/>
        <v>0</v>
      </c>
      <c r="AE10" s="136" t="e">
        <f>AE11+AE12+#REF!</f>
        <v>#REF!</v>
      </c>
      <c r="AF10" s="136" t="e">
        <f>AF11+AF12+#REF!</f>
        <v>#REF!</v>
      </c>
      <c r="AG10" s="136">
        <f aca="true" t="shared" si="4" ref="AG10:AN10">AG11+AG12</f>
        <v>0</v>
      </c>
      <c r="AH10" s="136">
        <f t="shared" si="4"/>
        <v>0</v>
      </c>
      <c r="AI10" s="136">
        <f t="shared" si="4"/>
        <v>0</v>
      </c>
      <c r="AJ10" s="136">
        <f t="shared" si="4"/>
        <v>0</v>
      </c>
      <c r="AK10" s="136">
        <f t="shared" si="4"/>
        <v>0</v>
      </c>
      <c r="AL10" s="146">
        <f t="shared" si="4"/>
        <v>0</v>
      </c>
      <c r="AM10" s="61">
        <f t="shared" si="4"/>
        <v>28284.9</v>
      </c>
      <c r="AN10" s="130">
        <f t="shared" si="4"/>
        <v>0</v>
      </c>
      <c r="AO10" s="237"/>
      <c r="AP10" s="220"/>
      <c r="AQ10" s="219"/>
      <c r="AR10" s="219"/>
      <c r="AS10" s="211"/>
      <c r="AT10" s="89"/>
    </row>
    <row r="11" spans="1:46" ht="34.5" customHeight="1" thickBot="1">
      <c r="A11" s="660" t="s">
        <v>40</v>
      </c>
      <c r="B11" s="47" t="s">
        <v>2</v>
      </c>
      <c r="C11" s="140" t="s">
        <v>30</v>
      </c>
      <c r="D11" s="144">
        <f>Z11</f>
        <v>26870.7</v>
      </c>
      <c r="E11" s="145">
        <f>G11+I11+K11+O11+Q11+S11+W11+Y11+AA11+AG11+AI11+AL11</f>
        <v>0</v>
      </c>
      <c r="F11" s="76">
        <v>0</v>
      </c>
      <c r="G11" s="48">
        <v>0</v>
      </c>
      <c r="H11" s="80">
        <v>0</v>
      </c>
      <c r="I11" s="48">
        <v>0</v>
      </c>
      <c r="J11" s="48">
        <v>0</v>
      </c>
      <c r="K11" s="81">
        <v>0</v>
      </c>
      <c r="L11" s="127">
        <f>F11+H11+J11</f>
        <v>0</v>
      </c>
      <c r="M11" s="128">
        <f>G11+I11+K11</f>
        <v>0</v>
      </c>
      <c r="N11" s="74">
        <v>0</v>
      </c>
      <c r="O11" s="48">
        <v>0</v>
      </c>
      <c r="P11" s="48">
        <v>0</v>
      </c>
      <c r="Q11" s="48">
        <v>0</v>
      </c>
      <c r="R11" s="48">
        <v>0</v>
      </c>
      <c r="S11" s="151">
        <v>0</v>
      </c>
      <c r="T11" s="127">
        <f>L11+N11+P11+R11</f>
        <v>0</v>
      </c>
      <c r="U11" s="67">
        <f>M11+O11+Q11+S11</f>
        <v>0</v>
      </c>
      <c r="V11" s="74">
        <v>0</v>
      </c>
      <c r="W11" s="74">
        <v>0</v>
      </c>
      <c r="X11" s="74">
        <v>0</v>
      </c>
      <c r="Y11" s="74">
        <v>0</v>
      </c>
      <c r="Z11" s="74">
        <v>26870.7</v>
      </c>
      <c r="AA11" s="91">
        <v>0</v>
      </c>
      <c r="AB11" s="127">
        <f>T11+V11+X11+Z11</f>
        <v>26870.7</v>
      </c>
      <c r="AC11" s="67">
        <f>U11+W11+Y11+AA11</f>
        <v>0</v>
      </c>
      <c r="AD11" s="159">
        <v>0</v>
      </c>
      <c r="AE11" s="48"/>
      <c r="AF11" s="48"/>
      <c r="AG11" s="132">
        <v>0</v>
      </c>
      <c r="AH11" s="132">
        <v>0</v>
      </c>
      <c r="AI11" s="132">
        <v>0</v>
      </c>
      <c r="AJ11" s="133"/>
      <c r="AK11" s="132">
        <v>0</v>
      </c>
      <c r="AL11" s="143">
        <v>0</v>
      </c>
      <c r="AM11" s="98">
        <f>AB11+AD11+AH11+AK11</f>
        <v>26870.7</v>
      </c>
      <c r="AN11" s="234">
        <f>AC11+AG11+AI11+AL11</f>
        <v>0</v>
      </c>
      <c r="AO11" s="220" t="s">
        <v>62</v>
      </c>
      <c r="AP11" s="220"/>
      <c r="AQ11" s="219"/>
      <c r="AR11" s="219"/>
      <c r="AS11" s="89"/>
      <c r="AT11" s="89"/>
    </row>
    <row r="12" spans="1:44" ht="24.75" customHeight="1">
      <c r="A12" s="661"/>
      <c r="B12" s="192" t="s">
        <v>2</v>
      </c>
      <c r="C12" s="193" t="s">
        <v>27</v>
      </c>
      <c r="D12" s="196">
        <f>Z12</f>
        <v>1414.2</v>
      </c>
      <c r="E12" s="134">
        <f>G12+I12+K12+O12+Q12+S12+W12+Y12+AA12+AG12+AI12+AL12</f>
        <v>0</v>
      </c>
      <c r="F12" s="197">
        <v>0</v>
      </c>
      <c r="G12" s="132">
        <v>0</v>
      </c>
      <c r="H12" s="198">
        <v>0</v>
      </c>
      <c r="I12" s="132">
        <v>0</v>
      </c>
      <c r="J12" s="132">
        <v>0</v>
      </c>
      <c r="K12" s="199">
        <v>0</v>
      </c>
      <c r="L12" s="196">
        <f>F12+H12+J12</f>
        <v>0</v>
      </c>
      <c r="M12" s="134">
        <f>G12+I12+K12</f>
        <v>0</v>
      </c>
      <c r="N12" s="197">
        <v>0</v>
      </c>
      <c r="O12" s="132">
        <v>0</v>
      </c>
      <c r="P12" s="198">
        <v>0</v>
      </c>
      <c r="Q12" s="132">
        <v>0</v>
      </c>
      <c r="R12" s="132">
        <v>0</v>
      </c>
      <c r="S12" s="200">
        <v>0</v>
      </c>
      <c r="T12" s="196">
        <f>N12+P12+R12</f>
        <v>0</v>
      </c>
      <c r="U12" s="134">
        <f>O12+Q12+S12</f>
        <v>0</v>
      </c>
      <c r="V12" s="201">
        <v>0</v>
      </c>
      <c r="W12" s="202">
        <v>0</v>
      </c>
      <c r="X12" s="202">
        <v>0</v>
      </c>
      <c r="Y12" s="202">
        <v>0</v>
      </c>
      <c r="Z12" s="202">
        <v>1414.2</v>
      </c>
      <c r="AA12" s="203">
        <v>0</v>
      </c>
      <c r="AB12" s="204">
        <f>Z12</f>
        <v>1414.2</v>
      </c>
      <c r="AC12" s="123">
        <f>U12+W12+Y12+AA12</f>
        <v>0</v>
      </c>
      <c r="AD12" s="205">
        <v>0</v>
      </c>
      <c r="AE12" s="132"/>
      <c r="AF12" s="132"/>
      <c r="AG12" s="132">
        <v>0</v>
      </c>
      <c r="AH12" s="132">
        <v>0</v>
      </c>
      <c r="AI12" s="132">
        <v>0</v>
      </c>
      <c r="AJ12" s="133"/>
      <c r="AK12" s="132">
        <v>0</v>
      </c>
      <c r="AL12" s="143">
        <v>0</v>
      </c>
      <c r="AM12" s="206">
        <f>AB12</f>
        <v>1414.2</v>
      </c>
      <c r="AN12" s="234">
        <f>AC12+AG12+AI12+AL12</f>
        <v>0</v>
      </c>
      <c r="AO12" s="220" t="s">
        <v>62</v>
      </c>
      <c r="AP12" s="220"/>
      <c r="AQ12" s="219"/>
      <c r="AR12" s="219"/>
    </row>
    <row r="13" spans="1:44" ht="27.75" customHeight="1">
      <c r="A13" s="656" t="s">
        <v>61</v>
      </c>
      <c r="B13" s="192" t="s">
        <v>2</v>
      </c>
      <c r="C13" s="195" t="s">
        <v>27</v>
      </c>
      <c r="D13" s="207">
        <v>100</v>
      </c>
      <c r="E13" s="207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207">
        <v>0</v>
      </c>
      <c r="M13" s="207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207">
        <v>0</v>
      </c>
      <c r="U13" s="207">
        <v>0</v>
      </c>
      <c r="V13" s="223">
        <v>100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222">
        <v>100</v>
      </c>
      <c r="AC13" s="207">
        <v>0</v>
      </c>
      <c r="AD13" s="135">
        <v>0</v>
      </c>
      <c r="AE13" s="135"/>
      <c r="AF13" s="135"/>
      <c r="AG13" s="135">
        <v>0</v>
      </c>
      <c r="AH13" s="135">
        <v>0</v>
      </c>
      <c r="AI13" s="135">
        <v>0</v>
      </c>
      <c r="AJ13" s="135"/>
      <c r="AK13" s="135">
        <v>0</v>
      </c>
      <c r="AL13" s="135">
        <v>0</v>
      </c>
      <c r="AM13" s="207">
        <v>100</v>
      </c>
      <c r="AN13" s="235">
        <v>0</v>
      </c>
      <c r="AO13" s="220" t="s">
        <v>62</v>
      </c>
      <c r="AP13" s="220"/>
      <c r="AQ13" s="219"/>
      <c r="AR13" s="219"/>
    </row>
    <row r="14" spans="1:14" ht="1.5" customHeight="1">
      <c r="A14" s="656"/>
      <c r="B14" s="194"/>
      <c r="C14" s="194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4"/>
    </row>
    <row r="15" spans="2:14" ht="12.75"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4"/>
    </row>
    <row r="16" spans="2:14" ht="12.75"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4"/>
    </row>
    <row r="17" spans="2:14" ht="12.75">
      <c r="B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2:14" ht="12.75">
      <c r="B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5"/>
    </row>
    <row r="19" spans="2:14" ht="12.75">
      <c r="B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5"/>
    </row>
    <row r="20" spans="2:14" ht="12.75">
      <c r="B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5"/>
    </row>
    <row r="21" spans="2:14" ht="12.75">
      <c r="B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6"/>
    </row>
    <row r="22" spans="2:14" ht="12.75">
      <c r="B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5"/>
    </row>
    <row r="23" spans="2:14" ht="12.75">
      <c r="B23" s="92"/>
      <c r="N23" s="96"/>
    </row>
    <row r="24" spans="1:3" ht="12.75">
      <c r="A24" s="92"/>
      <c r="B24" s="92"/>
      <c r="C24" s="92"/>
    </row>
    <row r="25" spans="1:3" ht="75.75" customHeight="1">
      <c r="A25" s="92"/>
      <c r="B25" s="92"/>
      <c r="C25" s="92"/>
    </row>
    <row r="26" ht="12.75">
      <c r="B26" s="92"/>
    </row>
    <row r="27" ht="12.75">
      <c r="B27" s="92"/>
    </row>
    <row r="28" ht="12.75">
      <c r="B28" s="92"/>
    </row>
    <row r="29" ht="12.75">
      <c r="B29" s="92"/>
    </row>
    <row r="30" ht="12.75">
      <c r="B30" s="92"/>
    </row>
    <row r="31" ht="12.75">
      <c r="B31" s="92"/>
    </row>
    <row r="32" ht="12.75">
      <c r="B32" s="92"/>
    </row>
    <row r="33" ht="12.75">
      <c r="B33" s="92"/>
    </row>
    <row r="34" ht="12.75">
      <c r="B34" s="92"/>
    </row>
    <row r="35" ht="12.75">
      <c r="B35" s="92"/>
    </row>
    <row r="36" ht="12.75">
      <c r="B36" s="92"/>
    </row>
    <row r="37" ht="12.75">
      <c r="B37" s="92"/>
    </row>
    <row r="38" ht="12.75">
      <c r="B38" s="92"/>
    </row>
    <row r="39" ht="12.75">
      <c r="B39" s="92"/>
    </row>
    <row r="40" ht="12.75">
      <c r="B40" s="92"/>
    </row>
    <row r="41" ht="12.75">
      <c r="B41" s="92"/>
    </row>
    <row r="42" ht="12.75">
      <c r="B42" s="92"/>
    </row>
    <row r="43" ht="12.75">
      <c r="B43" s="92"/>
    </row>
    <row r="44" ht="12.75">
      <c r="B44" s="92"/>
    </row>
    <row r="45" ht="12.75">
      <c r="B45" s="92"/>
    </row>
    <row r="46" ht="12.75">
      <c r="B46" s="92"/>
    </row>
    <row r="47" ht="12.75">
      <c r="B47" s="92"/>
    </row>
    <row r="48" ht="12.75">
      <c r="B48" s="92"/>
    </row>
    <row r="49" ht="12.75">
      <c r="B49" s="92"/>
    </row>
    <row r="50" ht="12.75">
      <c r="B50" s="92"/>
    </row>
    <row r="51" ht="12.75">
      <c r="B51" s="92"/>
    </row>
    <row r="52" ht="12.75">
      <c r="B52" s="92"/>
    </row>
    <row r="53" ht="12.75">
      <c r="B53" s="92"/>
    </row>
    <row r="54" ht="12.75">
      <c r="B54" s="92"/>
    </row>
    <row r="55" ht="12.75">
      <c r="B55" s="92"/>
    </row>
    <row r="56" ht="12.75">
      <c r="B56" s="92"/>
    </row>
    <row r="57" ht="12.75">
      <c r="B57" s="92"/>
    </row>
    <row r="58" ht="12.75">
      <c r="B58" s="92"/>
    </row>
    <row r="59" ht="12.75">
      <c r="B59" s="92"/>
    </row>
    <row r="60" ht="12.75">
      <c r="B60" s="92"/>
    </row>
    <row r="61" ht="12.75">
      <c r="B61" s="92"/>
    </row>
    <row r="62" ht="12.75">
      <c r="B62" s="92"/>
    </row>
    <row r="63" ht="12.75">
      <c r="B63" s="92"/>
    </row>
    <row r="64" ht="12.75">
      <c r="B64" s="92"/>
    </row>
    <row r="65" ht="12.75">
      <c r="B65" s="92"/>
    </row>
    <row r="66" ht="12.75">
      <c r="B66" s="92"/>
    </row>
    <row r="67" ht="12.75">
      <c r="B67" s="92"/>
    </row>
    <row r="68" ht="12.75">
      <c r="B68" s="92"/>
    </row>
    <row r="69" ht="12.75">
      <c r="B69" s="92"/>
    </row>
    <row r="70" ht="12.75">
      <c r="B70" s="92"/>
    </row>
    <row r="71" ht="12.75">
      <c r="B71" s="92"/>
    </row>
    <row r="72" ht="12.75">
      <c r="B72" s="92"/>
    </row>
    <row r="73" ht="12.75">
      <c r="B73" s="92"/>
    </row>
    <row r="74" ht="12.75">
      <c r="B74" s="92"/>
    </row>
    <row r="75" ht="12.75">
      <c r="B75" s="92"/>
    </row>
    <row r="76" ht="12.75">
      <c r="B76" s="92"/>
    </row>
    <row r="77" ht="12.75">
      <c r="B77" s="92"/>
    </row>
    <row r="78" ht="12.75">
      <c r="B78" s="92"/>
    </row>
    <row r="79" ht="12.75">
      <c r="B79" s="92"/>
    </row>
    <row r="80" ht="12.75">
      <c r="B80" s="92"/>
    </row>
    <row r="81" ht="12.75">
      <c r="B81" s="92"/>
    </row>
    <row r="82" ht="12.75">
      <c r="B82" s="92"/>
    </row>
  </sheetData>
  <sheetProtection/>
  <mergeCells count="29">
    <mergeCell ref="AM5:AN5"/>
    <mergeCell ref="A10:C10"/>
    <mergeCell ref="R7:S7"/>
    <mergeCell ref="T7:U7"/>
    <mergeCell ref="AP7:AP8"/>
    <mergeCell ref="AO7:AO8"/>
    <mergeCell ref="AM7:AN7"/>
    <mergeCell ref="AH7:AI7"/>
    <mergeCell ref="AK7:AL7"/>
    <mergeCell ref="A13:A14"/>
    <mergeCell ref="A7:A8"/>
    <mergeCell ref="B7:B8"/>
    <mergeCell ref="C7:C8"/>
    <mergeCell ref="A11:A12"/>
    <mergeCell ref="AS8:AT8"/>
    <mergeCell ref="X7:Y7"/>
    <mergeCell ref="Z7:AA7"/>
    <mergeCell ref="AB7:AC7"/>
    <mergeCell ref="AD7:AG7"/>
    <mergeCell ref="A4:AI4"/>
    <mergeCell ref="D7:E7"/>
    <mergeCell ref="A5:M5"/>
    <mergeCell ref="F7:G7"/>
    <mergeCell ref="H7:I7"/>
    <mergeCell ref="L7:M7"/>
    <mergeCell ref="N7:O7"/>
    <mergeCell ref="V7:W7"/>
    <mergeCell ref="J7:K7"/>
    <mergeCell ref="P7:Q7"/>
  </mergeCells>
  <printOptions/>
  <pageMargins left="0.7874015748031497" right="0.1968503937007874" top="0.4724409448818898" bottom="0.1968503937007874" header="0.5118110236220472" footer="0.1968503937007874"/>
  <pageSetup horizontalDpi="600" verticalDpi="600" orientation="landscape" paperSize="9" scale="73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M108"/>
  <sheetViews>
    <sheetView tabSelected="1" view="pageBreakPreview" zoomScale="90" zoomScaleSheetLayoutView="90" zoomScalePageLayoutView="0" workbookViewId="0" topLeftCell="A1">
      <selection activeCell="L79" sqref="L79"/>
    </sheetView>
  </sheetViews>
  <sheetFormatPr defaultColWidth="9.00390625" defaultRowHeight="12.75"/>
  <cols>
    <col min="1" max="1" width="4.00390625" style="323" customWidth="1"/>
    <col min="2" max="2" width="28.00390625" style="238" customWidth="1"/>
    <col min="3" max="3" width="15.125" style="238" customWidth="1"/>
    <col min="4" max="4" width="2.125" style="238" hidden="1" customWidth="1"/>
    <col min="5" max="5" width="18.25390625" style="238" customWidth="1"/>
    <col min="6" max="7" width="10.125" style="238" customWidth="1"/>
    <col min="8" max="8" width="7.875" style="238" customWidth="1"/>
    <col min="9" max="9" width="8.25390625" style="238" customWidth="1"/>
    <col min="10" max="10" width="6.875" style="154" customWidth="1"/>
    <col min="11" max="11" width="7.875" style="154" customWidth="1"/>
    <col min="12" max="12" width="8.625" style="238" customWidth="1"/>
    <col min="13" max="13" width="8.625" style="154" customWidth="1"/>
    <col min="14" max="14" width="8.75390625" style="154" customWidth="1"/>
    <col min="15" max="15" width="9.375" style="238" customWidth="1"/>
    <col min="16" max="16" width="8.75390625" style="154" customWidth="1"/>
    <col min="17" max="17" width="7.75390625" style="597" customWidth="1"/>
    <col min="18" max="18" width="7.625" style="316" hidden="1" customWidth="1"/>
    <col min="19" max="19" width="6.375" style="316" hidden="1" customWidth="1"/>
    <col min="20" max="20" width="7.375" style="316" hidden="1" customWidth="1"/>
    <col min="21" max="21" width="8.125" style="316" hidden="1" customWidth="1"/>
    <col min="22" max="22" width="15.00390625" style="316" hidden="1" customWidth="1"/>
    <col min="23" max="23" width="8.25390625" style="238" customWidth="1"/>
    <col min="24" max="24" width="8.125" style="154" customWidth="1"/>
    <col min="25" max="25" width="8.25390625" style="154" customWidth="1"/>
    <col min="26" max="26" width="8.375" style="238" customWidth="1"/>
    <col min="27" max="27" width="9.125" style="154" customWidth="1"/>
    <col min="28" max="28" width="7.375" style="154" customWidth="1"/>
    <col min="29" max="29" width="9.00390625" style="238" customWidth="1"/>
    <col min="30" max="30" width="7.75390625" style="154" customWidth="1"/>
    <col min="31" max="31" width="8.375" style="597" customWidth="1"/>
    <col min="32" max="32" width="12.125" style="154" hidden="1" customWidth="1"/>
    <col min="33" max="34" width="11.125" style="154" hidden="1" customWidth="1"/>
    <col min="35" max="35" width="12.25390625" style="154" hidden="1" customWidth="1"/>
    <col min="36" max="36" width="13.375" style="154" hidden="1" customWidth="1"/>
    <col min="37" max="37" width="9.25390625" style="238" customWidth="1"/>
    <col min="38" max="38" width="8.875" style="154" customWidth="1"/>
    <col min="39" max="39" width="7.375" style="154" customWidth="1"/>
    <col min="40" max="40" width="9.00390625" style="238" customWidth="1"/>
    <col min="41" max="41" width="8.125" style="154" customWidth="1"/>
    <col min="42" max="42" width="8.625" style="154" customWidth="1"/>
    <col min="43" max="43" width="8.875" style="238" customWidth="1"/>
    <col min="44" max="44" width="7.25390625" style="154" customWidth="1"/>
    <col min="45" max="45" width="7.875" style="597" customWidth="1"/>
    <col min="46" max="46" width="0.12890625" style="154" hidden="1" customWidth="1"/>
    <col min="47" max="48" width="10.25390625" style="154" hidden="1" customWidth="1"/>
    <col min="49" max="49" width="11.625" style="154" hidden="1" customWidth="1"/>
    <col min="50" max="50" width="15.125" style="154" hidden="1" customWidth="1"/>
    <col min="51" max="51" width="9.375" style="238" customWidth="1"/>
    <col min="52" max="52" width="7.75390625" style="154" customWidth="1"/>
    <col min="53" max="53" width="7.875" style="154" customWidth="1"/>
    <col min="54" max="54" width="8.75390625" style="238" customWidth="1"/>
    <col min="55" max="55" width="8.375" style="154" customWidth="1"/>
    <col min="56" max="56" width="7.125" style="154" hidden="1" customWidth="1"/>
    <col min="57" max="57" width="7.875" style="597" customWidth="1"/>
    <col min="58" max="58" width="7.875" style="238" customWidth="1"/>
    <col min="59" max="59" width="8.25390625" style="154" customWidth="1"/>
    <col min="60" max="60" width="9.25390625" style="597" customWidth="1"/>
    <col min="61" max="61" width="13.125" style="154" hidden="1" customWidth="1"/>
    <col min="62" max="62" width="11.375" style="154" hidden="1" customWidth="1"/>
    <col min="63" max="63" width="18.00390625" style="154" hidden="1" customWidth="1"/>
    <col min="64" max="64" width="15.00390625" style="154" hidden="1" customWidth="1"/>
    <col min="65" max="65" width="94.00390625" style="238" customWidth="1"/>
    <col min="66" max="66" width="47.125" style="323" customWidth="1"/>
    <col min="67" max="67" width="33.25390625" style="154" customWidth="1"/>
    <col min="68" max="16384" width="9.125" style="154" customWidth="1"/>
  </cols>
  <sheetData>
    <row r="1" spans="1:66" ht="14.25">
      <c r="A1" s="154"/>
      <c r="B1" s="315"/>
      <c r="C1" s="154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W1" s="154"/>
      <c r="Z1" s="154"/>
      <c r="AC1" s="154"/>
      <c r="AE1" s="154"/>
      <c r="AK1" s="154"/>
      <c r="AN1" s="154"/>
      <c r="AQ1" s="154"/>
      <c r="AS1" s="154"/>
      <c r="AY1" s="154"/>
      <c r="BB1" s="154"/>
      <c r="BE1" s="154"/>
      <c r="BF1" s="154"/>
      <c r="BH1" s="154"/>
      <c r="BM1" s="773" t="s">
        <v>92</v>
      </c>
      <c r="BN1" s="773"/>
    </row>
    <row r="2" spans="1:66" ht="15">
      <c r="A2" s="154"/>
      <c r="B2" s="317"/>
      <c r="C2" s="154"/>
      <c r="D2" s="316"/>
      <c r="E2" s="316"/>
      <c r="F2" s="316"/>
      <c r="G2" s="316"/>
      <c r="H2" s="316"/>
      <c r="I2" s="316"/>
      <c r="J2" s="316"/>
      <c r="K2" s="316"/>
      <c r="L2" s="318"/>
      <c r="M2" s="316"/>
      <c r="N2" s="316"/>
      <c r="O2" s="316"/>
      <c r="P2" s="318"/>
      <c r="Q2" s="316"/>
      <c r="W2" s="154"/>
      <c r="Z2" s="244"/>
      <c r="AB2" s="244"/>
      <c r="AC2" s="154"/>
      <c r="AE2" s="154"/>
      <c r="AK2" s="154"/>
      <c r="AN2" s="154"/>
      <c r="AO2" s="244"/>
      <c r="AQ2" s="154"/>
      <c r="AS2" s="154"/>
      <c r="AY2" s="154"/>
      <c r="BB2" s="154"/>
      <c r="BE2" s="154"/>
      <c r="BF2" s="154"/>
      <c r="BH2" s="154"/>
      <c r="BM2" s="773" t="s">
        <v>93</v>
      </c>
      <c r="BN2" s="773"/>
    </row>
    <row r="3" spans="1:66" ht="15">
      <c r="A3" s="154"/>
      <c r="B3" s="317"/>
      <c r="C3" s="154"/>
      <c r="D3" s="316"/>
      <c r="E3" s="316"/>
      <c r="F3" s="316"/>
      <c r="G3" s="316"/>
      <c r="H3" s="316"/>
      <c r="I3" s="318"/>
      <c r="J3" s="316"/>
      <c r="K3" s="316"/>
      <c r="L3" s="316"/>
      <c r="M3" s="318"/>
      <c r="N3" s="316"/>
      <c r="O3" s="318"/>
      <c r="P3" s="318"/>
      <c r="Q3" s="316"/>
      <c r="W3" s="244"/>
      <c r="Z3" s="154"/>
      <c r="AB3" s="244"/>
      <c r="AC3" s="154"/>
      <c r="AD3" s="244"/>
      <c r="AE3" s="154"/>
      <c r="AK3" s="244"/>
      <c r="AL3" s="244"/>
      <c r="AM3" s="244"/>
      <c r="AN3" s="154"/>
      <c r="AQ3" s="154"/>
      <c r="AS3" s="154"/>
      <c r="AY3" s="154"/>
      <c r="BB3" s="154"/>
      <c r="BE3" s="154"/>
      <c r="BF3" s="154"/>
      <c r="BH3" s="154"/>
      <c r="BM3" s="773" t="s">
        <v>94</v>
      </c>
      <c r="BN3" s="773"/>
    </row>
    <row r="4" spans="1:66" ht="12.75">
      <c r="A4" s="154"/>
      <c r="B4" s="316"/>
      <c r="C4" s="154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8"/>
      <c r="Q4" s="316"/>
      <c r="W4" s="154"/>
      <c r="Y4" s="244"/>
      <c r="Z4" s="244"/>
      <c r="AA4" s="244"/>
      <c r="AC4" s="244"/>
      <c r="AE4" s="154"/>
      <c r="AK4" s="154"/>
      <c r="AN4" s="154"/>
      <c r="AO4" s="244"/>
      <c r="AP4" s="244"/>
      <c r="AQ4" s="154"/>
      <c r="AS4" s="244"/>
      <c r="AY4" s="154"/>
      <c r="AZ4" s="244"/>
      <c r="BB4" s="154"/>
      <c r="BE4" s="154"/>
      <c r="BF4" s="154"/>
      <c r="BH4" s="154"/>
      <c r="BM4" s="773"/>
      <c r="BN4" s="773"/>
    </row>
    <row r="5" spans="1:66" ht="12.75">
      <c r="A5" s="798" t="s">
        <v>174</v>
      </c>
      <c r="B5" s="798"/>
      <c r="C5" s="798"/>
      <c r="D5" s="798"/>
      <c r="E5" s="798"/>
      <c r="F5" s="798"/>
      <c r="G5" s="798"/>
      <c r="H5" s="798"/>
      <c r="I5" s="798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  <c r="Z5" s="798"/>
      <c r="AA5" s="798"/>
      <c r="AB5" s="798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798"/>
      <c r="AX5" s="798"/>
      <c r="AY5" s="798"/>
      <c r="AZ5" s="798"/>
      <c r="BA5" s="798"/>
      <c r="BB5" s="798"/>
      <c r="BC5" s="798"/>
      <c r="BD5" s="798"/>
      <c r="BE5" s="798"/>
      <c r="BF5" s="798"/>
      <c r="BG5" s="798"/>
      <c r="BH5" s="798"/>
      <c r="BM5" s="773"/>
      <c r="BN5" s="773"/>
    </row>
    <row r="6" spans="1:66" ht="14.25">
      <c r="A6" s="154"/>
      <c r="B6" s="777" t="s">
        <v>72</v>
      </c>
      <c r="C6" s="777"/>
      <c r="D6" s="777"/>
      <c r="E6" s="777"/>
      <c r="F6" s="777"/>
      <c r="G6" s="777"/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7"/>
      <c r="V6" s="777"/>
      <c r="W6" s="777"/>
      <c r="X6" s="777"/>
      <c r="Y6" s="777"/>
      <c r="Z6" s="777"/>
      <c r="AA6" s="777"/>
      <c r="AB6" s="777"/>
      <c r="AC6" s="777"/>
      <c r="AD6" s="320"/>
      <c r="AE6" s="244"/>
      <c r="AK6" s="154"/>
      <c r="AN6" s="154"/>
      <c r="AO6" s="244"/>
      <c r="AQ6" s="154"/>
      <c r="AS6" s="154"/>
      <c r="AY6" s="154"/>
      <c r="AZ6" s="244"/>
      <c r="BB6" s="154"/>
      <c r="BE6" s="154"/>
      <c r="BF6" s="154"/>
      <c r="BG6" s="244"/>
      <c r="BH6" s="154"/>
      <c r="BM6" s="773" t="s">
        <v>95</v>
      </c>
      <c r="BN6" s="773"/>
    </row>
    <row r="7" spans="1:66" ht="14.25">
      <c r="A7" s="154"/>
      <c r="B7" s="777" t="s">
        <v>172</v>
      </c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777"/>
      <c r="R7" s="777"/>
      <c r="S7" s="777"/>
      <c r="T7" s="777"/>
      <c r="U7" s="777"/>
      <c r="V7" s="777"/>
      <c r="W7" s="777"/>
      <c r="X7" s="777"/>
      <c r="Y7" s="777"/>
      <c r="Z7" s="777"/>
      <c r="AA7" s="777"/>
      <c r="AB7" s="777"/>
      <c r="AC7" s="777"/>
      <c r="AD7" s="777"/>
      <c r="AE7" s="154"/>
      <c r="AK7" s="154"/>
      <c r="AN7" s="154"/>
      <c r="AQ7" s="154"/>
      <c r="AS7" s="154"/>
      <c r="AY7" s="154"/>
      <c r="BB7" s="154"/>
      <c r="BE7" s="154"/>
      <c r="BF7" s="154"/>
      <c r="BH7" s="154"/>
      <c r="BM7" s="154"/>
      <c r="BN7" s="154"/>
    </row>
    <row r="8" spans="1:66" ht="15" thickBot="1">
      <c r="A8" s="154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154"/>
      <c r="AK8" s="154"/>
      <c r="AN8" s="154"/>
      <c r="AQ8" s="154"/>
      <c r="AS8" s="154"/>
      <c r="AY8" s="154"/>
      <c r="AZ8" s="244"/>
      <c r="BB8" s="154"/>
      <c r="BE8" s="154"/>
      <c r="BF8" s="154"/>
      <c r="BH8" s="154"/>
      <c r="BM8" s="154"/>
      <c r="BN8" s="154"/>
    </row>
    <row r="9" spans="1:66" ht="24.75" customHeight="1" thickBot="1">
      <c r="A9" s="685" t="s">
        <v>60</v>
      </c>
      <c r="B9" s="688" t="s">
        <v>143</v>
      </c>
      <c r="C9" s="691" t="s">
        <v>144</v>
      </c>
      <c r="D9" s="688" t="s">
        <v>66</v>
      </c>
      <c r="E9" s="688" t="s">
        <v>49</v>
      </c>
      <c r="F9" s="727" t="s">
        <v>145</v>
      </c>
      <c r="G9" s="728"/>
      <c r="H9" s="729"/>
      <c r="I9" s="738" t="s">
        <v>91</v>
      </c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739"/>
      <c r="AK9" s="739"/>
      <c r="AL9" s="739"/>
      <c r="AM9" s="739"/>
      <c r="AN9" s="739"/>
      <c r="AO9" s="739"/>
      <c r="AP9" s="739"/>
      <c r="AQ9" s="739"/>
      <c r="AR9" s="739"/>
      <c r="AS9" s="739"/>
      <c r="AT9" s="739"/>
      <c r="AU9" s="739"/>
      <c r="AV9" s="739"/>
      <c r="AW9" s="739"/>
      <c r="AX9" s="739"/>
      <c r="AY9" s="739"/>
      <c r="AZ9" s="739"/>
      <c r="BA9" s="739"/>
      <c r="BB9" s="739"/>
      <c r="BC9" s="739"/>
      <c r="BD9" s="739"/>
      <c r="BE9" s="739"/>
      <c r="BF9" s="739"/>
      <c r="BG9" s="739"/>
      <c r="BH9" s="739"/>
      <c r="BI9" s="739"/>
      <c r="BJ9" s="739"/>
      <c r="BK9" s="739"/>
      <c r="BL9" s="739"/>
      <c r="BM9" s="780" t="s">
        <v>55</v>
      </c>
      <c r="BN9" s="691" t="s">
        <v>57</v>
      </c>
    </row>
    <row r="10" spans="1:66" ht="25.5" customHeight="1" thickBot="1">
      <c r="A10" s="686"/>
      <c r="B10" s="689"/>
      <c r="C10" s="692"/>
      <c r="D10" s="689"/>
      <c r="E10" s="689"/>
      <c r="F10" s="730"/>
      <c r="G10" s="731"/>
      <c r="H10" s="732"/>
      <c r="I10" s="775" t="s">
        <v>5</v>
      </c>
      <c r="J10" s="775"/>
      <c r="K10" s="776"/>
      <c r="L10" s="775" t="s">
        <v>4</v>
      </c>
      <c r="M10" s="775"/>
      <c r="N10" s="775"/>
      <c r="O10" s="774" t="s">
        <v>8</v>
      </c>
      <c r="P10" s="775"/>
      <c r="Q10" s="776"/>
      <c r="R10" s="783" t="s">
        <v>11</v>
      </c>
      <c r="S10" s="784"/>
      <c r="T10" s="785"/>
      <c r="U10" s="270"/>
      <c r="V10" s="270"/>
      <c r="W10" s="774" t="s">
        <v>12</v>
      </c>
      <c r="X10" s="775"/>
      <c r="Y10" s="775"/>
      <c r="Z10" s="774" t="s">
        <v>13</v>
      </c>
      <c r="AA10" s="775"/>
      <c r="AB10" s="776"/>
      <c r="AC10" s="733" t="s">
        <v>14</v>
      </c>
      <c r="AD10" s="733"/>
      <c r="AE10" s="734"/>
      <c r="AF10" s="783" t="s">
        <v>15</v>
      </c>
      <c r="AG10" s="784"/>
      <c r="AH10" s="784"/>
      <c r="AI10" s="269"/>
      <c r="AJ10" s="269"/>
      <c r="AK10" s="774" t="s">
        <v>17</v>
      </c>
      <c r="AL10" s="775"/>
      <c r="AM10" s="776"/>
      <c r="AN10" s="774" t="s">
        <v>18</v>
      </c>
      <c r="AO10" s="775"/>
      <c r="AP10" s="776"/>
      <c r="AQ10" s="774" t="s">
        <v>19</v>
      </c>
      <c r="AR10" s="775"/>
      <c r="AS10" s="776"/>
      <c r="AT10" s="784" t="s">
        <v>16</v>
      </c>
      <c r="AU10" s="784"/>
      <c r="AV10" s="785"/>
      <c r="AW10" s="269"/>
      <c r="AX10" s="269"/>
      <c r="AY10" s="774" t="s">
        <v>21</v>
      </c>
      <c r="AZ10" s="775"/>
      <c r="BA10" s="775"/>
      <c r="BB10" s="774" t="s">
        <v>22</v>
      </c>
      <c r="BC10" s="775"/>
      <c r="BD10" s="775"/>
      <c r="BE10" s="776"/>
      <c r="BF10" s="733" t="s">
        <v>23</v>
      </c>
      <c r="BG10" s="733"/>
      <c r="BH10" s="734"/>
      <c r="BI10" s="778" t="s">
        <v>43</v>
      </c>
      <c r="BJ10" s="779"/>
      <c r="BK10" s="270"/>
      <c r="BL10" s="270"/>
      <c r="BM10" s="781"/>
      <c r="BN10" s="692"/>
    </row>
    <row r="11" spans="1:66" ht="58.5" customHeight="1" thickBot="1">
      <c r="A11" s="687"/>
      <c r="B11" s="690"/>
      <c r="C11" s="693"/>
      <c r="D11" s="690"/>
      <c r="E11" s="690"/>
      <c r="F11" s="268" t="s">
        <v>50</v>
      </c>
      <c r="G11" s="247" t="s">
        <v>51</v>
      </c>
      <c r="H11" s="247" t="s">
        <v>142</v>
      </c>
      <c r="I11" s="248" t="s">
        <v>50</v>
      </c>
      <c r="J11" s="249" t="s">
        <v>51</v>
      </c>
      <c r="K11" s="247" t="s">
        <v>142</v>
      </c>
      <c r="L11" s="248" t="s">
        <v>50</v>
      </c>
      <c r="M11" s="249" t="s">
        <v>51</v>
      </c>
      <c r="N11" s="247" t="s">
        <v>142</v>
      </c>
      <c r="O11" s="248" t="s">
        <v>50</v>
      </c>
      <c r="P11" s="249" t="s">
        <v>51</v>
      </c>
      <c r="Q11" s="247" t="s">
        <v>142</v>
      </c>
      <c r="R11" s="251" t="s">
        <v>6</v>
      </c>
      <c r="S11" s="249" t="s">
        <v>52</v>
      </c>
      <c r="T11" s="250" t="s">
        <v>54</v>
      </c>
      <c r="U11" s="268"/>
      <c r="V11" s="268"/>
      <c r="W11" s="248" t="s">
        <v>50</v>
      </c>
      <c r="X11" s="249" t="s">
        <v>51</v>
      </c>
      <c r="Y11" s="247" t="s">
        <v>142</v>
      </c>
      <c r="Z11" s="248" t="s">
        <v>50</v>
      </c>
      <c r="AA11" s="249" t="s">
        <v>51</v>
      </c>
      <c r="AB11" s="247" t="s">
        <v>142</v>
      </c>
      <c r="AC11" s="248" t="s">
        <v>50</v>
      </c>
      <c r="AD11" s="249" t="s">
        <v>51</v>
      </c>
      <c r="AE11" s="247" t="s">
        <v>142</v>
      </c>
      <c r="AF11" s="251" t="s">
        <v>6</v>
      </c>
      <c r="AG11" s="249" t="s">
        <v>7</v>
      </c>
      <c r="AH11" s="250" t="s">
        <v>53</v>
      </c>
      <c r="AI11" s="268"/>
      <c r="AJ11" s="268"/>
      <c r="AK11" s="248" t="s">
        <v>50</v>
      </c>
      <c r="AL11" s="249" t="s">
        <v>51</v>
      </c>
      <c r="AM11" s="247" t="s">
        <v>142</v>
      </c>
      <c r="AN11" s="248" t="s">
        <v>50</v>
      </c>
      <c r="AO11" s="249" t="s">
        <v>51</v>
      </c>
      <c r="AP11" s="247" t="s">
        <v>142</v>
      </c>
      <c r="AQ11" s="248" t="s">
        <v>50</v>
      </c>
      <c r="AR11" s="249" t="s">
        <v>51</v>
      </c>
      <c r="AS11" s="247" t="s">
        <v>142</v>
      </c>
      <c r="AT11" s="251" t="s">
        <v>6</v>
      </c>
      <c r="AU11" s="253" t="s">
        <v>52</v>
      </c>
      <c r="AV11" s="254" t="s">
        <v>53</v>
      </c>
      <c r="AW11" s="254"/>
      <c r="AX11" s="254"/>
      <c r="AY11" s="248" t="s">
        <v>50</v>
      </c>
      <c r="AZ11" s="249" t="s">
        <v>51</v>
      </c>
      <c r="BA11" s="247" t="s">
        <v>142</v>
      </c>
      <c r="BB11" s="248" t="s">
        <v>50</v>
      </c>
      <c r="BC11" s="249" t="s">
        <v>51</v>
      </c>
      <c r="BD11" s="247" t="s">
        <v>142</v>
      </c>
      <c r="BE11" s="252" t="s">
        <v>142</v>
      </c>
      <c r="BF11" s="251" t="s">
        <v>50</v>
      </c>
      <c r="BG11" s="321" t="s">
        <v>146</v>
      </c>
      <c r="BH11" s="322" t="s">
        <v>142</v>
      </c>
      <c r="BI11" s="283" t="s">
        <v>6</v>
      </c>
      <c r="BJ11" s="284" t="s">
        <v>7</v>
      </c>
      <c r="BK11" s="285"/>
      <c r="BL11" s="285"/>
      <c r="BM11" s="782"/>
      <c r="BN11" s="693"/>
    </row>
    <row r="12" spans="2:66" ht="45.75" customHeight="1" hidden="1" thickBot="1">
      <c r="B12" s="273" t="s">
        <v>3</v>
      </c>
      <c r="C12" s="239"/>
      <c r="D12" s="189"/>
      <c r="E12" s="189"/>
      <c r="F12" s="240" t="e">
        <f>#REF!+#REF!</f>
        <v>#REF!</v>
      </c>
      <c r="G12" s="240" t="e">
        <f>#REF!+#REF!</f>
        <v>#REF!</v>
      </c>
      <c r="H12" s="240" t="e">
        <f>(G12/F12)*100</f>
        <v>#REF!</v>
      </c>
      <c r="I12" s="186" t="e">
        <f>#REF!+#REF!</f>
        <v>#REF!</v>
      </c>
      <c r="J12" s="184" t="e">
        <f>#REF!+#REF!</f>
        <v>#REF!</v>
      </c>
      <c r="K12" s="187" t="e">
        <f>J12/I12*100</f>
        <v>#REF!</v>
      </c>
      <c r="L12" s="183" t="e">
        <f>#REF!+#REF!</f>
        <v>#REF!</v>
      </c>
      <c r="M12" s="184" t="e">
        <f>#REF!+#REF!</f>
        <v>#REF!</v>
      </c>
      <c r="N12" s="185" t="e">
        <f>M12/L12*100</f>
        <v>#REF!</v>
      </c>
      <c r="O12" s="186" t="e">
        <f>#REF!+#REF!</f>
        <v>#REF!</v>
      </c>
      <c r="P12" s="187" t="e">
        <f>#REF!+#REF!</f>
        <v>#REF!</v>
      </c>
      <c r="Q12" s="187" t="e">
        <f>P12/O12*100</f>
        <v>#REF!</v>
      </c>
      <c r="R12" s="183" t="e">
        <f>#REF!+#REF!</f>
        <v>#REF!</v>
      </c>
      <c r="S12" s="187" t="e">
        <f>#REF!+#REF!</f>
        <v>#REF!</v>
      </c>
      <c r="T12" s="241" t="e">
        <f>S12/R12*100</f>
        <v>#REF!</v>
      </c>
      <c r="U12" s="241"/>
      <c r="V12" s="241"/>
      <c r="W12" s="186" t="e">
        <f>#REF!+#REF!</f>
        <v>#REF!</v>
      </c>
      <c r="X12" s="184" t="e">
        <f>#REF!+#REF!</f>
        <v>#REF!</v>
      </c>
      <c r="Y12" s="185" t="e">
        <f>X12/W12*100</f>
        <v>#REF!</v>
      </c>
      <c r="Z12" s="186" t="e">
        <f>#REF!+#REF!</f>
        <v>#REF!</v>
      </c>
      <c r="AA12" s="184" t="e">
        <f>#REF!+#REF!</f>
        <v>#REF!</v>
      </c>
      <c r="AB12" s="187"/>
      <c r="AC12" s="324" t="e">
        <f>#REF!+#REF!</f>
        <v>#REF!</v>
      </c>
      <c r="AD12" s="325" t="e">
        <f>#REF!+#REF!</f>
        <v>#REF!</v>
      </c>
      <c r="AE12" s="326"/>
      <c r="AF12" s="183" t="e">
        <f>#REF!+#REF!</f>
        <v>#REF!</v>
      </c>
      <c r="AG12" s="184" t="e">
        <f>#REF!+#REF!</f>
        <v>#REF!</v>
      </c>
      <c r="AH12" s="185"/>
      <c r="AI12" s="241"/>
      <c r="AJ12" s="241"/>
      <c r="AK12" s="186" t="e">
        <f>#REF!+#REF!</f>
        <v>#REF!</v>
      </c>
      <c r="AL12" s="184" t="e">
        <f>#REF!+#REF!</f>
        <v>#REF!</v>
      </c>
      <c r="AM12" s="187"/>
      <c r="AN12" s="183" t="e">
        <f>#REF!+#REF!</f>
        <v>#REF!</v>
      </c>
      <c r="AO12" s="184" t="e">
        <f>#REF!+#REF!</f>
        <v>#REF!</v>
      </c>
      <c r="AP12" s="185"/>
      <c r="AQ12" s="186" t="e">
        <f>#REF!+#REF!</f>
        <v>#REF!</v>
      </c>
      <c r="AR12" s="184" t="e">
        <f>#REF!+#REF!</f>
        <v>#REF!</v>
      </c>
      <c r="AS12" s="327"/>
      <c r="AT12" s="183" t="e">
        <f>#REF!+#REF!</f>
        <v>#REF!</v>
      </c>
      <c r="AU12" s="187" t="e">
        <f>#REF!+#REF!</f>
        <v>#REF!</v>
      </c>
      <c r="AV12" s="241" t="e">
        <f>AU12/AT12*100</f>
        <v>#REF!</v>
      </c>
      <c r="AW12" s="241"/>
      <c r="AX12" s="241"/>
      <c r="AY12" s="186" t="e">
        <f>#REF!+#REF!</f>
        <v>#REF!</v>
      </c>
      <c r="AZ12" s="184" t="e">
        <f>#REF!+#REF!</f>
        <v>#REF!</v>
      </c>
      <c r="BA12" s="185"/>
      <c r="BB12" s="186" t="e">
        <f>#REF!+#REF!</f>
        <v>#REF!</v>
      </c>
      <c r="BC12" s="184" t="e">
        <f>#REF!+#REF!</f>
        <v>#REF!</v>
      </c>
      <c r="BD12" s="184" t="e">
        <f>#REF!+#REF!+#REF!+#REF!+#REF!</f>
        <v>#REF!</v>
      </c>
      <c r="BE12" s="187"/>
      <c r="BF12" s="183" t="e">
        <f>#REF!+#REF!</f>
        <v>#REF!</v>
      </c>
      <c r="BG12" s="184" t="e">
        <f>#REF!+#REF!</f>
        <v>#REF!</v>
      </c>
      <c r="BH12" s="327"/>
      <c r="BI12" s="183" t="e">
        <f>#REF!+#REF!</f>
        <v>#REF!</v>
      </c>
      <c r="BJ12" s="185" t="e">
        <f>#REF!+#REF!</f>
        <v>#REF!</v>
      </c>
      <c r="BK12" s="241"/>
      <c r="BL12" s="241"/>
      <c r="BM12" s="242"/>
      <c r="BN12" s="188"/>
    </row>
    <row r="13" spans="1:66" ht="0.75" customHeight="1" hidden="1" thickBot="1">
      <c r="A13" s="328">
        <v>1</v>
      </c>
      <c r="B13" s="274" t="s">
        <v>89</v>
      </c>
      <c r="C13" s="789" t="s">
        <v>88</v>
      </c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0"/>
      <c r="AL13" s="790"/>
      <c r="AM13" s="790"/>
      <c r="AN13" s="790"/>
      <c r="AO13" s="790"/>
      <c r="AP13" s="790"/>
      <c r="AQ13" s="790"/>
      <c r="AR13" s="790"/>
      <c r="AS13" s="790"/>
      <c r="AT13" s="790"/>
      <c r="AU13" s="790"/>
      <c r="AV13" s="790"/>
      <c r="AW13" s="790"/>
      <c r="AX13" s="790"/>
      <c r="AY13" s="790"/>
      <c r="AZ13" s="790"/>
      <c r="BA13" s="790"/>
      <c r="BB13" s="790"/>
      <c r="BC13" s="790"/>
      <c r="BD13" s="790"/>
      <c r="BE13" s="790"/>
      <c r="BF13" s="790"/>
      <c r="BG13" s="790"/>
      <c r="BH13" s="791"/>
      <c r="BI13" s="258"/>
      <c r="BJ13" s="255"/>
      <c r="BK13" s="271"/>
      <c r="BL13" s="271"/>
      <c r="BM13" s="256"/>
      <c r="BN13" s="257"/>
    </row>
    <row r="14" spans="1:66" ht="2.25" customHeight="1" hidden="1" thickBot="1">
      <c r="A14" s="329" t="s">
        <v>71</v>
      </c>
      <c r="B14" s="275" t="s">
        <v>84</v>
      </c>
      <c r="C14" s="790" t="s">
        <v>87</v>
      </c>
      <c r="D14" s="790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  <c r="AL14" s="799"/>
      <c r="AM14" s="799"/>
      <c r="AN14" s="799"/>
      <c r="AO14" s="799"/>
      <c r="AP14" s="799"/>
      <c r="AQ14" s="799"/>
      <c r="AR14" s="799"/>
      <c r="AS14" s="799"/>
      <c r="AT14" s="799"/>
      <c r="AU14" s="799"/>
      <c r="AV14" s="799"/>
      <c r="AW14" s="799"/>
      <c r="AX14" s="799"/>
      <c r="AY14" s="799"/>
      <c r="AZ14" s="799"/>
      <c r="BA14" s="799"/>
      <c r="BB14" s="799"/>
      <c r="BC14" s="799"/>
      <c r="BD14" s="799"/>
      <c r="BE14" s="799"/>
      <c r="BF14" s="799"/>
      <c r="BG14" s="799"/>
      <c r="BH14" s="800"/>
      <c r="BI14" s="258"/>
      <c r="BJ14" s="255"/>
      <c r="BK14" s="271"/>
      <c r="BL14" s="271"/>
      <c r="BM14" s="264"/>
      <c r="BN14" s="264"/>
    </row>
    <row r="15" spans="1:66" ht="12.75">
      <c r="A15" s="703" t="s">
        <v>39</v>
      </c>
      <c r="B15" s="813" t="s">
        <v>86</v>
      </c>
      <c r="C15" s="816"/>
      <c r="D15" s="819"/>
      <c r="E15" s="330" t="s">
        <v>73</v>
      </c>
      <c r="F15" s="331">
        <f>F21+F25+F28+F31+F35+F39+F42+F45+F48+F58+F61+F65</f>
        <v>226285.17300000004</v>
      </c>
      <c r="G15" s="332">
        <f>G17+G18</f>
        <v>218990.70000000004</v>
      </c>
      <c r="H15" s="333">
        <f>G15/F15*100</f>
        <v>96.77642467542493</v>
      </c>
      <c r="I15" s="331">
        <f>I21+I25+I28+I31+I35+I39+I42+I45+I48+I58+I61</f>
        <v>1775</v>
      </c>
      <c r="J15" s="332">
        <f>J21+J25+J28+J31+J35+J39+J42+J45+J48+J58+J61</f>
        <v>1771.8</v>
      </c>
      <c r="K15" s="334">
        <f>K18</f>
        <v>99.81971830985916</v>
      </c>
      <c r="L15" s="331">
        <f>L21+L25+L28+L31+L35+L39+L42+L45+L48+L58+L61</f>
        <v>17228.5</v>
      </c>
      <c r="M15" s="332">
        <f>M21+M25+M28+M31+M35+M39+M42+M45+M48+M58+M61</f>
        <v>16629.6</v>
      </c>
      <c r="N15" s="334">
        <f>M15/L15*100</f>
        <v>96.52378326609977</v>
      </c>
      <c r="O15" s="331">
        <f>O21+O25+O28+O31+O35+O39+O42+O45+O48+O58+O61</f>
        <v>19048.8</v>
      </c>
      <c r="P15" s="332">
        <f>P21+P25+P28+P31+P35+P39+P42+P45+P48+P58+P61</f>
        <v>18186.200000000004</v>
      </c>
      <c r="Q15" s="334">
        <f>P15/O15*100</f>
        <v>95.47163075889299</v>
      </c>
      <c r="R15" s="335">
        <f aca="true" t="shared" si="0" ref="R15:X15">R21+R25+R28+R31+R35+R39+R42+R45+R48+R58+R61</f>
        <v>38052.3</v>
      </c>
      <c r="S15" s="332">
        <f t="shared" si="0"/>
        <v>36587.6</v>
      </c>
      <c r="T15" s="332" t="e">
        <f t="shared" si="0"/>
        <v>#DIV/0!</v>
      </c>
      <c r="U15" s="332">
        <f t="shared" si="0"/>
        <v>38052.3</v>
      </c>
      <c r="V15" s="333">
        <f t="shared" si="0"/>
        <v>38052.3</v>
      </c>
      <c r="W15" s="331">
        <f t="shared" si="0"/>
        <v>17110.1</v>
      </c>
      <c r="X15" s="332">
        <f t="shared" si="0"/>
        <v>16333</v>
      </c>
      <c r="Y15" s="334">
        <f>X15/W15*100</f>
        <v>95.45823811666794</v>
      </c>
      <c r="Z15" s="331">
        <f>Z21+Z25+Z28+Z31+Z35+Z39+Z42+Z45+Z48+Z58+Z61</f>
        <v>12523.4</v>
      </c>
      <c r="AA15" s="332">
        <f>AA21+AA25+AA28+AA31+AA35+AA39+AA42+AA45+AA48+AA58+AA61</f>
        <v>12969.600000000002</v>
      </c>
      <c r="AB15" s="334">
        <f>AA15/Z15*100</f>
        <v>103.5629301946756</v>
      </c>
      <c r="AC15" s="331">
        <f>AC21+AC25+AC28+AC31+AC35+AC39+AC42+AC45+AC48+AC58+AC61</f>
        <v>27163.2</v>
      </c>
      <c r="AD15" s="332">
        <f>AD21+AD25+AD28+AD31+AD35+AD39+AD42+AD45+AD48+AD58+AD61</f>
        <v>16579.5</v>
      </c>
      <c r="AE15" s="334">
        <f>AD15/AC15*100</f>
        <v>61.03662307828238</v>
      </c>
      <c r="AF15" s="335">
        <f aca="true" t="shared" si="1" ref="AF15:AL15">AF21+AF25+AF28+AF31+AF35+AF39+AF42+AF45+AF48+AF58+AF61</f>
        <v>94849.00000000001</v>
      </c>
      <c r="AG15" s="332">
        <f t="shared" si="1"/>
        <v>82469.70000000003</v>
      </c>
      <c r="AH15" s="332">
        <f t="shared" si="1"/>
        <v>0</v>
      </c>
      <c r="AI15" s="332">
        <f t="shared" si="1"/>
        <v>56796.700000000004</v>
      </c>
      <c r="AJ15" s="333">
        <f t="shared" si="1"/>
        <v>56796.700000000004</v>
      </c>
      <c r="AK15" s="331">
        <f t="shared" si="1"/>
        <v>19693.8</v>
      </c>
      <c r="AL15" s="332">
        <f t="shared" si="1"/>
        <v>19605.800000000003</v>
      </c>
      <c r="AM15" s="334">
        <f>AL15/AK15*100</f>
        <v>99.55315886218</v>
      </c>
      <c r="AN15" s="331">
        <f>AN21+AN25+AN28+AN31+AN35+AN39+AN42+AN45+AN48+AN58+AN61</f>
        <v>24260.5</v>
      </c>
      <c r="AO15" s="332">
        <f>AO21+AO25+AO28+AO31+AO35+AO39+AO42+AO45+AO48+AO58+AO61</f>
        <v>25656.699999999997</v>
      </c>
      <c r="AP15" s="334">
        <f>AO15/AN15*100</f>
        <v>105.75503390284618</v>
      </c>
      <c r="AQ15" s="331">
        <f>AQ21+AQ25+AQ28+AQ31+AQ35+AQ39+AQ42+AQ45+AQ48+AQ58+AQ61+AQ65</f>
        <v>23430.4</v>
      </c>
      <c r="AR15" s="332">
        <f>AR21+AR25+AR28+AR31+AR35+AR39+AR42+AR45+AR48+AR58+AR61</f>
        <v>20888.2</v>
      </c>
      <c r="AS15" s="334">
        <f>AR15/AQ15*100</f>
        <v>89.14999317126467</v>
      </c>
      <c r="AT15" s="335">
        <f>AT21+AT25+AT28+AT31+AT35+AT39+AT42+AT45+AT48+AT58+AT61</f>
        <v>160769.2</v>
      </c>
      <c r="AU15" s="332">
        <f>AU21+AU25+AU28+AU31+AU35+AU39+AU42+AU45+AU48+AU58+AU61</f>
        <v>147466.10000000003</v>
      </c>
      <c r="AV15" s="332">
        <f>AV21+AV25+AV28+AV31+AV35+AV39+AV42+AV45+AV48+AV58+AV61</f>
        <v>0</v>
      </c>
      <c r="AW15" s="332">
        <f>AW21+AW25+AW28+AW31+AW35+AW39+AW42+AW45+AW48+AW58+AW61</f>
        <v>67074.5</v>
      </c>
      <c r="AX15" s="333">
        <f>AX21+AX25+AX28+AX31+AX35+AX39+AX42+AX45+AX48+AX58+AX61+AX65</f>
        <v>67384.7</v>
      </c>
      <c r="AY15" s="331">
        <f>AY21+AY25+AY28+AY31+AY35+AY39+AY42+AY45+AY48+AY58+AY61</f>
        <v>19828.5</v>
      </c>
      <c r="AZ15" s="332">
        <f>AZ21+AZ25+AZ28+AZ31+AZ35+AZ39+AZ42+AZ45+AZ48+AZ58+AZ61</f>
        <v>22815.1</v>
      </c>
      <c r="BA15" s="334">
        <f>AZ15/AY15*100</f>
        <v>115.06215800489194</v>
      </c>
      <c r="BB15" s="331">
        <f>BB21+BB25+BB28+BB31+BB35+BB39+BB42+BB45+BB48+BB58+BB61</f>
        <v>13081.473</v>
      </c>
      <c r="BC15" s="332">
        <f>BC21+BC25+BC28+BC31+BC35+BC39+BC42+BC45+BC48+BC58+BC61</f>
        <v>13331.5</v>
      </c>
      <c r="BD15" s="332">
        <f>BD21+BD25+BD28+BD31+BD35+BD39+BD42+BD45+BD48+BD58+BD61</f>
        <v>0</v>
      </c>
      <c r="BE15" s="334">
        <f>BC15/BB15*100</f>
        <v>101.91130616559772</v>
      </c>
      <c r="BF15" s="331">
        <f>BF21+BF25+BF28+BF31+BF35+BF39+BF42+BF45+BF48+BF58+BF61</f>
        <v>31141.5</v>
      </c>
      <c r="BG15" s="332">
        <f>BG21+BG25+BG28+BG31+BG35+BG39+BG42+BG45+BG48+BG58+BG61+BG65</f>
        <v>34223.7</v>
      </c>
      <c r="BH15" s="334">
        <f>BG15/BF15*100</f>
        <v>109.89740378594479</v>
      </c>
      <c r="BI15" s="335">
        <f>BI21+BI25+BI28+BI31+BI35+BI39+BI42+BI45+BI48+BI58+BI61</f>
        <v>215717.87300000002</v>
      </c>
      <c r="BJ15" s="332">
        <f>BJ21+BJ25+BJ28+BJ31+BJ35+BJ39+BJ42+BJ45+BJ48+BJ58+BJ61</f>
        <v>210067.50000000003</v>
      </c>
      <c r="BK15" s="332">
        <f>BK21+BK25+BK28+BK31+BK35+BK39+BK42+BK45+BK48+BK58+BK61</f>
        <v>64051.473000000005</v>
      </c>
      <c r="BL15" s="334">
        <f>BL21+BL25+BL28+BL31+BL35+BL39+BL42+BL45+BL48+BL58+BL61</f>
        <v>64051.473000000005</v>
      </c>
      <c r="BM15" s="792"/>
      <c r="BN15" s="786"/>
    </row>
    <row r="16" spans="1:66" ht="28.5" customHeight="1">
      <c r="A16" s="704"/>
      <c r="B16" s="814"/>
      <c r="C16" s="817"/>
      <c r="D16" s="820"/>
      <c r="E16" s="337" t="s">
        <v>148</v>
      </c>
      <c r="F16" s="338">
        <v>0</v>
      </c>
      <c r="G16" s="339">
        <v>0</v>
      </c>
      <c r="H16" s="340">
        <v>0</v>
      </c>
      <c r="I16" s="338">
        <v>0</v>
      </c>
      <c r="J16" s="339">
        <v>0</v>
      </c>
      <c r="K16" s="341">
        <v>0</v>
      </c>
      <c r="L16" s="338">
        <v>0</v>
      </c>
      <c r="M16" s="339">
        <v>0</v>
      </c>
      <c r="N16" s="341">
        <v>0</v>
      </c>
      <c r="O16" s="338">
        <v>0</v>
      </c>
      <c r="P16" s="339">
        <v>0</v>
      </c>
      <c r="Q16" s="341">
        <v>0</v>
      </c>
      <c r="R16" s="342"/>
      <c r="S16" s="339"/>
      <c r="T16" s="339"/>
      <c r="U16" s="339"/>
      <c r="V16" s="340"/>
      <c r="W16" s="338">
        <v>0</v>
      </c>
      <c r="X16" s="339">
        <v>0</v>
      </c>
      <c r="Y16" s="341">
        <v>0</v>
      </c>
      <c r="Z16" s="338">
        <v>0</v>
      </c>
      <c r="AA16" s="339">
        <v>0</v>
      </c>
      <c r="AB16" s="341">
        <v>0</v>
      </c>
      <c r="AC16" s="338">
        <v>0</v>
      </c>
      <c r="AD16" s="339">
        <v>0</v>
      </c>
      <c r="AE16" s="341">
        <v>0</v>
      </c>
      <c r="AF16" s="342"/>
      <c r="AG16" s="339"/>
      <c r="AH16" s="339"/>
      <c r="AI16" s="339"/>
      <c r="AJ16" s="340"/>
      <c r="AK16" s="338">
        <v>0</v>
      </c>
      <c r="AL16" s="339">
        <v>0</v>
      </c>
      <c r="AM16" s="341">
        <v>0</v>
      </c>
      <c r="AN16" s="338">
        <v>0</v>
      </c>
      <c r="AO16" s="339">
        <v>0</v>
      </c>
      <c r="AP16" s="341">
        <v>0</v>
      </c>
      <c r="AQ16" s="338">
        <v>0</v>
      </c>
      <c r="AR16" s="339">
        <v>0</v>
      </c>
      <c r="AS16" s="341">
        <v>0</v>
      </c>
      <c r="AT16" s="342"/>
      <c r="AU16" s="339"/>
      <c r="AV16" s="339"/>
      <c r="AW16" s="339"/>
      <c r="AX16" s="340"/>
      <c r="AY16" s="338">
        <v>0</v>
      </c>
      <c r="AZ16" s="339">
        <v>0</v>
      </c>
      <c r="BA16" s="341">
        <v>0</v>
      </c>
      <c r="BB16" s="338">
        <v>0</v>
      </c>
      <c r="BC16" s="339">
        <v>0</v>
      </c>
      <c r="BD16" s="339"/>
      <c r="BE16" s="341">
        <v>0</v>
      </c>
      <c r="BF16" s="338">
        <v>0</v>
      </c>
      <c r="BG16" s="339">
        <v>0</v>
      </c>
      <c r="BH16" s="341">
        <v>0</v>
      </c>
      <c r="BI16" s="342"/>
      <c r="BJ16" s="339"/>
      <c r="BK16" s="339"/>
      <c r="BL16" s="341"/>
      <c r="BM16" s="793"/>
      <c r="BN16" s="787"/>
    </row>
    <row r="17" spans="1:66" ht="25.5">
      <c r="A17" s="704"/>
      <c r="B17" s="814"/>
      <c r="C17" s="817"/>
      <c r="D17" s="820"/>
      <c r="E17" s="343" t="s">
        <v>74</v>
      </c>
      <c r="F17" s="344">
        <f>F43+F46+F36+F59</f>
        <v>11991.9</v>
      </c>
      <c r="G17" s="345">
        <f>G22+G26+G29+G32+G36+G40+G43+G46+G49+G59</f>
        <v>8924.499999999998</v>
      </c>
      <c r="H17" s="346">
        <f>G17/F17*100</f>
        <v>74.42106755393223</v>
      </c>
      <c r="I17" s="344">
        <f aca="true" t="shared" si="2" ref="I17:Q17">I22+I26+I29+I32+I36+I40+I43+I46+I49+I59+I62</f>
        <v>0</v>
      </c>
      <c r="J17" s="345">
        <f t="shared" si="2"/>
        <v>0</v>
      </c>
      <c r="K17" s="347">
        <f t="shared" si="2"/>
        <v>0</v>
      </c>
      <c r="L17" s="344">
        <f t="shared" si="2"/>
        <v>99.9</v>
      </c>
      <c r="M17" s="345">
        <f t="shared" si="2"/>
        <v>0</v>
      </c>
      <c r="N17" s="347">
        <f t="shared" si="2"/>
        <v>0</v>
      </c>
      <c r="O17" s="344">
        <f t="shared" si="2"/>
        <v>99.9</v>
      </c>
      <c r="P17" s="345">
        <f t="shared" si="2"/>
        <v>31.5</v>
      </c>
      <c r="Q17" s="347">
        <f t="shared" si="2"/>
        <v>31.53153153153153</v>
      </c>
      <c r="R17" s="348">
        <f aca="true" t="shared" si="3" ref="R17:X18">R22+R26+R29+R32+R36+R40+R43+R46+R49+R59+R62</f>
        <v>1673</v>
      </c>
      <c r="S17" s="345">
        <f t="shared" si="3"/>
        <v>1568.1</v>
      </c>
      <c r="T17" s="345">
        <f t="shared" si="3"/>
        <v>188.95938710067762</v>
      </c>
      <c r="U17" s="345">
        <f t="shared" si="3"/>
        <v>199.8</v>
      </c>
      <c r="V17" s="346">
        <f t="shared" si="3"/>
        <v>199.8</v>
      </c>
      <c r="W17" s="344">
        <f t="shared" si="3"/>
        <v>996.3</v>
      </c>
      <c r="X17" s="345">
        <f t="shared" si="3"/>
        <v>523.8</v>
      </c>
      <c r="Y17" s="347">
        <f>X17/W17*100</f>
        <v>52.574525745257446</v>
      </c>
      <c r="Z17" s="344">
        <f>Z22+Z26+Z29+Z32+Z36+Z40+Z43+Z46+Z49+Z59+Z62</f>
        <v>19.4</v>
      </c>
      <c r="AA17" s="345">
        <f>AA22+AA26+AA29+AA32+AA36+AA40+AA43+AA46+AA49+AA59+AA62</f>
        <v>184.8</v>
      </c>
      <c r="AB17" s="347">
        <f>AA17/Z17*100</f>
        <v>952.5773195876291</v>
      </c>
      <c r="AC17" s="344">
        <f>AC22+AC26+AC29+AC32+AC36+AC40+AC43+AC46+AC49+AC59+AC62</f>
        <v>0</v>
      </c>
      <c r="AD17" s="345">
        <f>AD22+AD26+AD29+AD32+AD36+AD40+AD43+AD46+AD49+AD59+AD62</f>
        <v>15.5</v>
      </c>
      <c r="AE17" s="347">
        <v>0</v>
      </c>
      <c r="AF17" s="348">
        <f aca="true" t="shared" si="4" ref="AF17:AR17">AF22+AF26+AF29+AF32+AF36+AF40+AF43+AF46+AF49+AF59+AF62</f>
        <v>3228.1</v>
      </c>
      <c r="AG17" s="345">
        <f t="shared" si="4"/>
        <v>3163.2</v>
      </c>
      <c r="AH17" s="345">
        <f t="shared" si="4"/>
        <v>0</v>
      </c>
      <c r="AI17" s="345">
        <f t="shared" si="4"/>
        <v>1015.7</v>
      </c>
      <c r="AJ17" s="346">
        <f t="shared" si="4"/>
        <v>1015.7</v>
      </c>
      <c r="AK17" s="344">
        <f t="shared" si="4"/>
        <v>896.4</v>
      </c>
      <c r="AL17" s="345">
        <f t="shared" si="4"/>
        <v>483.5</v>
      </c>
      <c r="AM17" s="347">
        <f>AL17/AK17*100</f>
        <v>53.93797411869701</v>
      </c>
      <c r="AN17" s="344">
        <f t="shared" si="4"/>
        <v>1154.3</v>
      </c>
      <c r="AO17" s="345">
        <f t="shared" si="4"/>
        <v>1212.6</v>
      </c>
      <c r="AP17" s="347">
        <f>AO17/AN17*100</f>
        <v>105.05068006584078</v>
      </c>
      <c r="AQ17" s="344">
        <f t="shared" si="4"/>
        <v>1550</v>
      </c>
      <c r="AR17" s="345">
        <f t="shared" si="4"/>
        <v>0</v>
      </c>
      <c r="AS17" s="347">
        <f>AS22+AS26+AS29+AS32+AS36+AS40+AS43+AS46+AS49+AS59+AS62</f>
        <v>0</v>
      </c>
      <c r="AT17" s="348">
        <f aca="true" t="shared" si="5" ref="AT17:BL17">AT22+AT26+AT29+AT32+AT36+AT40+AT43+AT46+AT49+AT59+AT62</f>
        <v>5711.9</v>
      </c>
      <c r="AU17" s="345">
        <f t="shared" si="5"/>
        <v>5687.599999999999</v>
      </c>
      <c r="AV17" s="345">
        <f t="shared" si="5"/>
        <v>0</v>
      </c>
      <c r="AW17" s="345">
        <f t="shared" si="5"/>
        <v>3600.7</v>
      </c>
      <c r="AX17" s="346">
        <f t="shared" si="5"/>
        <v>3600.7</v>
      </c>
      <c r="AY17" s="344">
        <f t="shared" si="5"/>
        <v>0</v>
      </c>
      <c r="AZ17" s="345">
        <f t="shared" si="5"/>
        <v>141.9</v>
      </c>
      <c r="BA17" s="347">
        <v>0</v>
      </c>
      <c r="BB17" s="344">
        <f t="shared" si="5"/>
        <v>0</v>
      </c>
      <c r="BC17" s="345">
        <f t="shared" si="5"/>
        <v>594.9</v>
      </c>
      <c r="BD17" s="345">
        <f t="shared" si="5"/>
        <v>0</v>
      </c>
      <c r="BE17" s="347">
        <v>0</v>
      </c>
      <c r="BF17" s="344">
        <f t="shared" si="5"/>
        <v>7175.7</v>
      </c>
      <c r="BG17" s="345">
        <f t="shared" si="5"/>
        <v>5736</v>
      </c>
      <c r="BH17" s="347">
        <f>BG17/BF17*100</f>
        <v>79.93645219281743</v>
      </c>
      <c r="BI17" s="348">
        <f t="shared" si="5"/>
        <v>5711.9</v>
      </c>
      <c r="BJ17" s="345">
        <f t="shared" si="5"/>
        <v>5687.599999999999</v>
      </c>
      <c r="BK17" s="345">
        <f t="shared" si="5"/>
        <v>7175.7</v>
      </c>
      <c r="BL17" s="347">
        <f t="shared" si="5"/>
        <v>7175.7</v>
      </c>
      <c r="BM17" s="793"/>
      <c r="BN17" s="787"/>
    </row>
    <row r="18" spans="1:66" ht="13.5" thickBot="1">
      <c r="A18" s="704"/>
      <c r="B18" s="814"/>
      <c r="C18" s="817"/>
      <c r="D18" s="820"/>
      <c r="E18" s="343" t="s">
        <v>27</v>
      </c>
      <c r="F18" s="344">
        <f>F23+F27+F30+F33+F37+F41+F50+F60+F63+F67</f>
        <v>214293.27300000004</v>
      </c>
      <c r="G18" s="345">
        <f>G23+G27+G30+G33+G37+G41+G44+G47+G50+G60+G57+G63+G67</f>
        <v>210066.20000000004</v>
      </c>
      <c r="H18" s="346">
        <f>G18/F18*100</f>
        <v>98.02743551357302</v>
      </c>
      <c r="I18" s="344">
        <f>I23+I27+I30+I33+I37+I41+I44+I47+I50+I60+I63</f>
        <v>1775</v>
      </c>
      <c r="J18" s="345">
        <f>J23+J27+J30+J33+J37+J41+J44+J47+J50+J60+J63</f>
        <v>1771.8</v>
      </c>
      <c r="K18" s="347">
        <f>J18/I18*100</f>
        <v>99.81971830985916</v>
      </c>
      <c r="L18" s="344">
        <f>L23+L27+L30+L33+L37+L41+L44+L47+L50+L60+L63</f>
        <v>17128.600000000002</v>
      </c>
      <c r="M18" s="345">
        <f>M23+M27+M30+M33+M37+M41+M44+M47+M50+M60+M63</f>
        <v>16629.6</v>
      </c>
      <c r="N18" s="347">
        <f>M18/L18*100</f>
        <v>97.0867438086008</v>
      </c>
      <c r="O18" s="344">
        <f>O23+O27+O30+O33+O37+O41+O44+O47+O50+O60+O63</f>
        <v>18948.899999999998</v>
      </c>
      <c r="P18" s="345">
        <f>P23+P27+P30+P33+P37+P41+P44+P47+P50+P60+P63</f>
        <v>18154.700000000004</v>
      </c>
      <c r="Q18" s="347">
        <f>P18/O18*100</f>
        <v>95.80872768340119</v>
      </c>
      <c r="R18" s="348">
        <f t="shared" si="3"/>
        <v>38052.3</v>
      </c>
      <c r="S18" s="345">
        <f t="shared" si="3"/>
        <v>36587.6</v>
      </c>
      <c r="T18" s="345" t="e">
        <f t="shared" si="3"/>
        <v>#DIV/0!</v>
      </c>
      <c r="U18" s="345">
        <f t="shared" si="3"/>
        <v>37852.5</v>
      </c>
      <c r="V18" s="346">
        <f t="shared" si="3"/>
        <v>37852.5</v>
      </c>
      <c r="W18" s="344">
        <f t="shared" si="3"/>
        <v>16113.8</v>
      </c>
      <c r="X18" s="345">
        <f t="shared" si="3"/>
        <v>15809.2</v>
      </c>
      <c r="Y18" s="347">
        <f>X18/W18*100</f>
        <v>98.10969479576514</v>
      </c>
      <c r="Z18" s="344">
        <f>Z23+Z27+Z30+Z33+Z37+Z41+Z44+Z47+Z50+Z60+Z63</f>
        <v>12504</v>
      </c>
      <c r="AA18" s="345">
        <f>AA23+AA27+AA30+AA33+AA37+AA41+AA44+AA47+AA50+AA60+AA63</f>
        <v>12784.800000000003</v>
      </c>
      <c r="AB18" s="347">
        <f>AA18/Z18*100</f>
        <v>102.2456813819578</v>
      </c>
      <c r="AC18" s="344">
        <f>AC23+AC27+AC30+AC33+AC37+AC41+AC44+AC47+AC50+AC60+AC63</f>
        <v>27163.2</v>
      </c>
      <c r="AD18" s="345">
        <f>AD23+AD27+AD30+AD33+AD37+AD41+AD44+AD47+AD50+AD60+AD63</f>
        <v>16564</v>
      </c>
      <c r="AE18" s="347">
        <f>AD18/AC18*100</f>
        <v>60.97956058196383</v>
      </c>
      <c r="AF18" s="348">
        <f aca="true" t="shared" si="6" ref="AF18:AR18">AF23+AF27+AF30+AF33+AF37+AF41+AF44+AF47+AF50+AF60+AF63</f>
        <v>92732.2</v>
      </c>
      <c r="AG18" s="345">
        <f t="shared" si="6"/>
        <v>82378.80000000002</v>
      </c>
      <c r="AH18" s="345">
        <f t="shared" si="6"/>
        <v>0</v>
      </c>
      <c r="AI18" s="345">
        <f t="shared" si="6"/>
        <v>55781</v>
      </c>
      <c r="AJ18" s="346">
        <f t="shared" si="6"/>
        <v>55781</v>
      </c>
      <c r="AK18" s="344">
        <f t="shared" si="6"/>
        <v>18797.399999999998</v>
      </c>
      <c r="AL18" s="345">
        <f t="shared" si="6"/>
        <v>19122.300000000003</v>
      </c>
      <c r="AM18" s="347">
        <f>AL18/AK18*100</f>
        <v>101.72843052762619</v>
      </c>
      <c r="AN18" s="344">
        <f t="shared" si="6"/>
        <v>23106.2</v>
      </c>
      <c r="AO18" s="345">
        <f t="shared" si="6"/>
        <v>24444.099999999995</v>
      </c>
      <c r="AP18" s="347">
        <f>AO18/AN18*100</f>
        <v>105.79022080653675</v>
      </c>
      <c r="AQ18" s="344">
        <f>AQ23+AQ27+AQ30+AQ33+AQ37+AQ41+AQ44+AQ47+AQ50+AQ60+AQ63+AQ67</f>
        <v>21880.4</v>
      </c>
      <c r="AR18" s="345">
        <f t="shared" si="6"/>
        <v>20888.2</v>
      </c>
      <c r="AS18" s="347">
        <f>AR18/AQ18*100</f>
        <v>95.46534798266941</v>
      </c>
      <c r="AT18" s="348">
        <f aca="true" t="shared" si="7" ref="AT18:BK18">AT23+AT27+AT30+AT33+AT37+AT41+AT44+AT47+AT50+AT60+AT63</f>
        <v>158554.9</v>
      </c>
      <c r="AU18" s="345">
        <f t="shared" si="7"/>
        <v>145636.70000000004</v>
      </c>
      <c r="AV18" s="345">
        <f t="shared" si="7"/>
        <v>0</v>
      </c>
      <c r="AW18" s="345">
        <f t="shared" si="7"/>
        <v>63473.8</v>
      </c>
      <c r="AX18" s="346">
        <f t="shared" si="7"/>
        <v>63473.8</v>
      </c>
      <c r="AY18" s="344">
        <f t="shared" si="7"/>
        <v>19828.5</v>
      </c>
      <c r="AZ18" s="345">
        <f t="shared" si="7"/>
        <v>22673.199999999997</v>
      </c>
      <c r="BA18" s="347">
        <f>AZ18/AY18*100</f>
        <v>114.34652142118667</v>
      </c>
      <c r="BB18" s="344">
        <f t="shared" si="7"/>
        <v>13081.473</v>
      </c>
      <c r="BC18" s="345">
        <f t="shared" si="7"/>
        <v>12736.6</v>
      </c>
      <c r="BD18" s="345">
        <f t="shared" si="7"/>
        <v>0</v>
      </c>
      <c r="BE18" s="347">
        <f>BC18/BB18*100</f>
        <v>97.36365316046596</v>
      </c>
      <c r="BF18" s="344">
        <f t="shared" si="7"/>
        <v>23965.8</v>
      </c>
      <c r="BG18" s="345">
        <f>BG23+BG27+BG30+BG33+BG37+BG41+BG44+BG47+BG50+BG60+BG63+BG67</f>
        <v>28487.7</v>
      </c>
      <c r="BH18" s="347">
        <f>BG18/BF18*100</f>
        <v>118.86813709536091</v>
      </c>
      <c r="BI18" s="348">
        <f t="shared" si="7"/>
        <v>102245.70000000001</v>
      </c>
      <c r="BJ18" s="345">
        <f t="shared" si="7"/>
        <v>99018.20000000004</v>
      </c>
      <c r="BK18" s="345">
        <f t="shared" si="7"/>
        <v>56875.77300000001</v>
      </c>
      <c r="BL18" s="347">
        <f>BL23+BL30+BL37+BL41+BL50+BL63</f>
        <v>54820.473000000005</v>
      </c>
      <c r="BM18" s="794"/>
      <c r="BN18" s="788"/>
    </row>
    <row r="19" spans="1:66" ht="29.25" customHeight="1">
      <c r="A19" s="704"/>
      <c r="B19" s="814"/>
      <c r="C19" s="817"/>
      <c r="D19" s="820"/>
      <c r="E19" s="349" t="s">
        <v>149</v>
      </c>
      <c r="F19" s="350">
        <v>0</v>
      </c>
      <c r="G19" s="351">
        <v>0</v>
      </c>
      <c r="H19" s="352">
        <v>0</v>
      </c>
      <c r="I19" s="350">
        <v>0</v>
      </c>
      <c r="J19" s="351">
        <v>0</v>
      </c>
      <c r="K19" s="353">
        <v>0</v>
      </c>
      <c r="L19" s="350">
        <v>0</v>
      </c>
      <c r="M19" s="351">
        <v>0</v>
      </c>
      <c r="N19" s="353">
        <v>0</v>
      </c>
      <c r="O19" s="350">
        <v>0</v>
      </c>
      <c r="P19" s="351">
        <v>0</v>
      </c>
      <c r="Q19" s="353">
        <v>0</v>
      </c>
      <c r="R19" s="354"/>
      <c r="S19" s="351"/>
      <c r="T19" s="351"/>
      <c r="U19" s="351"/>
      <c r="V19" s="352"/>
      <c r="W19" s="350">
        <v>0</v>
      </c>
      <c r="X19" s="351">
        <v>0</v>
      </c>
      <c r="Y19" s="353">
        <v>0</v>
      </c>
      <c r="Z19" s="350">
        <v>0</v>
      </c>
      <c r="AA19" s="351">
        <v>0</v>
      </c>
      <c r="AB19" s="353">
        <v>0</v>
      </c>
      <c r="AC19" s="350">
        <v>0</v>
      </c>
      <c r="AD19" s="351">
        <v>0</v>
      </c>
      <c r="AE19" s="353">
        <v>0</v>
      </c>
      <c r="AF19" s="354"/>
      <c r="AG19" s="351"/>
      <c r="AH19" s="351"/>
      <c r="AI19" s="351"/>
      <c r="AJ19" s="352"/>
      <c r="AK19" s="350">
        <v>0</v>
      </c>
      <c r="AL19" s="351">
        <v>0</v>
      </c>
      <c r="AM19" s="353">
        <v>0</v>
      </c>
      <c r="AN19" s="350">
        <v>0</v>
      </c>
      <c r="AO19" s="351">
        <v>0</v>
      </c>
      <c r="AP19" s="353">
        <v>0</v>
      </c>
      <c r="AQ19" s="350">
        <v>0</v>
      </c>
      <c r="AR19" s="351">
        <v>0</v>
      </c>
      <c r="AS19" s="353">
        <v>0</v>
      </c>
      <c r="AT19" s="354"/>
      <c r="AU19" s="351"/>
      <c r="AV19" s="351"/>
      <c r="AW19" s="351"/>
      <c r="AX19" s="352"/>
      <c r="AY19" s="350">
        <v>0</v>
      </c>
      <c r="AZ19" s="351">
        <v>0</v>
      </c>
      <c r="BA19" s="353">
        <v>0</v>
      </c>
      <c r="BB19" s="350">
        <v>0</v>
      </c>
      <c r="BC19" s="351">
        <v>0</v>
      </c>
      <c r="BD19" s="351"/>
      <c r="BE19" s="353">
        <v>0</v>
      </c>
      <c r="BF19" s="350">
        <v>0</v>
      </c>
      <c r="BG19" s="351">
        <v>0</v>
      </c>
      <c r="BH19" s="353">
        <v>0</v>
      </c>
      <c r="BI19" s="354"/>
      <c r="BJ19" s="351"/>
      <c r="BK19" s="351"/>
      <c r="BL19" s="353"/>
      <c r="BM19" s="281"/>
      <c r="BN19" s="279"/>
    </row>
    <row r="20" spans="1:66" ht="39" thickBot="1">
      <c r="A20" s="705"/>
      <c r="B20" s="815"/>
      <c r="C20" s="818"/>
      <c r="D20" s="821"/>
      <c r="E20" s="355" t="s">
        <v>90</v>
      </c>
      <c r="F20" s="356">
        <f>F24+F38+F34</f>
        <v>3315.8999999999996</v>
      </c>
      <c r="G20" s="357">
        <f>G24+G38+G34</f>
        <v>3315.8999999999996</v>
      </c>
      <c r="H20" s="358">
        <v>100</v>
      </c>
      <c r="I20" s="356">
        <f aca="true" t="shared" si="8" ref="I20:P20">I24+I38+I34</f>
        <v>0</v>
      </c>
      <c r="J20" s="357">
        <f t="shared" si="8"/>
        <v>0</v>
      </c>
      <c r="K20" s="359">
        <f t="shared" si="8"/>
        <v>0</v>
      </c>
      <c r="L20" s="356">
        <f t="shared" si="8"/>
        <v>0</v>
      </c>
      <c r="M20" s="357">
        <f t="shared" si="8"/>
        <v>0</v>
      </c>
      <c r="N20" s="359">
        <f t="shared" si="8"/>
        <v>0</v>
      </c>
      <c r="O20" s="356">
        <f t="shared" si="8"/>
        <v>2786.8999999999996</v>
      </c>
      <c r="P20" s="357">
        <f t="shared" si="8"/>
        <v>2786.8999999999996</v>
      </c>
      <c r="Q20" s="359">
        <v>100</v>
      </c>
      <c r="R20" s="360">
        <f aca="true" t="shared" si="9" ref="R20:BK20">R24+R38+R34</f>
        <v>0</v>
      </c>
      <c r="S20" s="357">
        <f t="shared" si="9"/>
        <v>0</v>
      </c>
      <c r="T20" s="357">
        <f t="shared" si="9"/>
        <v>0</v>
      </c>
      <c r="U20" s="357">
        <f t="shared" si="9"/>
        <v>419.2</v>
      </c>
      <c r="V20" s="358">
        <f t="shared" si="9"/>
        <v>0</v>
      </c>
      <c r="W20" s="356">
        <f t="shared" si="9"/>
        <v>529</v>
      </c>
      <c r="X20" s="357">
        <f t="shared" si="9"/>
        <v>529</v>
      </c>
      <c r="Y20" s="359">
        <f t="shared" si="9"/>
        <v>100</v>
      </c>
      <c r="Z20" s="356">
        <f t="shared" si="9"/>
        <v>0</v>
      </c>
      <c r="AA20" s="357">
        <f t="shared" si="9"/>
        <v>0</v>
      </c>
      <c r="AB20" s="359">
        <f t="shared" si="9"/>
        <v>0</v>
      </c>
      <c r="AC20" s="356">
        <f t="shared" si="9"/>
        <v>0</v>
      </c>
      <c r="AD20" s="357">
        <f t="shared" si="9"/>
        <v>0</v>
      </c>
      <c r="AE20" s="359">
        <f t="shared" si="9"/>
        <v>0</v>
      </c>
      <c r="AF20" s="360">
        <f t="shared" si="9"/>
        <v>0</v>
      </c>
      <c r="AG20" s="357">
        <f t="shared" si="9"/>
        <v>0</v>
      </c>
      <c r="AH20" s="357">
        <f t="shared" si="9"/>
        <v>0</v>
      </c>
      <c r="AI20" s="357">
        <f t="shared" si="9"/>
        <v>0</v>
      </c>
      <c r="AJ20" s="358">
        <f t="shared" si="9"/>
        <v>0</v>
      </c>
      <c r="AK20" s="356">
        <f t="shared" si="9"/>
        <v>0</v>
      </c>
      <c r="AL20" s="357">
        <f t="shared" si="9"/>
        <v>0</v>
      </c>
      <c r="AM20" s="359">
        <f t="shared" si="9"/>
        <v>0</v>
      </c>
      <c r="AN20" s="356">
        <f t="shared" si="9"/>
        <v>0</v>
      </c>
      <c r="AO20" s="357">
        <f t="shared" si="9"/>
        <v>0</v>
      </c>
      <c r="AP20" s="359">
        <f t="shared" si="9"/>
        <v>0</v>
      </c>
      <c r="AQ20" s="356">
        <f t="shared" si="9"/>
        <v>0</v>
      </c>
      <c r="AR20" s="357">
        <f t="shared" si="9"/>
        <v>0</v>
      </c>
      <c r="AS20" s="359">
        <f t="shared" si="9"/>
        <v>0</v>
      </c>
      <c r="AT20" s="360">
        <f t="shared" si="9"/>
        <v>0</v>
      </c>
      <c r="AU20" s="357">
        <f t="shared" si="9"/>
        <v>0</v>
      </c>
      <c r="AV20" s="357">
        <f t="shared" si="9"/>
        <v>0</v>
      </c>
      <c r="AW20" s="357">
        <f t="shared" si="9"/>
        <v>0</v>
      </c>
      <c r="AX20" s="358">
        <f t="shared" si="9"/>
        <v>0</v>
      </c>
      <c r="AY20" s="356">
        <f t="shared" si="9"/>
        <v>0</v>
      </c>
      <c r="AZ20" s="357">
        <f t="shared" si="9"/>
        <v>0</v>
      </c>
      <c r="BA20" s="359">
        <f t="shared" si="9"/>
        <v>0</v>
      </c>
      <c r="BB20" s="356">
        <f t="shared" si="9"/>
        <v>0</v>
      </c>
      <c r="BC20" s="361">
        <f t="shared" si="9"/>
        <v>0</v>
      </c>
      <c r="BD20" s="357">
        <f t="shared" si="9"/>
        <v>0</v>
      </c>
      <c r="BE20" s="359">
        <f t="shared" si="9"/>
        <v>0</v>
      </c>
      <c r="BF20" s="356">
        <f t="shared" si="9"/>
        <v>0</v>
      </c>
      <c r="BG20" s="357">
        <f t="shared" si="9"/>
        <v>0</v>
      </c>
      <c r="BH20" s="359">
        <f t="shared" si="9"/>
        <v>0</v>
      </c>
      <c r="BI20" s="360">
        <f t="shared" si="9"/>
        <v>0</v>
      </c>
      <c r="BJ20" s="357">
        <f t="shared" si="9"/>
        <v>0</v>
      </c>
      <c r="BK20" s="357">
        <f t="shared" si="9"/>
        <v>0</v>
      </c>
      <c r="BL20" s="359"/>
      <c r="BM20" s="281"/>
      <c r="BN20" s="279"/>
    </row>
    <row r="21" spans="1:66" ht="107.25" customHeight="1" thickBot="1">
      <c r="A21" s="703" t="s">
        <v>71</v>
      </c>
      <c r="B21" s="700" t="s">
        <v>126</v>
      </c>
      <c r="C21" s="706" t="s">
        <v>147</v>
      </c>
      <c r="D21" s="706" t="s">
        <v>107</v>
      </c>
      <c r="E21" s="362" t="s">
        <v>73</v>
      </c>
      <c r="F21" s="363">
        <f>R21+W21+Z21+AC21+AK21+AN21+AQ21+AY21+BB21+BF21</f>
        <v>88530.6</v>
      </c>
      <c r="G21" s="364">
        <f>S21+X21+AA21+AD21+AL21+AO21+AR21+AZ21+BC21+BG21</f>
        <v>87073.00000000001</v>
      </c>
      <c r="H21" s="365">
        <f>(G21/F21)*100</f>
        <v>98.35356362658788</v>
      </c>
      <c r="I21" s="363">
        <v>0</v>
      </c>
      <c r="J21" s="364">
        <v>0</v>
      </c>
      <c r="K21" s="366">
        <v>0</v>
      </c>
      <c r="L21" s="363">
        <f>6588.7+1078</f>
        <v>7666.7</v>
      </c>
      <c r="M21" s="364">
        <v>7666.4</v>
      </c>
      <c r="N21" s="366">
        <f>M21/L21*100</f>
        <v>99.99608697353489</v>
      </c>
      <c r="O21" s="367">
        <f>6588.8-1078+1078.5</f>
        <v>6589.3</v>
      </c>
      <c r="P21" s="368">
        <v>6589.5</v>
      </c>
      <c r="Q21" s="369">
        <f>P21/O21*100</f>
        <v>100.00303522377187</v>
      </c>
      <c r="R21" s="370">
        <f>I21+L21+O21</f>
        <v>14256</v>
      </c>
      <c r="S21" s="364">
        <f>J21+M21+P21</f>
        <v>14255.9</v>
      </c>
      <c r="T21" s="364">
        <f>S21/R21*100</f>
        <v>99.99929854096521</v>
      </c>
      <c r="U21" s="339">
        <f aca="true" t="shared" si="10" ref="U21:U63">I21+L21+O21</f>
        <v>14256</v>
      </c>
      <c r="V21" s="340">
        <f aca="true" t="shared" si="11" ref="V21:V63">I21+L21+O21</f>
        <v>14256</v>
      </c>
      <c r="W21" s="363">
        <f>7000.9+5.4-1400</f>
        <v>5606.299999999999</v>
      </c>
      <c r="X21" s="364">
        <v>5515.4</v>
      </c>
      <c r="Y21" s="366">
        <f>X21/W21*100</f>
        <v>98.37860977828515</v>
      </c>
      <c r="Z21" s="363">
        <v>6984.4</v>
      </c>
      <c r="AA21" s="364">
        <v>7063.1</v>
      </c>
      <c r="AB21" s="366">
        <f>AB23</f>
        <v>101.12679686157723</v>
      </c>
      <c r="AC21" s="363">
        <f>4375.9+3616.8</f>
        <v>7992.7</v>
      </c>
      <c r="AD21" s="364">
        <f>AD23</f>
        <v>7999.3</v>
      </c>
      <c r="AE21" s="366">
        <f>AD21/AC21*100</f>
        <v>100.08257535000689</v>
      </c>
      <c r="AF21" s="370">
        <f>R21+W21+Z21+AC21</f>
        <v>34839.399999999994</v>
      </c>
      <c r="AG21" s="371">
        <f>S21+X21+AA21+AD21</f>
        <v>34833.700000000004</v>
      </c>
      <c r="AH21" s="371"/>
      <c r="AI21" s="339">
        <f aca="true" t="shared" si="12" ref="AI21:AI60">W21+Z21+AC21</f>
        <v>20583.399999999998</v>
      </c>
      <c r="AJ21" s="340">
        <f aca="true" t="shared" si="13" ref="AJ21:AJ60">W21+Z21+AC21</f>
        <v>20583.399999999998</v>
      </c>
      <c r="AK21" s="363">
        <f>8652.2+418.8-4800</f>
        <v>4271</v>
      </c>
      <c r="AL21" s="364">
        <v>4175.3</v>
      </c>
      <c r="AM21" s="366">
        <f>AL21/AK21*100</f>
        <v>97.75930695387498</v>
      </c>
      <c r="AN21" s="363">
        <f>8652.2+4800-2750</f>
        <v>10702.2</v>
      </c>
      <c r="AO21" s="364">
        <v>10658.2</v>
      </c>
      <c r="AP21" s="366">
        <f>AP23</f>
        <v>99.58886957821757</v>
      </c>
      <c r="AQ21" s="363">
        <f>8252.3+3368.5+99.8-3821+2750+99.9+1278.1-1901.8</f>
        <v>10125.8</v>
      </c>
      <c r="AR21" s="364">
        <v>7842</v>
      </c>
      <c r="AS21" s="366">
        <f>AS23</f>
        <v>77.44573268284975</v>
      </c>
      <c r="AT21" s="370">
        <f>AF21+AK21+AN21+AQ21</f>
        <v>59938.399999999994</v>
      </c>
      <c r="AU21" s="371">
        <f>AG21+AL21+AO21+AR21</f>
        <v>57509.20000000001</v>
      </c>
      <c r="AV21" s="371"/>
      <c r="AW21" s="339">
        <f aca="true" t="shared" si="14" ref="AW21:AW60">AK21+AN21+AQ21</f>
        <v>25099</v>
      </c>
      <c r="AX21" s="340">
        <f aca="true" t="shared" si="15" ref="AX21:AX60">AK21+AN21+AQ21</f>
        <v>25099</v>
      </c>
      <c r="AY21" s="363">
        <f>6970.6+2159+1008.2</f>
        <v>10137.800000000001</v>
      </c>
      <c r="AZ21" s="364">
        <v>11789.4</v>
      </c>
      <c r="BA21" s="366">
        <f>BA23</f>
        <v>116.29150308745486</v>
      </c>
      <c r="BB21" s="363">
        <f>6598+1181.3-1008.3-2400</f>
        <v>4371</v>
      </c>
      <c r="BC21" s="364">
        <v>4307.1</v>
      </c>
      <c r="BD21" s="364"/>
      <c r="BE21" s="366">
        <f>BE23</f>
        <v>98.53809196980097</v>
      </c>
      <c r="BF21" s="363">
        <f>BF23</f>
        <v>14083.400000000001</v>
      </c>
      <c r="BG21" s="364">
        <v>13467.3</v>
      </c>
      <c r="BH21" s="366">
        <f>BH23</f>
        <v>95.62534615220754</v>
      </c>
      <c r="BI21" s="372">
        <f>AT21+AY21+BB21+BF21</f>
        <v>88530.6</v>
      </c>
      <c r="BJ21" s="373">
        <f>AU21+AZ21+BC21+BG21</f>
        <v>87073.00000000001</v>
      </c>
      <c r="BK21" s="374">
        <f aca="true" t="shared" si="16" ref="BK21:BK63">AY21+BB21+BF21</f>
        <v>28592.200000000004</v>
      </c>
      <c r="BL21" s="374">
        <f aca="true" t="shared" si="17" ref="BL21:BL63">AY21+BB21+BF21</f>
        <v>28592.200000000004</v>
      </c>
      <c r="BM21" s="795" t="s">
        <v>173</v>
      </c>
      <c r="BN21" s="747" t="s">
        <v>156</v>
      </c>
    </row>
    <row r="22" spans="1:66" ht="87" customHeight="1">
      <c r="A22" s="704"/>
      <c r="B22" s="701"/>
      <c r="C22" s="707"/>
      <c r="D22" s="707"/>
      <c r="E22" s="375" t="s">
        <v>74</v>
      </c>
      <c r="F22" s="376">
        <v>0</v>
      </c>
      <c r="G22" s="377">
        <v>0</v>
      </c>
      <c r="H22" s="378">
        <v>0</v>
      </c>
      <c r="I22" s="376">
        <v>0</v>
      </c>
      <c r="J22" s="377">
        <v>0</v>
      </c>
      <c r="K22" s="379">
        <v>0</v>
      </c>
      <c r="L22" s="376">
        <v>0</v>
      </c>
      <c r="M22" s="377">
        <v>0</v>
      </c>
      <c r="N22" s="379">
        <v>0</v>
      </c>
      <c r="O22" s="376">
        <v>0</v>
      </c>
      <c r="P22" s="377">
        <v>0</v>
      </c>
      <c r="Q22" s="379">
        <v>0</v>
      </c>
      <c r="R22" s="380"/>
      <c r="S22" s="377"/>
      <c r="T22" s="377"/>
      <c r="U22" s="345">
        <f t="shared" si="10"/>
        <v>0</v>
      </c>
      <c r="V22" s="346">
        <f t="shared" si="11"/>
        <v>0</v>
      </c>
      <c r="W22" s="376">
        <v>0</v>
      </c>
      <c r="X22" s="377">
        <v>0</v>
      </c>
      <c r="Y22" s="379">
        <v>0</v>
      </c>
      <c r="Z22" s="376">
        <v>0</v>
      </c>
      <c r="AA22" s="377">
        <v>0</v>
      </c>
      <c r="AB22" s="379">
        <v>0</v>
      </c>
      <c r="AC22" s="376">
        <v>0</v>
      </c>
      <c r="AD22" s="377">
        <v>0</v>
      </c>
      <c r="AE22" s="379">
        <v>0</v>
      </c>
      <c r="AF22" s="380"/>
      <c r="AG22" s="381"/>
      <c r="AH22" s="381"/>
      <c r="AI22" s="345">
        <f t="shared" si="12"/>
        <v>0</v>
      </c>
      <c r="AJ22" s="346">
        <f t="shared" si="13"/>
        <v>0</v>
      </c>
      <c r="AK22" s="376">
        <v>0</v>
      </c>
      <c r="AL22" s="377">
        <v>0</v>
      </c>
      <c r="AM22" s="379">
        <v>0</v>
      </c>
      <c r="AN22" s="376">
        <v>0</v>
      </c>
      <c r="AO22" s="377">
        <v>0</v>
      </c>
      <c r="AP22" s="379">
        <v>0</v>
      </c>
      <c r="AQ22" s="376">
        <v>0</v>
      </c>
      <c r="AR22" s="377">
        <v>0</v>
      </c>
      <c r="AS22" s="379">
        <v>0</v>
      </c>
      <c r="AT22" s="380"/>
      <c r="AU22" s="381"/>
      <c r="AV22" s="381"/>
      <c r="AW22" s="345">
        <f t="shared" si="14"/>
        <v>0</v>
      </c>
      <c r="AX22" s="346">
        <f t="shared" si="15"/>
        <v>0</v>
      </c>
      <c r="AY22" s="376">
        <v>0</v>
      </c>
      <c r="AZ22" s="377">
        <v>0</v>
      </c>
      <c r="BA22" s="379">
        <v>0</v>
      </c>
      <c r="BB22" s="376">
        <v>0</v>
      </c>
      <c r="BC22" s="377">
        <v>0</v>
      </c>
      <c r="BD22" s="377"/>
      <c r="BE22" s="379">
        <v>0</v>
      </c>
      <c r="BF22" s="376">
        <v>0</v>
      </c>
      <c r="BG22" s="377">
        <v>0</v>
      </c>
      <c r="BH22" s="379">
        <v>0</v>
      </c>
      <c r="BI22" s="382"/>
      <c r="BJ22" s="383"/>
      <c r="BK22" s="374">
        <f t="shared" si="16"/>
        <v>0</v>
      </c>
      <c r="BL22" s="374">
        <f t="shared" si="17"/>
        <v>0</v>
      </c>
      <c r="BM22" s="796"/>
      <c r="BN22" s="748"/>
    </row>
    <row r="23" spans="1:66" ht="76.5" customHeight="1" thickBot="1">
      <c r="A23" s="704"/>
      <c r="B23" s="701"/>
      <c r="C23" s="707"/>
      <c r="D23" s="707"/>
      <c r="E23" s="384" t="s">
        <v>27</v>
      </c>
      <c r="F23" s="376">
        <f>F21</f>
        <v>88530.6</v>
      </c>
      <c r="G23" s="377">
        <f aca="true" t="shared" si="18" ref="G23:BJ23">G21</f>
        <v>87073.00000000001</v>
      </c>
      <c r="H23" s="385">
        <f t="shared" si="18"/>
        <v>98.35356362658788</v>
      </c>
      <c r="I23" s="376">
        <f t="shared" si="18"/>
        <v>0</v>
      </c>
      <c r="J23" s="377">
        <f t="shared" si="18"/>
        <v>0</v>
      </c>
      <c r="K23" s="379">
        <f t="shared" si="18"/>
        <v>0</v>
      </c>
      <c r="L23" s="376">
        <f t="shared" si="18"/>
        <v>7666.7</v>
      </c>
      <c r="M23" s="377">
        <f>M21</f>
        <v>7666.4</v>
      </c>
      <c r="N23" s="379">
        <f>M23/L23*100</f>
        <v>99.99608697353489</v>
      </c>
      <c r="O23" s="376">
        <f>O21</f>
        <v>6589.3</v>
      </c>
      <c r="P23" s="377">
        <f t="shared" si="18"/>
        <v>6589.5</v>
      </c>
      <c r="Q23" s="379">
        <f>P23/O23*100</f>
        <v>100.00303522377187</v>
      </c>
      <c r="R23" s="380">
        <f t="shared" si="18"/>
        <v>14256</v>
      </c>
      <c r="S23" s="377">
        <f t="shared" si="18"/>
        <v>14255.9</v>
      </c>
      <c r="T23" s="377">
        <f t="shared" si="18"/>
        <v>99.99929854096521</v>
      </c>
      <c r="U23" s="345">
        <f t="shared" si="10"/>
        <v>14256</v>
      </c>
      <c r="V23" s="346">
        <f t="shared" si="11"/>
        <v>14256</v>
      </c>
      <c r="W23" s="376">
        <f t="shared" si="18"/>
        <v>5606.299999999999</v>
      </c>
      <c r="X23" s="377">
        <f t="shared" si="18"/>
        <v>5515.4</v>
      </c>
      <c r="Y23" s="379">
        <f t="shared" si="18"/>
        <v>98.37860977828515</v>
      </c>
      <c r="Z23" s="376">
        <f t="shared" si="18"/>
        <v>6984.4</v>
      </c>
      <c r="AA23" s="377">
        <f t="shared" si="18"/>
        <v>7063.1</v>
      </c>
      <c r="AB23" s="379">
        <f>AA23/Z23*100</f>
        <v>101.12679686157723</v>
      </c>
      <c r="AC23" s="376">
        <f t="shared" si="18"/>
        <v>7992.7</v>
      </c>
      <c r="AD23" s="377">
        <v>7999.3</v>
      </c>
      <c r="AE23" s="379">
        <f t="shared" si="18"/>
        <v>100.08257535000689</v>
      </c>
      <c r="AF23" s="380">
        <f t="shared" si="18"/>
        <v>34839.399999999994</v>
      </c>
      <c r="AG23" s="377">
        <f t="shared" si="18"/>
        <v>34833.700000000004</v>
      </c>
      <c r="AH23" s="377">
        <f t="shared" si="18"/>
        <v>0</v>
      </c>
      <c r="AI23" s="345">
        <f t="shared" si="12"/>
        <v>20583.399999999998</v>
      </c>
      <c r="AJ23" s="346">
        <f t="shared" si="13"/>
        <v>20583.399999999998</v>
      </c>
      <c r="AK23" s="376">
        <f>AK21</f>
        <v>4271</v>
      </c>
      <c r="AL23" s="377">
        <f>AL21</f>
        <v>4175.3</v>
      </c>
      <c r="AM23" s="379">
        <f>AL23/AK23*100</f>
        <v>97.75930695387498</v>
      </c>
      <c r="AN23" s="376">
        <f>AN21</f>
        <v>10702.2</v>
      </c>
      <c r="AO23" s="377">
        <f t="shared" si="18"/>
        <v>10658.2</v>
      </c>
      <c r="AP23" s="379">
        <f>AO23/AN23*100</f>
        <v>99.58886957821757</v>
      </c>
      <c r="AQ23" s="376">
        <f>AQ21</f>
        <v>10125.8</v>
      </c>
      <c r="AR23" s="377">
        <f t="shared" si="18"/>
        <v>7842</v>
      </c>
      <c r="AS23" s="379">
        <f>AR23/AQ23*100</f>
        <v>77.44573268284975</v>
      </c>
      <c r="AT23" s="380">
        <f t="shared" si="18"/>
        <v>59938.399999999994</v>
      </c>
      <c r="AU23" s="377">
        <f t="shared" si="18"/>
        <v>57509.20000000001</v>
      </c>
      <c r="AV23" s="377">
        <f t="shared" si="18"/>
        <v>0</v>
      </c>
      <c r="AW23" s="345">
        <f t="shared" si="14"/>
        <v>25099</v>
      </c>
      <c r="AX23" s="346">
        <f t="shared" si="15"/>
        <v>25099</v>
      </c>
      <c r="AY23" s="376">
        <f>AY21</f>
        <v>10137.800000000001</v>
      </c>
      <c r="AZ23" s="377">
        <f t="shared" si="18"/>
        <v>11789.4</v>
      </c>
      <c r="BA23" s="379">
        <f>AZ23/AY23*100</f>
        <v>116.29150308745486</v>
      </c>
      <c r="BB23" s="376">
        <f>BB21</f>
        <v>4371</v>
      </c>
      <c r="BC23" s="377">
        <f t="shared" si="18"/>
        <v>4307.1</v>
      </c>
      <c r="BD23" s="377">
        <f t="shared" si="18"/>
        <v>0</v>
      </c>
      <c r="BE23" s="379">
        <f>BC23/BB23*100</f>
        <v>98.53809196980097</v>
      </c>
      <c r="BF23" s="376">
        <f>13177.5-1078.5-3616.8+2166.7+396.1+2400+638.4</f>
        <v>14083.400000000001</v>
      </c>
      <c r="BG23" s="377">
        <f t="shared" si="18"/>
        <v>13467.3</v>
      </c>
      <c r="BH23" s="379">
        <f>BG23/BF23*100</f>
        <v>95.62534615220754</v>
      </c>
      <c r="BI23" s="386">
        <f t="shared" si="18"/>
        <v>88530.6</v>
      </c>
      <c r="BJ23" s="387">
        <f t="shared" si="18"/>
        <v>87073.00000000001</v>
      </c>
      <c r="BK23" s="374">
        <f t="shared" si="16"/>
        <v>28592.200000000004</v>
      </c>
      <c r="BL23" s="374">
        <f t="shared" si="17"/>
        <v>28592.200000000004</v>
      </c>
      <c r="BM23" s="797"/>
      <c r="BN23" s="749"/>
    </row>
    <row r="24" spans="1:66" ht="39" thickBot="1">
      <c r="A24" s="705"/>
      <c r="B24" s="702"/>
      <c r="C24" s="708"/>
      <c r="D24" s="708"/>
      <c r="E24" s="388" t="s">
        <v>90</v>
      </c>
      <c r="F24" s="389">
        <f>O24</f>
        <v>2367.7</v>
      </c>
      <c r="G24" s="361">
        <f>P24</f>
        <v>2367.7</v>
      </c>
      <c r="H24" s="390">
        <v>100</v>
      </c>
      <c r="I24" s="389">
        <v>0</v>
      </c>
      <c r="J24" s="361">
        <v>0</v>
      </c>
      <c r="K24" s="391">
        <v>0</v>
      </c>
      <c r="L24" s="389">
        <v>0</v>
      </c>
      <c r="M24" s="361">
        <v>0</v>
      </c>
      <c r="N24" s="391">
        <v>0</v>
      </c>
      <c r="O24" s="389">
        <v>2367.7</v>
      </c>
      <c r="P24" s="361">
        <v>2367.7</v>
      </c>
      <c r="Q24" s="391">
        <v>100</v>
      </c>
      <c r="R24" s="392"/>
      <c r="S24" s="361"/>
      <c r="T24" s="361"/>
      <c r="U24" s="357"/>
      <c r="V24" s="358">
        <v>0</v>
      </c>
      <c r="W24" s="389">
        <v>0</v>
      </c>
      <c r="X24" s="361">
        <v>0</v>
      </c>
      <c r="Y24" s="391">
        <v>0</v>
      </c>
      <c r="Z24" s="389">
        <v>0</v>
      </c>
      <c r="AA24" s="361">
        <v>0</v>
      </c>
      <c r="AB24" s="391">
        <v>0</v>
      </c>
      <c r="AC24" s="389">
        <v>0</v>
      </c>
      <c r="AD24" s="361">
        <v>0</v>
      </c>
      <c r="AE24" s="391">
        <v>0</v>
      </c>
      <c r="AF24" s="392"/>
      <c r="AG24" s="361"/>
      <c r="AH24" s="361"/>
      <c r="AI24" s="357"/>
      <c r="AJ24" s="358">
        <v>0</v>
      </c>
      <c r="AK24" s="389">
        <v>0</v>
      </c>
      <c r="AL24" s="361">
        <v>0</v>
      </c>
      <c r="AM24" s="391">
        <v>0</v>
      </c>
      <c r="AN24" s="389">
        <v>0</v>
      </c>
      <c r="AO24" s="361">
        <v>0</v>
      </c>
      <c r="AP24" s="391">
        <v>0</v>
      </c>
      <c r="AQ24" s="389">
        <v>0</v>
      </c>
      <c r="AR24" s="361">
        <v>0</v>
      </c>
      <c r="AS24" s="391">
        <v>0</v>
      </c>
      <c r="AT24" s="392"/>
      <c r="AU24" s="361"/>
      <c r="AV24" s="361"/>
      <c r="AW24" s="357"/>
      <c r="AX24" s="358">
        <v>0</v>
      </c>
      <c r="AY24" s="389">
        <v>0</v>
      </c>
      <c r="AZ24" s="361">
        <v>0</v>
      </c>
      <c r="BA24" s="391">
        <v>0</v>
      </c>
      <c r="BB24" s="389">
        <v>0</v>
      </c>
      <c r="BC24" s="361">
        <v>0</v>
      </c>
      <c r="BD24" s="361"/>
      <c r="BE24" s="391">
        <v>0</v>
      </c>
      <c r="BF24" s="389">
        <v>0</v>
      </c>
      <c r="BG24" s="361">
        <v>0</v>
      </c>
      <c r="BH24" s="391">
        <v>0</v>
      </c>
      <c r="BI24" s="393"/>
      <c r="BJ24" s="394"/>
      <c r="BK24" s="374"/>
      <c r="BL24" s="374">
        <v>0</v>
      </c>
      <c r="BM24" s="277" t="s">
        <v>137</v>
      </c>
      <c r="BN24" s="276"/>
    </row>
    <row r="25" spans="1:66" ht="13.5" thickBot="1">
      <c r="A25" s="703" t="s">
        <v>96</v>
      </c>
      <c r="B25" s="716" t="s">
        <v>125</v>
      </c>
      <c r="C25" s="694" t="s">
        <v>48</v>
      </c>
      <c r="D25" s="697" t="s">
        <v>107</v>
      </c>
      <c r="E25" s="395" t="s">
        <v>73</v>
      </c>
      <c r="F25" s="367">
        <f>R25+W25+Z25+AC25+AK25+AN25+AQ25+AY25+BB25+BF25</f>
        <v>185.1</v>
      </c>
      <c r="G25" s="368">
        <f>S25+X25+AA25+AD25+AL25+AO25+AR25+AZ25+BC25+BG25</f>
        <v>185.1</v>
      </c>
      <c r="H25" s="396">
        <f>(G25/F25)*100</f>
        <v>100</v>
      </c>
      <c r="I25" s="363">
        <v>0</v>
      </c>
      <c r="J25" s="364">
        <v>0</v>
      </c>
      <c r="K25" s="366">
        <v>0</v>
      </c>
      <c r="L25" s="363">
        <v>0</v>
      </c>
      <c r="M25" s="364">
        <v>0</v>
      </c>
      <c r="N25" s="366">
        <v>0</v>
      </c>
      <c r="O25" s="367">
        <v>0</v>
      </c>
      <c r="P25" s="368">
        <v>0</v>
      </c>
      <c r="Q25" s="369">
        <v>0</v>
      </c>
      <c r="R25" s="370">
        <f>I25+L25+O25</f>
        <v>0</v>
      </c>
      <c r="S25" s="364">
        <f>J25+M25+P25</f>
        <v>0</v>
      </c>
      <c r="T25" s="364">
        <v>0</v>
      </c>
      <c r="U25" s="339">
        <f t="shared" si="10"/>
        <v>0</v>
      </c>
      <c r="V25" s="340">
        <f t="shared" si="11"/>
        <v>0</v>
      </c>
      <c r="W25" s="363">
        <v>0</v>
      </c>
      <c r="X25" s="364">
        <v>0</v>
      </c>
      <c r="Y25" s="366">
        <v>0</v>
      </c>
      <c r="Z25" s="363">
        <v>0</v>
      </c>
      <c r="AA25" s="364">
        <v>0</v>
      </c>
      <c r="AB25" s="366">
        <v>0</v>
      </c>
      <c r="AC25" s="363">
        <v>86</v>
      </c>
      <c r="AD25" s="364">
        <v>0</v>
      </c>
      <c r="AE25" s="366">
        <v>0</v>
      </c>
      <c r="AF25" s="370">
        <f>R25+W25+Z25+AC25</f>
        <v>86</v>
      </c>
      <c r="AG25" s="371">
        <f>S25+X25+AA25+AD25</f>
        <v>0</v>
      </c>
      <c r="AH25" s="371"/>
      <c r="AI25" s="339">
        <f t="shared" si="12"/>
        <v>86</v>
      </c>
      <c r="AJ25" s="340">
        <f t="shared" si="13"/>
        <v>86</v>
      </c>
      <c r="AK25" s="363">
        <v>0</v>
      </c>
      <c r="AL25" s="364">
        <v>0</v>
      </c>
      <c r="AM25" s="366">
        <v>0</v>
      </c>
      <c r="AN25" s="363">
        <v>99.1</v>
      </c>
      <c r="AO25" s="364">
        <v>92.6</v>
      </c>
      <c r="AP25" s="366">
        <f>AO25/AN25*100</f>
        <v>93.4409687184662</v>
      </c>
      <c r="AQ25" s="363">
        <v>0</v>
      </c>
      <c r="AR25" s="364">
        <v>92.5</v>
      </c>
      <c r="AS25" s="366">
        <v>0</v>
      </c>
      <c r="AT25" s="370">
        <f>AF25+AK25+AN25+AQ25</f>
        <v>185.1</v>
      </c>
      <c r="AU25" s="371">
        <f>AG25+AL25+AO25+AR25</f>
        <v>185.1</v>
      </c>
      <c r="AV25" s="371"/>
      <c r="AW25" s="339">
        <f t="shared" si="14"/>
        <v>99.1</v>
      </c>
      <c r="AX25" s="340">
        <f t="shared" si="15"/>
        <v>99.1</v>
      </c>
      <c r="AY25" s="363">
        <v>0</v>
      </c>
      <c r="AZ25" s="364">
        <v>0</v>
      </c>
      <c r="BA25" s="366">
        <v>0</v>
      </c>
      <c r="BB25" s="363">
        <v>0</v>
      </c>
      <c r="BC25" s="364">
        <v>0</v>
      </c>
      <c r="BD25" s="364"/>
      <c r="BE25" s="366">
        <v>0</v>
      </c>
      <c r="BF25" s="363">
        <v>0</v>
      </c>
      <c r="BG25" s="364">
        <v>0</v>
      </c>
      <c r="BH25" s="366">
        <v>0</v>
      </c>
      <c r="BI25" s="397">
        <f>AT25+AY25+BB25+BF25</f>
        <v>185.1</v>
      </c>
      <c r="BJ25" s="398">
        <f>AU25+AZ25+BC25+BG25</f>
        <v>185.1</v>
      </c>
      <c r="BK25" s="374">
        <f t="shared" si="16"/>
        <v>0</v>
      </c>
      <c r="BL25" s="374">
        <f t="shared" si="17"/>
        <v>0</v>
      </c>
      <c r="BM25" s="757" t="s">
        <v>178</v>
      </c>
      <c r="BN25" s="747"/>
    </row>
    <row r="26" spans="1:66" ht="26.25" thickBot="1">
      <c r="A26" s="704"/>
      <c r="B26" s="717"/>
      <c r="C26" s="695"/>
      <c r="D26" s="698"/>
      <c r="E26" s="375" t="s">
        <v>74</v>
      </c>
      <c r="F26" s="376">
        <v>0</v>
      </c>
      <c r="G26" s="377">
        <v>0</v>
      </c>
      <c r="H26" s="378">
        <v>0</v>
      </c>
      <c r="I26" s="376">
        <v>0</v>
      </c>
      <c r="J26" s="377">
        <v>0</v>
      </c>
      <c r="K26" s="379">
        <v>0</v>
      </c>
      <c r="L26" s="376">
        <v>0</v>
      </c>
      <c r="M26" s="377">
        <v>0</v>
      </c>
      <c r="N26" s="379">
        <v>0</v>
      </c>
      <c r="O26" s="376">
        <v>0</v>
      </c>
      <c r="P26" s="377">
        <v>0</v>
      </c>
      <c r="Q26" s="379">
        <v>0</v>
      </c>
      <c r="R26" s="380"/>
      <c r="S26" s="377"/>
      <c r="T26" s="377"/>
      <c r="U26" s="345">
        <f t="shared" si="10"/>
        <v>0</v>
      </c>
      <c r="V26" s="346">
        <f t="shared" si="11"/>
        <v>0</v>
      </c>
      <c r="W26" s="376">
        <v>0</v>
      </c>
      <c r="X26" s="377">
        <v>0</v>
      </c>
      <c r="Y26" s="379">
        <v>0</v>
      </c>
      <c r="Z26" s="376">
        <v>0</v>
      </c>
      <c r="AA26" s="377">
        <v>0</v>
      </c>
      <c r="AB26" s="379">
        <v>0</v>
      </c>
      <c r="AC26" s="376">
        <v>0</v>
      </c>
      <c r="AD26" s="377">
        <v>0</v>
      </c>
      <c r="AE26" s="379">
        <v>0</v>
      </c>
      <c r="AF26" s="380"/>
      <c r="AG26" s="381"/>
      <c r="AH26" s="381"/>
      <c r="AI26" s="345">
        <f t="shared" si="12"/>
        <v>0</v>
      </c>
      <c r="AJ26" s="346">
        <f t="shared" si="13"/>
        <v>0</v>
      </c>
      <c r="AK26" s="376">
        <v>0</v>
      </c>
      <c r="AL26" s="377">
        <v>0</v>
      </c>
      <c r="AM26" s="379">
        <v>0</v>
      </c>
      <c r="AN26" s="376">
        <v>0</v>
      </c>
      <c r="AO26" s="377">
        <v>0</v>
      </c>
      <c r="AP26" s="379">
        <v>0</v>
      </c>
      <c r="AQ26" s="376">
        <v>0</v>
      </c>
      <c r="AR26" s="377">
        <v>0</v>
      </c>
      <c r="AS26" s="379">
        <v>0</v>
      </c>
      <c r="AT26" s="380"/>
      <c r="AU26" s="381"/>
      <c r="AV26" s="381"/>
      <c r="AW26" s="345">
        <f t="shared" si="14"/>
        <v>0</v>
      </c>
      <c r="AX26" s="346">
        <f t="shared" si="15"/>
        <v>0</v>
      </c>
      <c r="AY26" s="376">
        <v>0</v>
      </c>
      <c r="AZ26" s="377">
        <v>0</v>
      </c>
      <c r="BA26" s="379">
        <v>0</v>
      </c>
      <c r="BB26" s="376">
        <v>0</v>
      </c>
      <c r="BC26" s="377">
        <v>0</v>
      </c>
      <c r="BD26" s="377"/>
      <c r="BE26" s="379">
        <v>0</v>
      </c>
      <c r="BF26" s="376">
        <v>0</v>
      </c>
      <c r="BG26" s="377">
        <v>0</v>
      </c>
      <c r="BH26" s="379">
        <v>0</v>
      </c>
      <c r="BI26" s="397"/>
      <c r="BJ26" s="398"/>
      <c r="BK26" s="374">
        <f t="shared" si="16"/>
        <v>0</v>
      </c>
      <c r="BL26" s="374">
        <f t="shared" si="17"/>
        <v>0</v>
      </c>
      <c r="BM26" s="758"/>
      <c r="BN26" s="748"/>
    </row>
    <row r="27" spans="1:66" ht="13.5" thickBot="1">
      <c r="A27" s="705"/>
      <c r="B27" s="743"/>
      <c r="C27" s="696"/>
      <c r="D27" s="699"/>
      <c r="E27" s="384" t="s">
        <v>27</v>
      </c>
      <c r="F27" s="389">
        <f>F25</f>
        <v>185.1</v>
      </c>
      <c r="G27" s="361">
        <f aca="true" t="shared" si="19" ref="G27:BJ27">G25</f>
        <v>185.1</v>
      </c>
      <c r="H27" s="390">
        <f t="shared" si="19"/>
        <v>100</v>
      </c>
      <c r="I27" s="389">
        <f t="shared" si="19"/>
        <v>0</v>
      </c>
      <c r="J27" s="361">
        <f t="shared" si="19"/>
        <v>0</v>
      </c>
      <c r="K27" s="391">
        <f t="shared" si="19"/>
        <v>0</v>
      </c>
      <c r="L27" s="389">
        <f t="shared" si="19"/>
        <v>0</v>
      </c>
      <c r="M27" s="361">
        <f t="shared" si="19"/>
        <v>0</v>
      </c>
      <c r="N27" s="391">
        <f t="shared" si="19"/>
        <v>0</v>
      </c>
      <c r="O27" s="389">
        <f t="shared" si="19"/>
        <v>0</v>
      </c>
      <c r="P27" s="361">
        <f t="shared" si="19"/>
        <v>0</v>
      </c>
      <c r="Q27" s="391">
        <f t="shared" si="19"/>
        <v>0</v>
      </c>
      <c r="R27" s="392">
        <f t="shared" si="19"/>
        <v>0</v>
      </c>
      <c r="S27" s="361">
        <f t="shared" si="19"/>
        <v>0</v>
      </c>
      <c r="T27" s="361">
        <f t="shared" si="19"/>
        <v>0</v>
      </c>
      <c r="U27" s="345">
        <f t="shared" si="10"/>
        <v>0</v>
      </c>
      <c r="V27" s="346">
        <f t="shared" si="11"/>
        <v>0</v>
      </c>
      <c r="W27" s="389">
        <f t="shared" si="19"/>
        <v>0</v>
      </c>
      <c r="X27" s="361">
        <f t="shared" si="19"/>
        <v>0</v>
      </c>
      <c r="Y27" s="391">
        <f t="shared" si="19"/>
        <v>0</v>
      </c>
      <c r="Z27" s="389">
        <f t="shared" si="19"/>
        <v>0</v>
      </c>
      <c r="AA27" s="361">
        <f t="shared" si="19"/>
        <v>0</v>
      </c>
      <c r="AB27" s="391">
        <f t="shared" si="19"/>
        <v>0</v>
      </c>
      <c r="AC27" s="389">
        <f t="shared" si="19"/>
        <v>86</v>
      </c>
      <c r="AD27" s="361">
        <f t="shared" si="19"/>
        <v>0</v>
      </c>
      <c r="AE27" s="391">
        <f t="shared" si="19"/>
        <v>0</v>
      </c>
      <c r="AF27" s="392">
        <f t="shared" si="19"/>
        <v>86</v>
      </c>
      <c r="AG27" s="361">
        <f t="shared" si="19"/>
        <v>0</v>
      </c>
      <c r="AH27" s="361">
        <f t="shared" si="19"/>
        <v>0</v>
      </c>
      <c r="AI27" s="345">
        <f t="shared" si="12"/>
        <v>86</v>
      </c>
      <c r="AJ27" s="346">
        <f t="shared" si="13"/>
        <v>86</v>
      </c>
      <c r="AK27" s="389">
        <f t="shared" si="19"/>
        <v>0</v>
      </c>
      <c r="AL27" s="361">
        <v>0</v>
      </c>
      <c r="AM27" s="391">
        <v>0</v>
      </c>
      <c r="AN27" s="389">
        <f>AN25</f>
        <v>99.1</v>
      </c>
      <c r="AO27" s="361">
        <f>AO25</f>
        <v>92.6</v>
      </c>
      <c r="AP27" s="391">
        <f>AP25</f>
        <v>93.4409687184662</v>
      </c>
      <c r="AQ27" s="389">
        <f t="shared" si="19"/>
        <v>0</v>
      </c>
      <c r="AR27" s="361">
        <v>92.5</v>
      </c>
      <c r="AS27" s="391">
        <v>0</v>
      </c>
      <c r="AT27" s="392">
        <f t="shared" si="19"/>
        <v>185.1</v>
      </c>
      <c r="AU27" s="361">
        <f t="shared" si="19"/>
        <v>185.1</v>
      </c>
      <c r="AV27" s="361">
        <f t="shared" si="19"/>
        <v>0</v>
      </c>
      <c r="AW27" s="345">
        <f t="shared" si="14"/>
        <v>99.1</v>
      </c>
      <c r="AX27" s="346">
        <f t="shared" si="15"/>
        <v>99.1</v>
      </c>
      <c r="AY27" s="389">
        <f t="shared" si="19"/>
        <v>0</v>
      </c>
      <c r="AZ27" s="361">
        <f t="shared" si="19"/>
        <v>0</v>
      </c>
      <c r="BA27" s="391">
        <f t="shared" si="19"/>
        <v>0</v>
      </c>
      <c r="BB27" s="389">
        <f t="shared" si="19"/>
        <v>0</v>
      </c>
      <c r="BC27" s="361">
        <f t="shared" si="19"/>
        <v>0</v>
      </c>
      <c r="BD27" s="361">
        <f t="shared" si="19"/>
        <v>0</v>
      </c>
      <c r="BE27" s="391">
        <f t="shared" si="19"/>
        <v>0</v>
      </c>
      <c r="BF27" s="389">
        <f t="shared" si="19"/>
        <v>0</v>
      </c>
      <c r="BG27" s="361">
        <f t="shared" si="19"/>
        <v>0</v>
      </c>
      <c r="BH27" s="391">
        <f t="shared" si="19"/>
        <v>0</v>
      </c>
      <c r="BI27" s="402">
        <f t="shared" si="19"/>
        <v>185.1</v>
      </c>
      <c r="BJ27" s="403">
        <f t="shared" si="19"/>
        <v>185.1</v>
      </c>
      <c r="BK27" s="374">
        <f t="shared" si="16"/>
        <v>0</v>
      </c>
      <c r="BL27" s="374">
        <f t="shared" si="17"/>
        <v>0</v>
      </c>
      <c r="BM27" s="759"/>
      <c r="BN27" s="749"/>
    </row>
    <row r="28" spans="1:66" ht="13.5" thickBot="1">
      <c r="A28" s="703" t="s">
        <v>79</v>
      </c>
      <c r="B28" s="716" t="s">
        <v>124</v>
      </c>
      <c r="C28" s="694" t="s">
        <v>48</v>
      </c>
      <c r="D28" s="697" t="s">
        <v>107</v>
      </c>
      <c r="E28" s="395" t="s">
        <v>73</v>
      </c>
      <c r="F28" s="367">
        <f>R28+W28+Z28+AC28+AK28+AN28+AQ28+AY28+BB28+BF28</f>
        <v>2312.7000000000003</v>
      </c>
      <c r="G28" s="368">
        <f>S28+X28+AA28+AD28+AL28+AO28+AR28+AZ28+BC28+BG28</f>
        <v>2149.1</v>
      </c>
      <c r="H28" s="396">
        <f>G28/F28*100</f>
        <v>92.92601720932242</v>
      </c>
      <c r="I28" s="367">
        <v>0</v>
      </c>
      <c r="J28" s="368">
        <v>0</v>
      </c>
      <c r="K28" s="369">
        <v>0</v>
      </c>
      <c r="L28" s="367">
        <v>88.3</v>
      </c>
      <c r="M28" s="368">
        <v>29.1</v>
      </c>
      <c r="N28" s="369">
        <f>N30</f>
        <v>32.955832389580976</v>
      </c>
      <c r="O28" s="367">
        <v>88.2</v>
      </c>
      <c r="P28" s="368">
        <v>61.4</v>
      </c>
      <c r="Q28" s="369">
        <f>P28/O28*100</f>
        <v>69.61451247165532</v>
      </c>
      <c r="R28" s="404">
        <f>I28+L28+O28</f>
        <v>176.5</v>
      </c>
      <c r="S28" s="368">
        <f>J28+M28+P28</f>
        <v>90.5</v>
      </c>
      <c r="T28" s="368">
        <f>S28/R28*100</f>
        <v>51.27478753541076</v>
      </c>
      <c r="U28" s="345">
        <f t="shared" si="10"/>
        <v>176.5</v>
      </c>
      <c r="V28" s="346">
        <f t="shared" si="11"/>
        <v>176.5</v>
      </c>
      <c r="W28" s="367">
        <f>88.3</f>
        <v>88.3</v>
      </c>
      <c r="X28" s="368">
        <v>80.6</v>
      </c>
      <c r="Y28" s="369">
        <f>X28/W28*100</f>
        <v>91.2797281993205</v>
      </c>
      <c r="Z28" s="367">
        <v>2.5</v>
      </c>
      <c r="AA28" s="368">
        <v>32.1</v>
      </c>
      <c r="AB28" s="369">
        <f>AB30</f>
        <v>128.4</v>
      </c>
      <c r="AC28" s="367">
        <f>1284.2-755.4-0.2</f>
        <v>528.6</v>
      </c>
      <c r="AD28" s="368">
        <v>41.7</v>
      </c>
      <c r="AE28" s="369">
        <f>AD28/AC28*100</f>
        <v>7.888762769580023</v>
      </c>
      <c r="AF28" s="404">
        <f>R28+W28+Z28+AC28</f>
        <v>795.9000000000001</v>
      </c>
      <c r="AG28" s="405">
        <f>S28+X28+AA28+AD28</f>
        <v>244.89999999999998</v>
      </c>
      <c r="AH28" s="405"/>
      <c r="AI28" s="345">
        <f t="shared" si="12"/>
        <v>619.4</v>
      </c>
      <c r="AJ28" s="346">
        <f t="shared" si="13"/>
        <v>619.4</v>
      </c>
      <c r="AK28" s="367">
        <f>42.5+1092</f>
        <v>1134.5</v>
      </c>
      <c r="AL28" s="368">
        <v>1563.3</v>
      </c>
      <c r="AM28" s="369">
        <f>AM30</f>
        <v>137.79638607316</v>
      </c>
      <c r="AN28" s="367">
        <f>42.5+3.3</f>
        <v>45.8</v>
      </c>
      <c r="AO28" s="368">
        <v>121.8</v>
      </c>
      <c r="AP28" s="369">
        <f>AP30</f>
        <v>265.93886462882097</v>
      </c>
      <c r="AQ28" s="367">
        <f>42.5+3.3-6.7+0.1</f>
        <v>39.199999999999996</v>
      </c>
      <c r="AR28" s="368">
        <v>75.7</v>
      </c>
      <c r="AS28" s="369">
        <f>AS30</f>
        <v>51.78335535006604</v>
      </c>
      <c r="AT28" s="404">
        <f>AF28+AK28+AN28+AQ28</f>
        <v>2015.4</v>
      </c>
      <c r="AU28" s="405">
        <f>AG28+AL28+AO28+AR28</f>
        <v>2005.6999999999998</v>
      </c>
      <c r="AV28" s="405"/>
      <c r="AW28" s="345">
        <f t="shared" si="14"/>
        <v>1219.5</v>
      </c>
      <c r="AX28" s="346">
        <f t="shared" si="15"/>
        <v>1219.5</v>
      </c>
      <c r="AY28" s="367">
        <f>42.5+6.2+266.1-272.3</f>
        <v>42.5</v>
      </c>
      <c r="AZ28" s="368">
        <v>27.3</v>
      </c>
      <c r="BA28" s="369">
        <f>AZ28/AY28*100</f>
        <v>64.23529411764706</v>
      </c>
      <c r="BB28" s="367">
        <f>85+272.3-320</f>
        <v>37.30000000000001</v>
      </c>
      <c r="BC28" s="368">
        <v>33.8</v>
      </c>
      <c r="BD28" s="368"/>
      <c r="BE28" s="369">
        <f>BC28/BB28*100</f>
        <v>90.61662198391417</v>
      </c>
      <c r="BF28" s="367">
        <f>1405.2-1198.5-5.4-24.3+320-279.5</f>
        <v>217.5</v>
      </c>
      <c r="BG28" s="368">
        <v>82.3</v>
      </c>
      <c r="BH28" s="369">
        <f>BH30</f>
        <v>37.839080459770116</v>
      </c>
      <c r="BI28" s="397">
        <f>AT28+AY28+BB28+BF28</f>
        <v>2312.7000000000003</v>
      </c>
      <c r="BJ28" s="398">
        <f>AU28+AZ28+BC28+BG28</f>
        <v>2149.1</v>
      </c>
      <c r="BK28" s="374">
        <f t="shared" si="16"/>
        <v>297.3</v>
      </c>
      <c r="BL28" s="374">
        <f t="shared" si="17"/>
        <v>297.3</v>
      </c>
      <c r="BM28" s="767" t="s">
        <v>157</v>
      </c>
      <c r="BN28" s="747" t="s">
        <v>158</v>
      </c>
    </row>
    <row r="29" spans="1:66" ht="35.25" customHeight="1" thickBot="1">
      <c r="A29" s="704"/>
      <c r="B29" s="717"/>
      <c r="C29" s="695"/>
      <c r="D29" s="698"/>
      <c r="E29" s="375" t="s">
        <v>74</v>
      </c>
      <c r="F29" s="376">
        <v>0</v>
      </c>
      <c r="G29" s="377">
        <v>0</v>
      </c>
      <c r="H29" s="378">
        <v>0</v>
      </c>
      <c r="I29" s="376">
        <v>0</v>
      </c>
      <c r="J29" s="377">
        <v>0</v>
      </c>
      <c r="K29" s="379">
        <v>0</v>
      </c>
      <c r="L29" s="376">
        <v>0</v>
      </c>
      <c r="M29" s="377">
        <v>0</v>
      </c>
      <c r="N29" s="379">
        <v>0</v>
      </c>
      <c r="O29" s="376">
        <v>0</v>
      </c>
      <c r="P29" s="377">
        <v>0</v>
      </c>
      <c r="Q29" s="379">
        <v>0</v>
      </c>
      <c r="R29" s="380"/>
      <c r="S29" s="377"/>
      <c r="T29" s="377"/>
      <c r="U29" s="345">
        <f t="shared" si="10"/>
        <v>0</v>
      </c>
      <c r="V29" s="346">
        <f t="shared" si="11"/>
        <v>0</v>
      </c>
      <c r="W29" s="376">
        <v>0</v>
      </c>
      <c r="X29" s="377">
        <v>0</v>
      </c>
      <c r="Y29" s="379">
        <v>0</v>
      </c>
      <c r="Z29" s="376">
        <v>0</v>
      </c>
      <c r="AA29" s="377">
        <v>0</v>
      </c>
      <c r="AB29" s="379">
        <v>0</v>
      </c>
      <c r="AC29" s="376">
        <v>0</v>
      </c>
      <c r="AD29" s="377">
        <v>0</v>
      </c>
      <c r="AE29" s="379">
        <v>0</v>
      </c>
      <c r="AF29" s="380"/>
      <c r="AG29" s="381"/>
      <c r="AH29" s="381"/>
      <c r="AI29" s="345">
        <f t="shared" si="12"/>
        <v>0</v>
      </c>
      <c r="AJ29" s="346">
        <f t="shared" si="13"/>
        <v>0</v>
      </c>
      <c r="AK29" s="376">
        <v>0</v>
      </c>
      <c r="AL29" s="377">
        <v>0</v>
      </c>
      <c r="AM29" s="379">
        <v>0</v>
      </c>
      <c r="AN29" s="376">
        <v>0</v>
      </c>
      <c r="AO29" s="377">
        <v>0</v>
      </c>
      <c r="AP29" s="379">
        <v>0</v>
      </c>
      <c r="AQ29" s="376">
        <v>0</v>
      </c>
      <c r="AR29" s="377">
        <v>0</v>
      </c>
      <c r="AS29" s="379">
        <v>0</v>
      </c>
      <c r="AT29" s="380"/>
      <c r="AU29" s="381"/>
      <c r="AV29" s="381"/>
      <c r="AW29" s="345">
        <f t="shared" si="14"/>
        <v>0</v>
      </c>
      <c r="AX29" s="346">
        <f t="shared" si="15"/>
        <v>0</v>
      </c>
      <c r="AY29" s="376">
        <v>0</v>
      </c>
      <c r="AZ29" s="377">
        <v>0</v>
      </c>
      <c r="BA29" s="379">
        <v>0</v>
      </c>
      <c r="BB29" s="376">
        <v>0</v>
      </c>
      <c r="BC29" s="377">
        <v>0</v>
      </c>
      <c r="BD29" s="377"/>
      <c r="BE29" s="379">
        <v>0</v>
      </c>
      <c r="BF29" s="376">
        <v>0</v>
      </c>
      <c r="BG29" s="377">
        <v>0</v>
      </c>
      <c r="BH29" s="379">
        <v>0</v>
      </c>
      <c r="BI29" s="382"/>
      <c r="BJ29" s="383"/>
      <c r="BK29" s="374">
        <f t="shared" si="16"/>
        <v>0</v>
      </c>
      <c r="BL29" s="374">
        <f t="shared" si="17"/>
        <v>0</v>
      </c>
      <c r="BM29" s="761"/>
      <c r="BN29" s="748"/>
    </row>
    <row r="30" spans="1:66" ht="56.25" customHeight="1" thickBot="1">
      <c r="A30" s="704"/>
      <c r="B30" s="717"/>
      <c r="C30" s="695"/>
      <c r="D30" s="698"/>
      <c r="E30" s="406" t="s">
        <v>27</v>
      </c>
      <c r="F30" s="267">
        <f>F28</f>
        <v>2312.7000000000003</v>
      </c>
      <c r="G30" s="361">
        <f aca="true" t="shared" si="20" ref="G30:BJ30">G28</f>
        <v>2149.1</v>
      </c>
      <c r="H30" s="390">
        <f t="shared" si="20"/>
        <v>92.92601720932242</v>
      </c>
      <c r="I30" s="407">
        <f t="shared" si="20"/>
        <v>0</v>
      </c>
      <c r="J30" s="408">
        <f t="shared" si="20"/>
        <v>0</v>
      </c>
      <c r="K30" s="409">
        <f t="shared" si="20"/>
        <v>0</v>
      </c>
      <c r="L30" s="407">
        <f t="shared" si="20"/>
        <v>88.3</v>
      </c>
      <c r="M30" s="408">
        <f>M28</f>
        <v>29.1</v>
      </c>
      <c r="N30" s="409">
        <f>M30/L30*100</f>
        <v>32.955832389580976</v>
      </c>
      <c r="O30" s="389">
        <f t="shared" si="20"/>
        <v>88.2</v>
      </c>
      <c r="P30" s="361">
        <f t="shared" si="20"/>
        <v>61.4</v>
      </c>
      <c r="Q30" s="391">
        <f t="shared" si="20"/>
        <v>69.61451247165532</v>
      </c>
      <c r="R30" s="410">
        <f t="shared" si="20"/>
        <v>176.5</v>
      </c>
      <c r="S30" s="408">
        <f t="shared" si="20"/>
        <v>90.5</v>
      </c>
      <c r="T30" s="408">
        <f t="shared" si="20"/>
        <v>51.27478753541076</v>
      </c>
      <c r="U30" s="351">
        <f t="shared" si="10"/>
        <v>176.5</v>
      </c>
      <c r="V30" s="352">
        <f t="shared" si="11"/>
        <v>176.5</v>
      </c>
      <c r="W30" s="407">
        <f t="shared" si="20"/>
        <v>88.3</v>
      </c>
      <c r="X30" s="408">
        <f t="shared" si="20"/>
        <v>80.6</v>
      </c>
      <c r="Y30" s="409">
        <f t="shared" si="20"/>
        <v>91.2797281993205</v>
      </c>
      <c r="Z30" s="407">
        <f>Z28</f>
        <v>2.5</v>
      </c>
      <c r="AA30" s="408">
        <f t="shared" si="20"/>
        <v>32.1</v>
      </c>
      <c r="AB30" s="409">
        <f>AA30/Z30*10</f>
        <v>128.4</v>
      </c>
      <c r="AC30" s="407">
        <f t="shared" si="20"/>
        <v>528.6</v>
      </c>
      <c r="AD30" s="408">
        <f t="shared" si="20"/>
        <v>41.7</v>
      </c>
      <c r="AE30" s="409">
        <f t="shared" si="20"/>
        <v>7.888762769580023</v>
      </c>
      <c r="AF30" s="410">
        <f t="shared" si="20"/>
        <v>795.9000000000001</v>
      </c>
      <c r="AG30" s="408">
        <f t="shared" si="20"/>
        <v>244.89999999999998</v>
      </c>
      <c r="AH30" s="408">
        <f t="shared" si="20"/>
        <v>0</v>
      </c>
      <c r="AI30" s="351">
        <f t="shared" si="12"/>
        <v>619.4</v>
      </c>
      <c r="AJ30" s="352">
        <f t="shared" si="13"/>
        <v>619.4</v>
      </c>
      <c r="AK30" s="407">
        <f t="shared" si="20"/>
        <v>1134.5</v>
      </c>
      <c r="AL30" s="408">
        <f t="shared" si="20"/>
        <v>1563.3</v>
      </c>
      <c r="AM30" s="409">
        <f>AL30/AK30*100</f>
        <v>137.79638607316</v>
      </c>
      <c r="AN30" s="407">
        <f t="shared" si="20"/>
        <v>45.8</v>
      </c>
      <c r="AO30" s="408">
        <f t="shared" si="20"/>
        <v>121.8</v>
      </c>
      <c r="AP30" s="409">
        <f>AO30/AN30*100</f>
        <v>265.93886462882097</v>
      </c>
      <c r="AQ30" s="407">
        <f t="shared" si="20"/>
        <v>39.199999999999996</v>
      </c>
      <c r="AR30" s="408">
        <f t="shared" si="20"/>
        <v>75.7</v>
      </c>
      <c r="AS30" s="409">
        <f>AQ30/AR30*100</f>
        <v>51.78335535006604</v>
      </c>
      <c r="AT30" s="410">
        <f t="shared" si="20"/>
        <v>2015.4</v>
      </c>
      <c r="AU30" s="408">
        <f t="shared" si="20"/>
        <v>2005.6999999999998</v>
      </c>
      <c r="AV30" s="408">
        <f t="shared" si="20"/>
        <v>0</v>
      </c>
      <c r="AW30" s="351">
        <f t="shared" si="14"/>
        <v>1219.5</v>
      </c>
      <c r="AX30" s="352">
        <f t="shared" si="15"/>
        <v>1219.5</v>
      </c>
      <c r="AY30" s="407">
        <f t="shared" si="20"/>
        <v>42.5</v>
      </c>
      <c r="AZ30" s="408">
        <f t="shared" si="20"/>
        <v>27.3</v>
      </c>
      <c r="BA30" s="409">
        <f t="shared" si="20"/>
        <v>64.23529411764706</v>
      </c>
      <c r="BB30" s="407">
        <f t="shared" si="20"/>
        <v>37.30000000000001</v>
      </c>
      <c r="BC30" s="408">
        <f t="shared" si="20"/>
        <v>33.8</v>
      </c>
      <c r="BD30" s="408">
        <f t="shared" si="20"/>
        <v>0</v>
      </c>
      <c r="BE30" s="409">
        <f t="shared" si="20"/>
        <v>90.61662198391417</v>
      </c>
      <c r="BF30" s="407">
        <f t="shared" si="20"/>
        <v>217.5</v>
      </c>
      <c r="BG30" s="408">
        <f t="shared" si="20"/>
        <v>82.3</v>
      </c>
      <c r="BH30" s="409">
        <f>BG30/BF30*100</f>
        <v>37.839080459770116</v>
      </c>
      <c r="BI30" s="411">
        <f t="shared" si="20"/>
        <v>2312.7000000000003</v>
      </c>
      <c r="BJ30" s="412">
        <f t="shared" si="20"/>
        <v>2149.1</v>
      </c>
      <c r="BK30" s="374">
        <f t="shared" si="16"/>
        <v>297.3</v>
      </c>
      <c r="BL30" s="374">
        <f t="shared" si="17"/>
        <v>297.3</v>
      </c>
      <c r="BM30" s="762"/>
      <c r="BN30" s="749"/>
    </row>
    <row r="31" spans="1:66" ht="51" customHeight="1">
      <c r="A31" s="703" t="s">
        <v>97</v>
      </c>
      <c r="B31" s="825" t="s">
        <v>123</v>
      </c>
      <c r="C31" s="694" t="s">
        <v>48</v>
      </c>
      <c r="D31" s="740" t="s">
        <v>107</v>
      </c>
      <c r="E31" s="413" t="s">
        <v>73</v>
      </c>
      <c r="F31" s="367">
        <f>F33</f>
        <v>2214.3</v>
      </c>
      <c r="G31" s="368">
        <f>S31+X31+AA31+AD31+AL31+AO31+AR31+AZ31+BC31+BG31</f>
        <v>2214.3</v>
      </c>
      <c r="H31" s="396">
        <f>H33</f>
        <v>100</v>
      </c>
      <c r="I31" s="367">
        <v>0</v>
      </c>
      <c r="J31" s="368">
        <v>0</v>
      </c>
      <c r="K31" s="369">
        <v>0</v>
      </c>
      <c r="L31" s="367">
        <v>0</v>
      </c>
      <c r="M31" s="368">
        <v>0</v>
      </c>
      <c r="N31" s="369">
        <v>0</v>
      </c>
      <c r="O31" s="367">
        <v>0</v>
      </c>
      <c r="P31" s="368">
        <v>0</v>
      </c>
      <c r="Q31" s="369">
        <v>0</v>
      </c>
      <c r="R31" s="404">
        <f>I31+L31+O31</f>
        <v>0</v>
      </c>
      <c r="S31" s="368">
        <f>J31+M31+P31</f>
        <v>0</v>
      </c>
      <c r="T31" s="368"/>
      <c r="U31" s="332">
        <f t="shared" si="10"/>
        <v>0</v>
      </c>
      <c r="V31" s="333">
        <f t="shared" si="11"/>
        <v>0</v>
      </c>
      <c r="W31" s="367">
        <v>100</v>
      </c>
      <c r="X31" s="368">
        <v>90.9</v>
      </c>
      <c r="Y31" s="369">
        <f>X31/W31*100</f>
        <v>90.9</v>
      </c>
      <c r="Z31" s="367">
        <v>0</v>
      </c>
      <c r="AA31" s="368">
        <v>0</v>
      </c>
      <c r="AB31" s="369">
        <v>0</v>
      </c>
      <c r="AC31" s="367">
        <f>2115.8-99</f>
        <v>2016.8000000000002</v>
      </c>
      <c r="AD31" s="368">
        <v>0</v>
      </c>
      <c r="AE31" s="369">
        <v>0</v>
      </c>
      <c r="AF31" s="404">
        <f>R31+W31+Z31+AC31</f>
        <v>2116.8</v>
      </c>
      <c r="AG31" s="405">
        <f>S31+X31+AA31+AD31</f>
        <v>90.9</v>
      </c>
      <c r="AH31" s="405"/>
      <c r="AI31" s="332">
        <f t="shared" si="12"/>
        <v>2116.8</v>
      </c>
      <c r="AJ31" s="333">
        <f t="shared" si="13"/>
        <v>2116.8</v>
      </c>
      <c r="AK31" s="367">
        <v>0</v>
      </c>
      <c r="AL31" s="368">
        <v>0</v>
      </c>
      <c r="AM31" s="369">
        <f>AM33</f>
        <v>0</v>
      </c>
      <c r="AN31" s="367">
        <v>97.5</v>
      </c>
      <c r="AO31" s="368">
        <v>1603.8</v>
      </c>
      <c r="AP31" s="369">
        <f>AP33</f>
        <v>6.0793116348671905</v>
      </c>
      <c r="AQ31" s="367">
        <v>0</v>
      </c>
      <c r="AR31" s="368">
        <v>134.7</v>
      </c>
      <c r="AS31" s="369">
        <v>0</v>
      </c>
      <c r="AT31" s="404">
        <f>AF31+AK31+AN31+AQ31</f>
        <v>2214.3</v>
      </c>
      <c r="AU31" s="405">
        <f>AG31+AL31+AO31+AR31</f>
        <v>1829.4</v>
      </c>
      <c r="AV31" s="405"/>
      <c r="AW31" s="332">
        <f t="shared" si="14"/>
        <v>97.5</v>
      </c>
      <c r="AX31" s="333">
        <f t="shared" si="15"/>
        <v>97.5</v>
      </c>
      <c r="AY31" s="367">
        <v>0</v>
      </c>
      <c r="AZ31" s="368">
        <v>0</v>
      </c>
      <c r="BA31" s="369">
        <v>0</v>
      </c>
      <c r="BB31" s="367">
        <v>0</v>
      </c>
      <c r="BC31" s="368">
        <v>0</v>
      </c>
      <c r="BD31" s="368"/>
      <c r="BE31" s="369">
        <v>0</v>
      </c>
      <c r="BF31" s="367">
        <v>0</v>
      </c>
      <c r="BG31" s="368">
        <f>BG33</f>
        <v>384.9</v>
      </c>
      <c r="BH31" s="369">
        <v>0</v>
      </c>
      <c r="BI31" s="414">
        <f>AT31+AY31+BB31+BF31</f>
        <v>2214.3</v>
      </c>
      <c r="BJ31" s="415">
        <f>AU31+AZ31+BC31+BG31</f>
        <v>2214.3</v>
      </c>
      <c r="BK31" s="416">
        <f t="shared" si="16"/>
        <v>0</v>
      </c>
      <c r="BL31" s="417">
        <f t="shared" si="17"/>
        <v>0</v>
      </c>
      <c r="BM31" s="770" t="s">
        <v>138</v>
      </c>
      <c r="BN31" s="747"/>
    </row>
    <row r="32" spans="1:66" ht="39.75" customHeight="1">
      <c r="A32" s="704"/>
      <c r="B32" s="826"/>
      <c r="C32" s="695"/>
      <c r="D32" s="741"/>
      <c r="E32" s="419" t="s">
        <v>74</v>
      </c>
      <c r="F32" s="376">
        <v>0</v>
      </c>
      <c r="G32" s="377">
        <v>0</v>
      </c>
      <c r="H32" s="378">
        <v>0</v>
      </c>
      <c r="I32" s="376">
        <v>0</v>
      </c>
      <c r="J32" s="377">
        <v>0</v>
      </c>
      <c r="K32" s="379">
        <v>0</v>
      </c>
      <c r="L32" s="376">
        <v>0</v>
      </c>
      <c r="M32" s="377">
        <v>0</v>
      </c>
      <c r="N32" s="379">
        <v>0</v>
      </c>
      <c r="O32" s="376">
        <v>0</v>
      </c>
      <c r="P32" s="377">
        <v>0</v>
      </c>
      <c r="Q32" s="379">
        <v>0</v>
      </c>
      <c r="R32" s="380"/>
      <c r="S32" s="377"/>
      <c r="T32" s="377"/>
      <c r="U32" s="345">
        <f t="shared" si="10"/>
        <v>0</v>
      </c>
      <c r="V32" s="346">
        <f t="shared" si="11"/>
        <v>0</v>
      </c>
      <c r="W32" s="376">
        <v>0</v>
      </c>
      <c r="X32" s="377">
        <v>0</v>
      </c>
      <c r="Y32" s="379">
        <v>0</v>
      </c>
      <c r="Z32" s="376">
        <v>0</v>
      </c>
      <c r="AA32" s="377">
        <v>0</v>
      </c>
      <c r="AB32" s="379">
        <v>0</v>
      </c>
      <c r="AC32" s="376">
        <v>0</v>
      </c>
      <c r="AD32" s="377">
        <v>0</v>
      </c>
      <c r="AE32" s="379">
        <v>0</v>
      </c>
      <c r="AF32" s="380"/>
      <c r="AG32" s="381"/>
      <c r="AH32" s="381"/>
      <c r="AI32" s="345">
        <f t="shared" si="12"/>
        <v>0</v>
      </c>
      <c r="AJ32" s="346">
        <f t="shared" si="13"/>
        <v>0</v>
      </c>
      <c r="AK32" s="376">
        <v>0</v>
      </c>
      <c r="AL32" s="377">
        <v>0</v>
      </c>
      <c r="AM32" s="379">
        <v>0</v>
      </c>
      <c r="AN32" s="376">
        <v>0</v>
      </c>
      <c r="AO32" s="377">
        <v>0</v>
      </c>
      <c r="AP32" s="379">
        <v>0</v>
      </c>
      <c r="AQ32" s="376">
        <v>0</v>
      </c>
      <c r="AR32" s="377">
        <v>0</v>
      </c>
      <c r="AS32" s="379">
        <v>0</v>
      </c>
      <c r="AT32" s="380"/>
      <c r="AU32" s="381"/>
      <c r="AV32" s="381"/>
      <c r="AW32" s="345">
        <f t="shared" si="14"/>
        <v>0</v>
      </c>
      <c r="AX32" s="346">
        <f t="shared" si="15"/>
        <v>0</v>
      </c>
      <c r="AY32" s="376">
        <v>0</v>
      </c>
      <c r="AZ32" s="377">
        <v>0</v>
      </c>
      <c r="BA32" s="379">
        <v>0</v>
      </c>
      <c r="BB32" s="376">
        <v>0</v>
      </c>
      <c r="BC32" s="377">
        <v>0</v>
      </c>
      <c r="BD32" s="377"/>
      <c r="BE32" s="379">
        <v>0</v>
      </c>
      <c r="BF32" s="376">
        <v>0</v>
      </c>
      <c r="BG32" s="377">
        <v>0</v>
      </c>
      <c r="BH32" s="379">
        <v>0</v>
      </c>
      <c r="BI32" s="420"/>
      <c r="BJ32" s="421"/>
      <c r="BK32" s="237">
        <f t="shared" si="16"/>
        <v>0</v>
      </c>
      <c r="BL32" s="422">
        <f t="shared" si="17"/>
        <v>0</v>
      </c>
      <c r="BM32" s="771"/>
      <c r="BN32" s="748"/>
    </row>
    <row r="33" spans="1:66" ht="53.25" customHeight="1" thickBot="1">
      <c r="A33" s="704"/>
      <c r="B33" s="826"/>
      <c r="C33" s="695"/>
      <c r="D33" s="741"/>
      <c r="E33" s="419" t="s">
        <v>27</v>
      </c>
      <c r="F33" s="376">
        <f>W33+Z33+AC33+AN33</f>
        <v>2214.3</v>
      </c>
      <c r="G33" s="377">
        <f>G31</f>
        <v>2214.3</v>
      </c>
      <c r="H33" s="378">
        <f>G33/F33*100</f>
        <v>100</v>
      </c>
      <c r="I33" s="376">
        <v>0</v>
      </c>
      <c r="J33" s="377">
        <v>0</v>
      </c>
      <c r="K33" s="379">
        <v>0</v>
      </c>
      <c r="L33" s="376">
        <v>0</v>
      </c>
      <c r="M33" s="377">
        <v>0</v>
      </c>
      <c r="N33" s="379">
        <v>0</v>
      </c>
      <c r="O33" s="376">
        <v>0</v>
      </c>
      <c r="P33" s="377">
        <v>0</v>
      </c>
      <c r="Q33" s="379">
        <v>0</v>
      </c>
      <c r="R33" s="380"/>
      <c r="S33" s="377"/>
      <c r="T33" s="377"/>
      <c r="U33" s="345">
        <f t="shared" si="10"/>
        <v>0</v>
      </c>
      <c r="V33" s="346">
        <f t="shared" si="11"/>
        <v>0</v>
      </c>
      <c r="W33" s="376">
        <v>100</v>
      </c>
      <c r="X33" s="377">
        <f>X31</f>
        <v>90.9</v>
      </c>
      <c r="Y33" s="379">
        <f>Y31</f>
        <v>90.9</v>
      </c>
      <c r="Z33" s="376">
        <f>Z31</f>
        <v>0</v>
      </c>
      <c r="AA33" s="377">
        <v>0</v>
      </c>
      <c r="AB33" s="379">
        <v>0</v>
      </c>
      <c r="AC33" s="376">
        <f>2115.8-99</f>
        <v>2016.8000000000002</v>
      </c>
      <c r="AD33" s="377">
        <v>0</v>
      </c>
      <c r="AE33" s="379">
        <v>0</v>
      </c>
      <c r="AF33" s="380"/>
      <c r="AG33" s="381"/>
      <c r="AH33" s="381"/>
      <c r="AI33" s="345">
        <f t="shared" si="12"/>
        <v>2116.8</v>
      </c>
      <c r="AJ33" s="346">
        <f t="shared" si="13"/>
        <v>2116.8</v>
      </c>
      <c r="AK33" s="376">
        <v>0</v>
      </c>
      <c r="AL33" s="377">
        <v>0</v>
      </c>
      <c r="AM33" s="379">
        <v>0</v>
      </c>
      <c r="AN33" s="376">
        <f>408.4-310.9</f>
        <v>97.5</v>
      </c>
      <c r="AO33" s="377">
        <f>AO31</f>
        <v>1603.8</v>
      </c>
      <c r="AP33" s="379">
        <f>AN33/AO33*100</f>
        <v>6.0793116348671905</v>
      </c>
      <c r="AQ33" s="376">
        <v>0</v>
      </c>
      <c r="AR33" s="377">
        <f>AR31</f>
        <v>134.7</v>
      </c>
      <c r="AS33" s="379">
        <v>0</v>
      </c>
      <c r="AT33" s="380"/>
      <c r="AU33" s="381"/>
      <c r="AV33" s="381"/>
      <c r="AW33" s="345">
        <f t="shared" si="14"/>
        <v>97.5</v>
      </c>
      <c r="AX33" s="346">
        <f t="shared" si="15"/>
        <v>97.5</v>
      </c>
      <c r="AY33" s="376">
        <v>0</v>
      </c>
      <c r="AZ33" s="377">
        <v>0</v>
      </c>
      <c r="BA33" s="379">
        <v>0</v>
      </c>
      <c r="BB33" s="376">
        <f>BB31</f>
        <v>0</v>
      </c>
      <c r="BC33" s="377">
        <f>BC31</f>
        <v>0</v>
      </c>
      <c r="BD33" s="377"/>
      <c r="BE33" s="379">
        <v>0</v>
      </c>
      <c r="BF33" s="376">
        <f>BF31</f>
        <v>0</v>
      </c>
      <c r="BG33" s="377">
        <v>384.9</v>
      </c>
      <c r="BH33" s="379">
        <v>0</v>
      </c>
      <c r="BI33" s="420"/>
      <c r="BJ33" s="421"/>
      <c r="BK33" s="237">
        <f t="shared" si="16"/>
        <v>0</v>
      </c>
      <c r="BL33" s="422">
        <f t="shared" si="17"/>
        <v>0</v>
      </c>
      <c r="BM33" s="772"/>
      <c r="BN33" s="749"/>
    </row>
    <row r="34" spans="1:66" ht="39" thickBot="1">
      <c r="A34" s="705"/>
      <c r="B34" s="827"/>
      <c r="C34" s="696"/>
      <c r="D34" s="742"/>
      <c r="E34" s="424" t="s">
        <v>90</v>
      </c>
      <c r="F34" s="389">
        <f>O34</f>
        <v>419.2</v>
      </c>
      <c r="G34" s="361">
        <f>P34</f>
        <v>419.2</v>
      </c>
      <c r="H34" s="425">
        <v>100</v>
      </c>
      <c r="I34" s="389">
        <v>0</v>
      </c>
      <c r="J34" s="361">
        <v>0</v>
      </c>
      <c r="K34" s="391">
        <v>0</v>
      </c>
      <c r="L34" s="389">
        <v>0</v>
      </c>
      <c r="M34" s="361">
        <v>0</v>
      </c>
      <c r="N34" s="391">
        <v>0</v>
      </c>
      <c r="O34" s="389">
        <v>419.2</v>
      </c>
      <c r="P34" s="361">
        <v>419.2</v>
      </c>
      <c r="Q34" s="391">
        <v>100</v>
      </c>
      <c r="R34" s="392"/>
      <c r="S34" s="361"/>
      <c r="T34" s="361"/>
      <c r="U34" s="357">
        <f t="shared" si="10"/>
        <v>419.2</v>
      </c>
      <c r="V34" s="358">
        <v>0</v>
      </c>
      <c r="W34" s="389">
        <v>0</v>
      </c>
      <c r="X34" s="361">
        <v>0</v>
      </c>
      <c r="Y34" s="391">
        <v>0</v>
      </c>
      <c r="Z34" s="389">
        <v>0</v>
      </c>
      <c r="AA34" s="361">
        <v>0</v>
      </c>
      <c r="AB34" s="391">
        <v>0</v>
      </c>
      <c r="AC34" s="389">
        <v>0</v>
      </c>
      <c r="AD34" s="361">
        <v>0</v>
      </c>
      <c r="AE34" s="391">
        <v>0</v>
      </c>
      <c r="AF34" s="392"/>
      <c r="AG34" s="426"/>
      <c r="AH34" s="426"/>
      <c r="AI34" s="357"/>
      <c r="AJ34" s="358">
        <v>0</v>
      </c>
      <c r="AK34" s="389">
        <v>0</v>
      </c>
      <c r="AL34" s="361">
        <v>0</v>
      </c>
      <c r="AM34" s="391">
        <v>0</v>
      </c>
      <c r="AN34" s="389">
        <v>0</v>
      </c>
      <c r="AO34" s="361">
        <v>0</v>
      </c>
      <c r="AP34" s="391">
        <v>0</v>
      </c>
      <c r="AQ34" s="389">
        <v>0</v>
      </c>
      <c r="AR34" s="361">
        <v>0</v>
      </c>
      <c r="AS34" s="391">
        <v>0</v>
      </c>
      <c r="AT34" s="392"/>
      <c r="AU34" s="426"/>
      <c r="AV34" s="426"/>
      <c r="AW34" s="357">
        <f t="shared" si="14"/>
        <v>0</v>
      </c>
      <c r="AX34" s="358">
        <v>0</v>
      </c>
      <c r="AY34" s="389">
        <v>0</v>
      </c>
      <c r="AZ34" s="361">
        <v>0</v>
      </c>
      <c r="BA34" s="391">
        <v>0</v>
      </c>
      <c r="BB34" s="389">
        <v>0</v>
      </c>
      <c r="BC34" s="361">
        <v>0</v>
      </c>
      <c r="BD34" s="361"/>
      <c r="BE34" s="391">
        <v>0</v>
      </c>
      <c r="BF34" s="389">
        <v>0</v>
      </c>
      <c r="BG34" s="361">
        <v>0</v>
      </c>
      <c r="BH34" s="391">
        <v>0</v>
      </c>
      <c r="BI34" s="427"/>
      <c r="BJ34" s="428"/>
      <c r="BK34" s="429"/>
      <c r="BL34" s="430">
        <v>0</v>
      </c>
      <c r="BM34" s="423" t="s">
        <v>139</v>
      </c>
      <c r="BN34" s="278"/>
    </row>
    <row r="35" spans="1:66" ht="263.25" customHeight="1" thickBot="1">
      <c r="A35" s="703" t="s">
        <v>98</v>
      </c>
      <c r="B35" s="716" t="s">
        <v>122</v>
      </c>
      <c r="C35" s="694" t="s">
        <v>48</v>
      </c>
      <c r="D35" s="706" t="s">
        <v>107</v>
      </c>
      <c r="E35" s="431" t="s">
        <v>73</v>
      </c>
      <c r="F35" s="367">
        <f>R35+W35+Z35+AC35+AK35+AN35+AQ35+AY35+BB35+BF35</f>
        <v>65971.2</v>
      </c>
      <c r="G35" s="368">
        <f>S35+X35+AA35+AD35+AL35+AO35+AR35+AZ35+BC35+BG35</f>
        <v>62724.900000000016</v>
      </c>
      <c r="H35" s="396">
        <f>G35/F35*100</f>
        <v>95.0792163853318</v>
      </c>
      <c r="I35" s="367">
        <v>0</v>
      </c>
      <c r="J35" s="368">
        <v>0</v>
      </c>
      <c r="K35" s="369">
        <v>0</v>
      </c>
      <c r="L35" s="367">
        <f>2409.8+153.9</f>
        <v>2563.7000000000003</v>
      </c>
      <c r="M35" s="368">
        <f>2265.5</f>
        <v>2265.5</v>
      </c>
      <c r="N35" s="369">
        <f>M35/L35*100</f>
        <v>88.36837383469204</v>
      </c>
      <c r="O35" s="367">
        <f>1706.9+843.1+154</f>
        <v>2704</v>
      </c>
      <c r="P35" s="368">
        <f>2673.3</f>
        <v>2673.3</v>
      </c>
      <c r="Q35" s="369">
        <f>P35/O35*100</f>
        <v>98.8646449704142</v>
      </c>
      <c r="R35" s="432">
        <f>I35+L35+O35</f>
        <v>5267.700000000001</v>
      </c>
      <c r="S35" s="433">
        <f>J35+M35+P35</f>
        <v>4938.8</v>
      </c>
      <c r="T35" s="433">
        <f>S35/R35*100</f>
        <v>93.75628832317709</v>
      </c>
      <c r="U35" s="434">
        <f t="shared" si="10"/>
        <v>5267.700000000001</v>
      </c>
      <c r="V35" s="435">
        <f t="shared" si="11"/>
        <v>5267.700000000001</v>
      </c>
      <c r="W35" s="367">
        <f>2499.1+559.7+2530+153.9</f>
        <v>5742.7</v>
      </c>
      <c r="X35" s="368">
        <v>5570.3</v>
      </c>
      <c r="Y35" s="369">
        <f>X35/W35*100</f>
        <v>96.99792780399464</v>
      </c>
      <c r="Z35" s="367">
        <f>3419.9+1113.7-966.7-529+154</f>
        <v>3191.9000000000005</v>
      </c>
      <c r="AA35" s="368">
        <f>2901.6</f>
        <v>2901.6</v>
      </c>
      <c r="AB35" s="369">
        <f>AA35/Z35*100</f>
        <v>90.90510354334407</v>
      </c>
      <c r="AC35" s="367">
        <f>9760.6+313+153.9-104.3</f>
        <v>10123.2</v>
      </c>
      <c r="AD35" s="368">
        <f>4801.1</f>
        <v>4801.1</v>
      </c>
      <c r="AE35" s="369">
        <f>AE37</f>
        <v>47.42670301880828</v>
      </c>
      <c r="AF35" s="432">
        <f>R35+W35+Z35+AC35</f>
        <v>24325.500000000004</v>
      </c>
      <c r="AG35" s="436">
        <f>S35+X35+AA35+AD35</f>
        <v>18211.800000000003</v>
      </c>
      <c r="AH35" s="436"/>
      <c r="AI35" s="434">
        <f t="shared" si="12"/>
        <v>19057.800000000003</v>
      </c>
      <c r="AJ35" s="435">
        <f t="shared" si="13"/>
        <v>19057.800000000003</v>
      </c>
      <c r="AK35" s="367">
        <f>8967.5+498.9+32.4+154</f>
        <v>9652.8</v>
      </c>
      <c r="AL35" s="368">
        <v>9279.7</v>
      </c>
      <c r="AM35" s="369">
        <f>AL35/AK35*100</f>
        <v>96.13480026520804</v>
      </c>
      <c r="AN35" s="367">
        <f>AN37</f>
        <v>6732.6</v>
      </c>
      <c r="AO35" s="368">
        <v>6546.2</v>
      </c>
      <c r="AP35" s="369">
        <f>AP37</f>
        <v>97.23138163562368</v>
      </c>
      <c r="AQ35" s="367">
        <f>AQ36+AQ37</f>
        <v>9271</v>
      </c>
      <c r="AR35" s="368">
        <f>AR37</f>
        <v>8606.7</v>
      </c>
      <c r="AS35" s="369">
        <f>AR35/AQ35*100</f>
        <v>92.83464566929135</v>
      </c>
      <c r="AT35" s="432">
        <f>AF35+AK35+AN35+AQ35</f>
        <v>49981.9</v>
      </c>
      <c r="AU35" s="436">
        <f>AG35+AL35+AO35+AR35</f>
        <v>42644.40000000001</v>
      </c>
      <c r="AV35" s="436"/>
      <c r="AW35" s="434">
        <f t="shared" si="14"/>
        <v>25656.4</v>
      </c>
      <c r="AX35" s="435">
        <f>AK35+AN35+AQ35</f>
        <v>25656.4</v>
      </c>
      <c r="AY35" s="367">
        <f>1315.2+400+714.8+998.7+1034.1-1008.1+2800+154-1438</f>
        <v>4970.699999999999</v>
      </c>
      <c r="AZ35" s="368">
        <f>AZ36+AZ37</f>
        <v>6334.799999999999</v>
      </c>
      <c r="BA35" s="369">
        <f>AZ35/AY35*100</f>
        <v>127.44281489528639</v>
      </c>
      <c r="BB35" s="367">
        <f>BB36+BB37</f>
        <v>3411.3</v>
      </c>
      <c r="BC35" s="368">
        <v>3250.8</v>
      </c>
      <c r="BD35" s="368"/>
      <c r="BE35" s="369">
        <f>BE37</f>
        <v>95.29504880837217</v>
      </c>
      <c r="BF35" s="367">
        <f>BF36+BF37</f>
        <v>7607.3</v>
      </c>
      <c r="BG35" s="368">
        <f>BG36+BG37</f>
        <v>10494.9</v>
      </c>
      <c r="BH35" s="369">
        <f>BG35/BF35*100</f>
        <v>137.95827691822328</v>
      </c>
      <c r="BI35" s="437">
        <f>AT35+AY35+BB35+BF35</f>
        <v>65971.2</v>
      </c>
      <c r="BJ35" s="438">
        <f>AU35+AZ35+BC35+BG35</f>
        <v>62724.900000000016</v>
      </c>
      <c r="BK35" s="439">
        <f t="shared" si="16"/>
        <v>15989.3</v>
      </c>
      <c r="BL35" s="440">
        <f t="shared" si="17"/>
        <v>15989.3</v>
      </c>
      <c r="BM35" s="767" t="s">
        <v>160</v>
      </c>
      <c r="BN35" s="764" t="s">
        <v>159</v>
      </c>
    </row>
    <row r="36" spans="1:221" s="448" customFormat="1" ht="111.75" customHeight="1" thickBot="1">
      <c r="A36" s="704"/>
      <c r="B36" s="717"/>
      <c r="C36" s="695"/>
      <c r="D36" s="707"/>
      <c r="E36" s="441" t="s">
        <v>74</v>
      </c>
      <c r="F36" s="376">
        <f>R36+W36+Z36+AC36+AK36+AN36+AQ36+AY36+BB36+BF36</f>
        <v>8404</v>
      </c>
      <c r="G36" s="377">
        <f>AZ36+BG36</f>
        <v>5352.799999999999</v>
      </c>
      <c r="H36" s="385">
        <f>G36/F36*100</f>
        <v>63.69347929557353</v>
      </c>
      <c r="I36" s="376">
        <v>0</v>
      </c>
      <c r="J36" s="377">
        <v>0</v>
      </c>
      <c r="K36" s="379">
        <v>0</v>
      </c>
      <c r="L36" s="376">
        <v>0</v>
      </c>
      <c r="M36" s="377">
        <v>0</v>
      </c>
      <c r="N36" s="379">
        <v>0</v>
      </c>
      <c r="O36" s="376">
        <v>0</v>
      </c>
      <c r="P36" s="377">
        <v>0</v>
      </c>
      <c r="Q36" s="379">
        <v>0</v>
      </c>
      <c r="R36" s="442">
        <v>0</v>
      </c>
      <c r="S36" s="443">
        <v>0</v>
      </c>
      <c r="T36" s="443">
        <v>0</v>
      </c>
      <c r="U36" s="444">
        <f t="shared" si="10"/>
        <v>0</v>
      </c>
      <c r="V36" s="445">
        <f t="shared" si="11"/>
        <v>0</v>
      </c>
      <c r="W36" s="376">
        <v>0</v>
      </c>
      <c r="X36" s="377">
        <v>0</v>
      </c>
      <c r="Y36" s="379">
        <v>0</v>
      </c>
      <c r="Z36" s="376">
        <v>0</v>
      </c>
      <c r="AA36" s="377">
        <v>0</v>
      </c>
      <c r="AB36" s="379">
        <v>0</v>
      </c>
      <c r="AC36" s="376">
        <v>0</v>
      </c>
      <c r="AD36" s="377">
        <v>0</v>
      </c>
      <c r="AE36" s="379">
        <v>0</v>
      </c>
      <c r="AF36" s="442">
        <v>0</v>
      </c>
      <c r="AG36" s="443">
        <v>0</v>
      </c>
      <c r="AH36" s="443">
        <v>0</v>
      </c>
      <c r="AI36" s="444">
        <f t="shared" si="12"/>
        <v>0</v>
      </c>
      <c r="AJ36" s="445">
        <f t="shared" si="13"/>
        <v>0</v>
      </c>
      <c r="AK36" s="376">
        <v>0</v>
      </c>
      <c r="AL36" s="377">
        <v>0</v>
      </c>
      <c r="AM36" s="379">
        <v>0</v>
      </c>
      <c r="AN36" s="376">
        <v>0</v>
      </c>
      <c r="AO36" s="377">
        <v>0</v>
      </c>
      <c r="AP36" s="379">
        <v>0</v>
      </c>
      <c r="AQ36" s="376">
        <v>1550</v>
      </c>
      <c r="AR36" s="377">
        <v>0</v>
      </c>
      <c r="AS36" s="379">
        <v>0</v>
      </c>
      <c r="AT36" s="442">
        <v>0</v>
      </c>
      <c r="AU36" s="443">
        <v>0</v>
      </c>
      <c r="AV36" s="443">
        <v>0</v>
      </c>
      <c r="AW36" s="444">
        <f t="shared" si="14"/>
        <v>1550</v>
      </c>
      <c r="AX36" s="445">
        <f t="shared" si="15"/>
        <v>1550</v>
      </c>
      <c r="AY36" s="376">
        <v>0</v>
      </c>
      <c r="AZ36" s="377">
        <v>141.9</v>
      </c>
      <c r="BA36" s="379">
        <v>0</v>
      </c>
      <c r="BB36" s="376">
        <v>0</v>
      </c>
      <c r="BC36" s="377">
        <v>0</v>
      </c>
      <c r="BD36" s="377">
        <v>0</v>
      </c>
      <c r="BE36" s="379">
        <v>0</v>
      </c>
      <c r="BF36" s="376">
        <f>3230+3624</f>
        <v>6854</v>
      </c>
      <c r="BG36" s="377">
        <v>5210.9</v>
      </c>
      <c r="BH36" s="379">
        <f>BG36/BF36*100</f>
        <v>76.02713743799241</v>
      </c>
      <c r="BI36" s="397"/>
      <c r="BJ36" s="398"/>
      <c r="BK36" s="446">
        <f t="shared" si="16"/>
        <v>6854</v>
      </c>
      <c r="BL36" s="447">
        <f t="shared" si="17"/>
        <v>6854</v>
      </c>
      <c r="BM36" s="761"/>
      <c r="BN36" s="765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  <c r="DI36" s="154"/>
      <c r="DJ36" s="154"/>
      <c r="DK36" s="154"/>
      <c r="DL36" s="154"/>
      <c r="DM36" s="154"/>
      <c r="DN36" s="154"/>
      <c r="DO36" s="154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154"/>
      <c r="EG36" s="154"/>
      <c r="EH36" s="154"/>
      <c r="EI36" s="154"/>
      <c r="EJ36" s="154"/>
      <c r="EK36" s="154"/>
      <c r="EL36" s="154"/>
      <c r="EM36" s="154"/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  <c r="FF36" s="154"/>
      <c r="FG36" s="154"/>
      <c r="FH36" s="154"/>
      <c r="FI36" s="154"/>
      <c r="FJ36" s="154"/>
      <c r="FK36" s="154"/>
      <c r="FL36" s="154"/>
      <c r="FM36" s="154"/>
      <c r="FN36" s="154"/>
      <c r="FO36" s="154"/>
      <c r="FP36" s="154"/>
      <c r="FQ36" s="154"/>
      <c r="FR36" s="154"/>
      <c r="FS36" s="154"/>
      <c r="FT36" s="154"/>
      <c r="FU36" s="154"/>
      <c r="FV36" s="154"/>
      <c r="FW36" s="154"/>
      <c r="FX36" s="154"/>
      <c r="FY36" s="154"/>
      <c r="FZ36" s="154"/>
      <c r="GA36" s="154"/>
      <c r="GB36" s="154"/>
      <c r="GC36" s="154"/>
      <c r="GD36" s="154"/>
      <c r="GE36" s="154"/>
      <c r="GF36" s="154"/>
      <c r="GG36" s="154"/>
      <c r="GH36" s="154"/>
      <c r="GI36" s="154"/>
      <c r="GJ36" s="154"/>
      <c r="GK36" s="154"/>
      <c r="GL36" s="154"/>
      <c r="GM36" s="154"/>
      <c r="GN36" s="154"/>
      <c r="GO36" s="154"/>
      <c r="GP36" s="154"/>
      <c r="GQ36" s="154"/>
      <c r="GR36" s="154"/>
      <c r="GS36" s="154"/>
      <c r="GT36" s="154"/>
      <c r="GU36" s="154"/>
      <c r="GV36" s="154"/>
      <c r="GW36" s="154"/>
      <c r="GX36" s="154"/>
      <c r="GY36" s="154"/>
      <c r="GZ36" s="154"/>
      <c r="HA36" s="154"/>
      <c r="HB36" s="154"/>
      <c r="HC36" s="154"/>
      <c r="HD36" s="154"/>
      <c r="HE36" s="154"/>
      <c r="HF36" s="154"/>
      <c r="HG36" s="154"/>
      <c r="HH36" s="154"/>
      <c r="HI36" s="154"/>
      <c r="HJ36" s="154"/>
      <c r="HK36" s="154"/>
      <c r="HL36" s="154"/>
      <c r="HM36" s="154"/>
    </row>
    <row r="37" spans="1:221" s="309" customFormat="1" ht="234" customHeight="1" thickBot="1">
      <c r="A37" s="704"/>
      <c r="B37" s="717"/>
      <c r="C37" s="695"/>
      <c r="D37" s="707"/>
      <c r="E37" s="449" t="s">
        <v>27</v>
      </c>
      <c r="F37" s="376">
        <f>R37+W37+Z37+AC37+AK37+AN37+AQ37+AY37+BB37+BF37</f>
        <v>57567.200000000004</v>
      </c>
      <c r="G37" s="377">
        <f>G35-G36</f>
        <v>57372.10000000002</v>
      </c>
      <c r="H37" s="385">
        <f>G37/F37*100</f>
        <v>99.66109173279231</v>
      </c>
      <c r="I37" s="376">
        <f aca="true" t="shared" si="21" ref="I37:BD37">I35</f>
        <v>0</v>
      </c>
      <c r="J37" s="377">
        <f t="shared" si="21"/>
        <v>0</v>
      </c>
      <c r="K37" s="379">
        <f t="shared" si="21"/>
        <v>0</v>
      </c>
      <c r="L37" s="376">
        <f t="shared" si="21"/>
        <v>2563.7000000000003</v>
      </c>
      <c r="M37" s="377">
        <f t="shared" si="21"/>
        <v>2265.5</v>
      </c>
      <c r="N37" s="379">
        <f t="shared" si="21"/>
        <v>88.36837383469204</v>
      </c>
      <c r="O37" s="376">
        <f t="shared" si="21"/>
        <v>2704</v>
      </c>
      <c r="P37" s="377">
        <f t="shared" si="21"/>
        <v>2673.3</v>
      </c>
      <c r="Q37" s="379">
        <f t="shared" si="21"/>
        <v>98.8646449704142</v>
      </c>
      <c r="R37" s="450">
        <f t="shared" si="21"/>
        <v>5267.700000000001</v>
      </c>
      <c r="S37" s="451">
        <f t="shared" si="21"/>
        <v>4938.8</v>
      </c>
      <c r="T37" s="451">
        <f t="shared" si="21"/>
        <v>93.75628832317709</v>
      </c>
      <c r="U37" s="452">
        <f t="shared" si="10"/>
        <v>5267.700000000001</v>
      </c>
      <c r="V37" s="453">
        <f t="shared" si="11"/>
        <v>5267.700000000001</v>
      </c>
      <c r="W37" s="376">
        <f>W35</f>
        <v>5742.7</v>
      </c>
      <c r="X37" s="377">
        <f t="shared" si="21"/>
        <v>5570.3</v>
      </c>
      <c r="Y37" s="379">
        <f>Y35</f>
        <v>96.99792780399464</v>
      </c>
      <c r="Z37" s="376">
        <f>Z35</f>
        <v>3191.9000000000005</v>
      </c>
      <c r="AA37" s="377">
        <f t="shared" si="21"/>
        <v>2901.6</v>
      </c>
      <c r="AB37" s="379">
        <f t="shared" si="21"/>
        <v>90.90510354334407</v>
      </c>
      <c r="AC37" s="376">
        <f>AC35</f>
        <v>10123.2</v>
      </c>
      <c r="AD37" s="377">
        <f t="shared" si="21"/>
        <v>4801.1</v>
      </c>
      <c r="AE37" s="379">
        <f>AD37/AC37*100</f>
        <v>47.42670301880828</v>
      </c>
      <c r="AF37" s="450">
        <f t="shared" si="21"/>
        <v>24325.500000000004</v>
      </c>
      <c r="AG37" s="451">
        <f t="shared" si="21"/>
        <v>18211.800000000003</v>
      </c>
      <c r="AH37" s="451">
        <f t="shared" si="21"/>
        <v>0</v>
      </c>
      <c r="AI37" s="452">
        <f t="shared" si="12"/>
        <v>19057.800000000003</v>
      </c>
      <c r="AJ37" s="453">
        <f t="shared" si="13"/>
        <v>19057.800000000003</v>
      </c>
      <c r="AK37" s="376">
        <f t="shared" si="21"/>
        <v>9652.8</v>
      </c>
      <c r="AL37" s="377">
        <f t="shared" si="21"/>
        <v>9279.7</v>
      </c>
      <c r="AM37" s="379">
        <f t="shared" si="21"/>
        <v>96.13480026520804</v>
      </c>
      <c r="AN37" s="376">
        <f>10228.6-3500-150+154</f>
        <v>6732.6</v>
      </c>
      <c r="AO37" s="377">
        <f t="shared" si="21"/>
        <v>6546.2</v>
      </c>
      <c r="AP37" s="379">
        <f>AO37/AN37*100</f>
        <v>97.23138163562368</v>
      </c>
      <c r="AQ37" s="376">
        <f>5814.3+141.1+3500+150-998.7-1034.1+153.8+5.4-10.8</f>
        <v>7721</v>
      </c>
      <c r="AR37" s="377">
        <f>8606.7</f>
        <v>8606.7</v>
      </c>
      <c r="AS37" s="379">
        <f>AR37/AQ37*100</f>
        <v>111.47131200621683</v>
      </c>
      <c r="AT37" s="450">
        <f t="shared" si="21"/>
        <v>49981.9</v>
      </c>
      <c r="AU37" s="451">
        <f t="shared" si="21"/>
        <v>42644.40000000001</v>
      </c>
      <c r="AV37" s="451">
        <f t="shared" si="21"/>
        <v>0</v>
      </c>
      <c r="AW37" s="452">
        <f t="shared" si="14"/>
        <v>24106.4</v>
      </c>
      <c r="AX37" s="453">
        <f t="shared" si="15"/>
        <v>24106.4</v>
      </c>
      <c r="AY37" s="376">
        <f>AY35</f>
        <v>4970.699999999999</v>
      </c>
      <c r="AZ37" s="377">
        <v>6192.9</v>
      </c>
      <c r="BA37" s="379">
        <f>AZ37/AY37*100</f>
        <v>124.58808618504438</v>
      </c>
      <c r="BB37" s="376">
        <f>977.8+1200+461.4-1008.1+2016.2-2800+2300+110+154</f>
        <v>3411.3</v>
      </c>
      <c r="BC37" s="377">
        <f t="shared" si="21"/>
        <v>3250.8</v>
      </c>
      <c r="BD37" s="377">
        <f t="shared" si="21"/>
        <v>0</v>
      </c>
      <c r="BE37" s="379">
        <f>BC37/BB37*100</f>
        <v>95.29504880837217</v>
      </c>
      <c r="BF37" s="376">
        <f>3163.3-2300-110</f>
        <v>753.3000000000002</v>
      </c>
      <c r="BG37" s="377">
        <v>5284</v>
      </c>
      <c r="BH37" s="379">
        <f>BG37/BF37*100</f>
        <v>701.4469666799414</v>
      </c>
      <c r="BI37" s="372"/>
      <c r="BJ37" s="373"/>
      <c r="BK37" s="454">
        <f t="shared" si="16"/>
        <v>9135.3</v>
      </c>
      <c r="BL37" s="455">
        <f t="shared" si="17"/>
        <v>9135.3</v>
      </c>
      <c r="BM37" s="762"/>
      <c r="BN37" s="766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  <c r="DI37" s="154"/>
      <c r="DJ37" s="154"/>
      <c r="DK37" s="154"/>
      <c r="DL37" s="154"/>
      <c r="DM37" s="154"/>
      <c r="DN37" s="154"/>
      <c r="DO37" s="154"/>
      <c r="DP37" s="154"/>
      <c r="DQ37" s="154"/>
      <c r="DR37" s="154"/>
      <c r="DS37" s="154"/>
      <c r="DT37" s="154"/>
      <c r="DU37" s="154"/>
      <c r="DV37" s="154"/>
      <c r="DW37" s="154"/>
      <c r="DX37" s="154"/>
      <c r="DY37" s="154"/>
      <c r="DZ37" s="154"/>
      <c r="EA37" s="154"/>
      <c r="EB37" s="154"/>
      <c r="EC37" s="154"/>
      <c r="ED37" s="154"/>
      <c r="EE37" s="154"/>
      <c r="EF37" s="154"/>
      <c r="EG37" s="154"/>
      <c r="EH37" s="154"/>
      <c r="EI37" s="154"/>
      <c r="EJ37" s="154"/>
      <c r="EK37" s="154"/>
      <c r="EL37" s="154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  <c r="FF37" s="154"/>
      <c r="FG37" s="154"/>
      <c r="FH37" s="154"/>
      <c r="FI37" s="154"/>
      <c r="FJ37" s="154"/>
      <c r="FK37" s="154"/>
      <c r="FL37" s="154"/>
      <c r="FM37" s="154"/>
      <c r="FN37" s="154"/>
      <c r="FO37" s="154"/>
      <c r="FP37" s="154"/>
      <c r="FQ37" s="154"/>
      <c r="FR37" s="154"/>
      <c r="FS37" s="154"/>
      <c r="FT37" s="154"/>
      <c r="FU37" s="154"/>
      <c r="FV37" s="154"/>
      <c r="FW37" s="154"/>
      <c r="FX37" s="154"/>
      <c r="FY37" s="154"/>
      <c r="FZ37" s="154"/>
      <c r="GA37" s="154"/>
      <c r="GB37" s="154"/>
      <c r="GC37" s="154"/>
      <c r="GD37" s="154"/>
      <c r="GE37" s="154"/>
      <c r="GF37" s="154"/>
      <c r="GG37" s="154"/>
      <c r="GH37" s="154"/>
      <c r="GI37" s="154"/>
      <c r="GJ37" s="154"/>
      <c r="GK37" s="154"/>
      <c r="GL37" s="154"/>
      <c r="GM37" s="154"/>
      <c r="GN37" s="154"/>
      <c r="GO37" s="154"/>
      <c r="GP37" s="154"/>
      <c r="GQ37" s="154"/>
      <c r="GR37" s="154"/>
      <c r="GS37" s="154"/>
      <c r="GT37" s="154"/>
      <c r="GU37" s="154"/>
      <c r="GV37" s="154"/>
      <c r="GW37" s="154"/>
      <c r="GX37" s="154"/>
      <c r="GY37" s="154"/>
      <c r="GZ37" s="154"/>
      <c r="HA37" s="154"/>
      <c r="HB37" s="154"/>
      <c r="HC37" s="154"/>
      <c r="HD37" s="154"/>
      <c r="HE37" s="154"/>
      <c r="HF37" s="154"/>
      <c r="HG37" s="154"/>
      <c r="HH37" s="154"/>
      <c r="HI37" s="154"/>
      <c r="HJ37" s="154"/>
      <c r="HK37" s="154"/>
      <c r="HL37" s="154"/>
      <c r="HM37" s="154"/>
    </row>
    <row r="38" spans="1:66" ht="39" thickBot="1">
      <c r="A38" s="705"/>
      <c r="B38" s="400"/>
      <c r="C38" s="401"/>
      <c r="D38" s="708"/>
      <c r="E38" s="449" t="s">
        <v>90</v>
      </c>
      <c r="F38" s="389">
        <f>W38</f>
        <v>529</v>
      </c>
      <c r="G38" s="361">
        <f>X38</f>
        <v>529</v>
      </c>
      <c r="H38" s="390">
        <v>100</v>
      </c>
      <c r="I38" s="389">
        <v>0</v>
      </c>
      <c r="J38" s="361">
        <v>0</v>
      </c>
      <c r="K38" s="391">
        <v>0</v>
      </c>
      <c r="L38" s="389">
        <v>0</v>
      </c>
      <c r="M38" s="361">
        <v>0</v>
      </c>
      <c r="N38" s="391">
        <v>0</v>
      </c>
      <c r="O38" s="389">
        <v>0</v>
      </c>
      <c r="P38" s="361">
        <v>0</v>
      </c>
      <c r="Q38" s="391">
        <v>0</v>
      </c>
      <c r="R38" s="450"/>
      <c r="S38" s="451"/>
      <c r="T38" s="451"/>
      <c r="U38" s="452"/>
      <c r="V38" s="453"/>
      <c r="W38" s="389">
        <v>529</v>
      </c>
      <c r="X38" s="361">
        <v>529</v>
      </c>
      <c r="Y38" s="391">
        <v>100</v>
      </c>
      <c r="Z38" s="389">
        <v>0</v>
      </c>
      <c r="AA38" s="361">
        <v>0</v>
      </c>
      <c r="AB38" s="391">
        <v>0</v>
      </c>
      <c r="AC38" s="389">
        <v>0</v>
      </c>
      <c r="AD38" s="361">
        <v>0</v>
      </c>
      <c r="AE38" s="391">
        <v>0</v>
      </c>
      <c r="AF38" s="450"/>
      <c r="AG38" s="451"/>
      <c r="AH38" s="451"/>
      <c r="AI38" s="452"/>
      <c r="AJ38" s="453">
        <v>0</v>
      </c>
      <c r="AK38" s="389">
        <v>0</v>
      </c>
      <c r="AL38" s="361">
        <v>0</v>
      </c>
      <c r="AM38" s="391">
        <v>0</v>
      </c>
      <c r="AN38" s="389">
        <v>0</v>
      </c>
      <c r="AO38" s="361">
        <v>0</v>
      </c>
      <c r="AP38" s="391">
        <v>0</v>
      </c>
      <c r="AQ38" s="389">
        <v>0</v>
      </c>
      <c r="AR38" s="361">
        <v>0</v>
      </c>
      <c r="AS38" s="391">
        <v>0</v>
      </c>
      <c r="AT38" s="450"/>
      <c r="AU38" s="451"/>
      <c r="AV38" s="451"/>
      <c r="AW38" s="452"/>
      <c r="AX38" s="453">
        <v>0</v>
      </c>
      <c r="AY38" s="389">
        <v>0</v>
      </c>
      <c r="AZ38" s="361">
        <v>0</v>
      </c>
      <c r="BA38" s="391">
        <v>0</v>
      </c>
      <c r="BB38" s="389">
        <v>0</v>
      </c>
      <c r="BC38" s="361">
        <v>0</v>
      </c>
      <c r="BD38" s="361"/>
      <c r="BE38" s="391">
        <v>0</v>
      </c>
      <c r="BF38" s="389">
        <v>0</v>
      </c>
      <c r="BG38" s="361">
        <v>0</v>
      </c>
      <c r="BH38" s="391">
        <v>0</v>
      </c>
      <c r="BI38" s="372"/>
      <c r="BJ38" s="373"/>
      <c r="BK38" s="454"/>
      <c r="BL38" s="455"/>
      <c r="BM38" s="280" t="s">
        <v>140</v>
      </c>
      <c r="BN38" s="278"/>
    </row>
    <row r="39" spans="1:66" ht="21" customHeight="1">
      <c r="A39" s="703" t="s">
        <v>99</v>
      </c>
      <c r="B39" s="716" t="s">
        <v>121</v>
      </c>
      <c r="C39" s="694" t="s">
        <v>48</v>
      </c>
      <c r="D39" s="697" t="s">
        <v>107</v>
      </c>
      <c r="E39" s="395" t="s">
        <v>73</v>
      </c>
      <c r="F39" s="363">
        <f>R39+W39+Z39+AC39+AK39+AN39+AQ39+AY39+BB39+BF39</f>
        <v>34776.9</v>
      </c>
      <c r="G39" s="364">
        <f>S39+X39+AA39+AD39+AL39+AO39+AR39+AZ39+BC39+BG39</f>
        <v>34633.399999999994</v>
      </c>
      <c r="H39" s="365">
        <f>G39/F39*100</f>
        <v>99.58736977706464</v>
      </c>
      <c r="I39" s="363">
        <v>1300</v>
      </c>
      <c r="J39" s="364">
        <v>1300</v>
      </c>
      <c r="K39" s="366">
        <v>100</v>
      </c>
      <c r="L39" s="363">
        <v>5160</v>
      </c>
      <c r="M39" s="364">
        <v>5022.3</v>
      </c>
      <c r="N39" s="366">
        <f>M39/L39*100</f>
        <v>97.33139534883722</v>
      </c>
      <c r="O39" s="363">
        <f>2582.3+2200</f>
        <v>4782.3</v>
      </c>
      <c r="P39" s="364">
        <v>4173.1</v>
      </c>
      <c r="Q39" s="366">
        <f>P39/O39*100</f>
        <v>87.26135959684672</v>
      </c>
      <c r="R39" s="404">
        <f>I39+L39+O39</f>
        <v>11242.3</v>
      </c>
      <c r="S39" s="368">
        <f>J39+M39+P39</f>
        <v>10495.400000000001</v>
      </c>
      <c r="T39" s="368">
        <f>S39/R39*100</f>
        <v>93.35634167385679</v>
      </c>
      <c r="U39" s="332">
        <f t="shared" si="10"/>
        <v>11242.3</v>
      </c>
      <c r="V39" s="333">
        <f t="shared" si="11"/>
        <v>11242.3</v>
      </c>
      <c r="W39" s="363">
        <v>2000</v>
      </c>
      <c r="X39" s="364">
        <v>1981</v>
      </c>
      <c r="Y39" s="366">
        <f>X39/W39*100</f>
        <v>99.05000000000001</v>
      </c>
      <c r="Z39" s="363">
        <f>717+269.2</f>
        <v>986.2</v>
      </c>
      <c r="AA39" s="364">
        <v>1394</v>
      </c>
      <c r="AB39" s="366">
        <f>AB41</f>
        <v>141.35063881565603</v>
      </c>
      <c r="AC39" s="363">
        <v>4245.6</v>
      </c>
      <c r="AD39" s="364">
        <v>1849.3</v>
      </c>
      <c r="AE39" s="366">
        <f>AD39/AC39*100</f>
        <v>43.55803655549274</v>
      </c>
      <c r="AF39" s="370">
        <f>R39+W39+Z39+AC39</f>
        <v>18474.1</v>
      </c>
      <c r="AG39" s="371">
        <f>S39+X39+AA39+AD39</f>
        <v>15719.7</v>
      </c>
      <c r="AH39" s="371"/>
      <c r="AI39" s="339">
        <f t="shared" si="12"/>
        <v>7231.8</v>
      </c>
      <c r="AJ39" s="340">
        <f t="shared" si="13"/>
        <v>7231.8</v>
      </c>
      <c r="AK39" s="363">
        <f>1745.1+79.2</f>
        <v>1824.3</v>
      </c>
      <c r="AL39" s="364">
        <v>2166.5</v>
      </c>
      <c r="AM39" s="366">
        <f>AM41</f>
        <v>118.75787973469276</v>
      </c>
      <c r="AN39" s="363">
        <f>1737+150+50</f>
        <v>1937</v>
      </c>
      <c r="AO39" s="364">
        <v>1935.6</v>
      </c>
      <c r="AP39" s="366">
        <f>AO39/AN39*100</f>
        <v>99.92772328342797</v>
      </c>
      <c r="AQ39" s="363">
        <f>2207-150-50+12.7</f>
        <v>2019.7</v>
      </c>
      <c r="AR39" s="364">
        <f>AR41</f>
        <v>2480.5</v>
      </c>
      <c r="AS39" s="366">
        <f>AS41</f>
        <v>122.81526959449423</v>
      </c>
      <c r="AT39" s="404">
        <f>AF39+AK39+AN39+AQ39</f>
        <v>24255.1</v>
      </c>
      <c r="AU39" s="405">
        <f>AG39+AL39+AO39+AR39</f>
        <v>22302.3</v>
      </c>
      <c r="AV39" s="405"/>
      <c r="AW39" s="332">
        <f t="shared" si="14"/>
        <v>5781</v>
      </c>
      <c r="AX39" s="333">
        <f t="shared" si="15"/>
        <v>5781</v>
      </c>
      <c r="AY39" s="363">
        <f>2537-1087+1400</f>
        <v>2850</v>
      </c>
      <c r="AZ39" s="364">
        <v>2839.8</v>
      </c>
      <c r="BA39" s="366">
        <f>AZ39/AY39*100</f>
        <v>99.6421052631579</v>
      </c>
      <c r="BB39" s="363">
        <f>1809+1087-1400+2100.5</f>
        <v>3596.5</v>
      </c>
      <c r="BC39" s="364">
        <f>BC41</f>
        <v>3506.3</v>
      </c>
      <c r="BD39" s="364"/>
      <c r="BE39" s="366">
        <f>BE41</f>
        <v>97.49200611705827</v>
      </c>
      <c r="BF39" s="363">
        <v>4075.3</v>
      </c>
      <c r="BG39" s="364">
        <v>5985</v>
      </c>
      <c r="BH39" s="366">
        <f>BH41</f>
        <v>146.86035383898118</v>
      </c>
      <c r="BI39" s="437">
        <f>AT39+AY39+BB39+BF39</f>
        <v>34776.9</v>
      </c>
      <c r="BJ39" s="438">
        <f>AU39+AZ39+BC39+BG39</f>
        <v>34633.399999999994</v>
      </c>
      <c r="BK39" s="439">
        <f t="shared" si="16"/>
        <v>10521.8</v>
      </c>
      <c r="BL39" s="440">
        <f t="shared" si="17"/>
        <v>10521.8</v>
      </c>
      <c r="BM39" s="767" t="s">
        <v>162</v>
      </c>
      <c r="BN39" s="747" t="s">
        <v>161</v>
      </c>
    </row>
    <row r="40" spans="1:66" ht="31.5" customHeight="1">
      <c r="A40" s="704"/>
      <c r="B40" s="717"/>
      <c r="C40" s="695"/>
      <c r="D40" s="698"/>
      <c r="E40" s="375" t="s">
        <v>74</v>
      </c>
      <c r="F40" s="376">
        <v>0</v>
      </c>
      <c r="G40" s="377">
        <v>0</v>
      </c>
      <c r="H40" s="378">
        <v>0</v>
      </c>
      <c r="I40" s="376">
        <v>0</v>
      </c>
      <c r="J40" s="377">
        <v>0</v>
      </c>
      <c r="K40" s="379">
        <v>0</v>
      </c>
      <c r="L40" s="376">
        <v>0</v>
      </c>
      <c r="M40" s="377">
        <v>0</v>
      </c>
      <c r="N40" s="379">
        <v>0</v>
      </c>
      <c r="O40" s="376">
        <v>0</v>
      </c>
      <c r="P40" s="377">
        <v>0</v>
      </c>
      <c r="Q40" s="379">
        <v>0</v>
      </c>
      <c r="R40" s="380"/>
      <c r="S40" s="377"/>
      <c r="T40" s="377"/>
      <c r="U40" s="345">
        <f t="shared" si="10"/>
        <v>0</v>
      </c>
      <c r="V40" s="346">
        <f t="shared" si="11"/>
        <v>0</v>
      </c>
      <c r="W40" s="376">
        <v>0</v>
      </c>
      <c r="X40" s="377">
        <v>0</v>
      </c>
      <c r="Y40" s="379">
        <v>0</v>
      </c>
      <c r="Z40" s="376">
        <v>0</v>
      </c>
      <c r="AA40" s="377">
        <v>0</v>
      </c>
      <c r="AB40" s="379">
        <v>0</v>
      </c>
      <c r="AC40" s="376">
        <v>0</v>
      </c>
      <c r="AD40" s="377">
        <v>0</v>
      </c>
      <c r="AE40" s="379">
        <v>0</v>
      </c>
      <c r="AF40" s="380"/>
      <c r="AG40" s="381"/>
      <c r="AH40" s="381"/>
      <c r="AI40" s="345">
        <f t="shared" si="12"/>
        <v>0</v>
      </c>
      <c r="AJ40" s="346">
        <f t="shared" si="13"/>
        <v>0</v>
      </c>
      <c r="AK40" s="376">
        <v>0</v>
      </c>
      <c r="AL40" s="377">
        <v>0</v>
      </c>
      <c r="AM40" s="379">
        <v>0</v>
      </c>
      <c r="AN40" s="376">
        <v>0</v>
      </c>
      <c r="AO40" s="377">
        <v>0</v>
      </c>
      <c r="AP40" s="379">
        <v>0</v>
      </c>
      <c r="AQ40" s="376">
        <v>0</v>
      </c>
      <c r="AR40" s="377">
        <v>0</v>
      </c>
      <c r="AS40" s="379">
        <v>0</v>
      </c>
      <c r="AT40" s="380"/>
      <c r="AU40" s="381"/>
      <c r="AV40" s="381"/>
      <c r="AW40" s="345">
        <f t="shared" si="14"/>
        <v>0</v>
      </c>
      <c r="AX40" s="346">
        <f t="shared" si="15"/>
        <v>0</v>
      </c>
      <c r="AY40" s="376">
        <v>0</v>
      </c>
      <c r="AZ40" s="377">
        <v>0</v>
      </c>
      <c r="BA40" s="379">
        <v>0</v>
      </c>
      <c r="BB40" s="376">
        <v>0</v>
      </c>
      <c r="BC40" s="377">
        <v>0</v>
      </c>
      <c r="BD40" s="377"/>
      <c r="BE40" s="379">
        <v>0</v>
      </c>
      <c r="BF40" s="376">
        <v>0</v>
      </c>
      <c r="BG40" s="377">
        <v>0</v>
      </c>
      <c r="BH40" s="379">
        <v>0</v>
      </c>
      <c r="BI40" s="382"/>
      <c r="BJ40" s="383"/>
      <c r="BK40" s="374">
        <f t="shared" si="16"/>
        <v>0</v>
      </c>
      <c r="BL40" s="456">
        <f t="shared" si="17"/>
        <v>0</v>
      </c>
      <c r="BM40" s="761"/>
      <c r="BN40" s="748"/>
    </row>
    <row r="41" spans="1:66" ht="30.75" customHeight="1" thickBot="1">
      <c r="A41" s="705"/>
      <c r="B41" s="743"/>
      <c r="C41" s="696"/>
      <c r="D41" s="699"/>
      <c r="E41" s="384" t="s">
        <v>27</v>
      </c>
      <c r="F41" s="389">
        <f>F39</f>
        <v>34776.9</v>
      </c>
      <c r="G41" s="361">
        <f aca="true" t="shared" si="22" ref="G41:BD41">G39</f>
        <v>34633.399999999994</v>
      </c>
      <c r="H41" s="390">
        <f>H39</f>
        <v>99.58736977706464</v>
      </c>
      <c r="I41" s="389">
        <f t="shared" si="22"/>
        <v>1300</v>
      </c>
      <c r="J41" s="361">
        <f t="shared" si="22"/>
        <v>1300</v>
      </c>
      <c r="K41" s="391">
        <f t="shared" si="22"/>
        <v>100</v>
      </c>
      <c r="L41" s="389">
        <f>L39</f>
        <v>5160</v>
      </c>
      <c r="M41" s="361">
        <f>M39</f>
        <v>5022.3</v>
      </c>
      <c r="N41" s="391">
        <f t="shared" si="22"/>
        <v>97.33139534883722</v>
      </c>
      <c r="O41" s="389">
        <f t="shared" si="22"/>
        <v>4782.3</v>
      </c>
      <c r="P41" s="361">
        <f>P39</f>
        <v>4173.1</v>
      </c>
      <c r="Q41" s="391">
        <f t="shared" si="22"/>
        <v>87.26135959684672</v>
      </c>
      <c r="R41" s="392">
        <f t="shared" si="22"/>
        <v>11242.3</v>
      </c>
      <c r="S41" s="361">
        <f t="shared" si="22"/>
        <v>10495.400000000001</v>
      </c>
      <c r="T41" s="361">
        <f t="shared" si="22"/>
        <v>93.35634167385679</v>
      </c>
      <c r="U41" s="357">
        <f t="shared" si="10"/>
        <v>11242.3</v>
      </c>
      <c r="V41" s="358">
        <f t="shared" si="11"/>
        <v>11242.3</v>
      </c>
      <c r="W41" s="389">
        <f t="shared" si="22"/>
        <v>2000</v>
      </c>
      <c r="X41" s="361">
        <f t="shared" si="22"/>
        <v>1981</v>
      </c>
      <c r="Y41" s="391">
        <f t="shared" si="22"/>
        <v>99.05000000000001</v>
      </c>
      <c r="Z41" s="389">
        <f t="shared" si="22"/>
        <v>986.2</v>
      </c>
      <c r="AA41" s="361">
        <f t="shared" si="22"/>
        <v>1394</v>
      </c>
      <c r="AB41" s="391">
        <f>AA41/Z41*100</f>
        <v>141.35063881565603</v>
      </c>
      <c r="AC41" s="389">
        <f t="shared" si="22"/>
        <v>4245.6</v>
      </c>
      <c r="AD41" s="361">
        <f t="shared" si="22"/>
        <v>1849.3</v>
      </c>
      <c r="AE41" s="391">
        <f t="shared" si="22"/>
        <v>43.55803655549274</v>
      </c>
      <c r="AF41" s="392">
        <f t="shared" si="22"/>
        <v>18474.1</v>
      </c>
      <c r="AG41" s="361">
        <f t="shared" si="22"/>
        <v>15719.7</v>
      </c>
      <c r="AH41" s="361">
        <f t="shared" si="22"/>
        <v>0</v>
      </c>
      <c r="AI41" s="357">
        <f t="shared" si="12"/>
        <v>7231.8</v>
      </c>
      <c r="AJ41" s="358">
        <f t="shared" si="13"/>
        <v>7231.8</v>
      </c>
      <c r="AK41" s="389">
        <f t="shared" si="22"/>
        <v>1824.3</v>
      </c>
      <c r="AL41" s="361">
        <f t="shared" si="22"/>
        <v>2166.5</v>
      </c>
      <c r="AM41" s="391">
        <f>AL41/AK41*100</f>
        <v>118.75787973469276</v>
      </c>
      <c r="AN41" s="389">
        <f t="shared" si="22"/>
        <v>1937</v>
      </c>
      <c r="AO41" s="361">
        <f t="shared" si="22"/>
        <v>1935.6</v>
      </c>
      <c r="AP41" s="391">
        <f t="shared" si="22"/>
        <v>99.92772328342797</v>
      </c>
      <c r="AQ41" s="389">
        <f t="shared" si="22"/>
        <v>2019.7</v>
      </c>
      <c r="AR41" s="361">
        <v>2480.5</v>
      </c>
      <c r="AS41" s="391">
        <f>AR41/AQ41*100</f>
        <v>122.81526959449423</v>
      </c>
      <c r="AT41" s="392">
        <f t="shared" si="22"/>
        <v>24255.1</v>
      </c>
      <c r="AU41" s="361">
        <f t="shared" si="22"/>
        <v>22302.3</v>
      </c>
      <c r="AV41" s="361">
        <f t="shared" si="22"/>
        <v>0</v>
      </c>
      <c r="AW41" s="357">
        <f t="shared" si="14"/>
        <v>5781</v>
      </c>
      <c r="AX41" s="358">
        <f t="shared" si="15"/>
        <v>5781</v>
      </c>
      <c r="AY41" s="389">
        <f t="shared" si="22"/>
        <v>2850</v>
      </c>
      <c r="AZ41" s="361">
        <f t="shared" si="22"/>
        <v>2839.8</v>
      </c>
      <c r="BA41" s="391">
        <f t="shared" si="22"/>
        <v>99.6421052631579</v>
      </c>
      <c r="BB41" s="389">
        <f t="shared" si="22"/>
        <v>3596.5</v>
      </c>
      <c r="BC41" s="361">
        <v>3506.3</v>
      </c>
      <c r="BD41" s="361">
        <f t="shared" si="22"/>
        <v>0</v>
      </c>
      <c r="BE41" s="391">
        <f>BC41/BB41*100</f>
        <v>97.49200611705827</v>
      </c>
      <c r="BF41" s="389">
        <f>BF39</f>
        <v>4075.3</v>
      </c>
      <c r="BG41" s="361">
        <f>BG39</f>
        <v>5985</v>
      </c>
      <c r="BH41" s="391">
        <f>BG41/BF41*100</f>
        <v>146.86035383898118</v>
      </c>
      <c r="BI41" s="372"/>
      <c r="BJ41" s="373"/>
      <c r="BK41" s="454">
        <f t="shared" si="16"/>
        <v>10521.8</v>
      </c>
      <c r="BL41" s="455">
        <f t="shared" si="17"/>
        <v>10521.8</v>
      </c>
      <c r="BM41" s="768"/>
      <c r="BN41" s="748"/>
    </row>
    <row r="42" spans="1:66" ht="13.5" thickBot="1">
      <c r="A42" s="704" t="s">
        <v>100</v>
      </c>
      <c r="B42" s="717" t="s">
        <v>120</v>
      </c>
      <c r="C42" s="695" t="s">
        <v>48</v>
      </c>
      <c r="D42" s="698" t="s">
        <v>107</v>
      </c>
      <c r="E42" s="395" t="s">
        <v>73</v>
      </c>
      <c r="F42" s="367">
        <f>R42+W42+Z42+AC42+AK42+AN42+AQ42+AY42+BB42+BF42</f>
        <v>319.1</v>
      </c>
      <c r="G42" s="368">
        <f>S42+X42+AA42+AD42+AL42+AO42+AR42+AZ42+BC42+BG42</f>
        <v>319.1</v>
      </c>
      <c r="H42" s="396">
        <f>(G42/F42)*100</f>
        <v>100</v>
      </c>
      <c r="I42" s="363">
        <v>0</v>
      </c>
      <c r="J42" s="364">
        <v>0</v>
      </c>
      <c r="K42" s="366">
        <v>0</v>
      </c>
      <c r="L42" s="363">
        <v>99.9</v>
      </c>
      <c r="M42" s="364">
        <v>0</v>
      </c>
      <c r="N42" s="366">
        <f>M42/L42*100</f>
        <v>0</v>
      </c>
      <c r="O42" s="363">
        <v>99.9</v>
      </c>
      <c r="P42" s="364">
        <f>P43</f>
        <v>31.5</v>
      </c>
      <c r="Q42" s="366">
        <f>P42/O42*100</f>
        <v>31.53153153153153</v>
      </c>
      <c r="R42" s="370">
        <f>I42+L42+O42</f>
        <v>199.8</v>
      </c>
      <c r="S42" s="364">
        <f>J42+M42+P42</f>
        <v>31.5</v>
      </c>
      <c r="T42" s="364">
        <f>S42/R42*100</f>
        <v>15.765765765765765</v>
      </c>
      <c r="U42" s="339">
        <f t="shared" si="10"/>
        <v>199.8</v>
      </c>
      <c r="V42" s="340">
        <f t="shared" si="11"/>
        <v>199.8</v>
      </c>
      <c r="W42" s="363">
        <v>99.9</v>
      </c>
      <c r="X42" s="364">
        <v>85.5</v>
      </c>
      <c r="Y42" s="366">
        <f>X42/W42*100</f>
        <v>85.58558558558558</v>
      </c>
      <c r="Z42" s="367">
        <v>19.4</v>
      </c>
      <c r="AA42" s="368">
        <v>184.8</v>
      </c>
      <c r="AB42" s="369">
        <f>AB43</f>
        <v>952.5773195876291</v>
      </c>
      <c r="AC42" s="367">
        <v>0</v>
      </c>
      <c r="AD42" s="368">
        <v>15.5</v>
      </c>
      <c r="AE42" s="369">
        <v>0</v>
      </c>
      <c r="AF42" s="370">
        <f>R42+W42+Z42+AC42</f>
        <v>319.1</v>
      </c>
      <c r="AG42" s="371">
        <f>S42+X42+AA42+AD42</f>
        <v>317.3</v>
      </c>
      <c r="AH42" s="371"/>
      <c r="AI42" s="339">
        <f t="shared" si="12"/>
        <v>119.30000000000001</v>
      </c>
      <c r="AJ42" s="340">
        <f t="shared" si="13"/>
        <v>119.30000000000001</v>
      </c>
      <c r="AK42" s="367">
        <v>0</v>
      </c>
      <c r="AL42" s="368">
        <v>1.8</v>
      </c>
      <c r="AM42" s="369">
        <v>0</v>
      </c>
      <c r="AN42" s="367">
        <v>0</v>
      </c>
      <c r="AO42" s="368">
        <v>0</v>
      </c>
      <c r="AP42" s="369">
        <v>0</v>
      </c>
      <c r="AQ42" s="367">
        <v>0</v>
      </c>
      <c r="AR42" s="368">
        <v>0</v>
      </c>
      <c r="AS42" s="369">
        <v>0</v>
      </c>
      <c r="AT42" s="370">
        <f>AF42+AK42+AN42+AQ42</f>
        <v>319.1</v>
      </c>
      <c r="AU42" s="371">
        <f>AG42+AL42+AO42+AR42</f>
        <v>319.1</v>
      </c>
      <c r="AV42" s="371"/>
      <c r="AW42" s="339">
        <f t="shared" si="14"/>
        <v>0</v>
      </c>
      <c r="AX42" s="340">
        <f t="shared" si="15"/>
        <v>0</v>
      </c>
      <c r="AY42" s="363">
        <v>0</v>
      </c>
      <c r="AZ42" s="364">
        <v>0</v>
      </c>
      <c r="BA42" s="366">
        <v>0</v>
      </c>
      <c r="BB42" s="367">
        <v>0</v>
      </c>
      <c r="BC42" s="368">
        <v>0</v>
      </c>
      <c r="BD42" s="368"/>
      <c r="BE42" s="369">
        <v>0</v>
      </c>
      <c r="BF42" s="370">
        <v>0</v>
      </c>
      <c r="BG42" s="364">
        <v>0</v>
      </c>
      <c r="BH42" s="364">
        <v>0</v>
      </c>
      <c r="BI42" s="372">
        <f>AT42+AY42+BB42+BF42</f>
        <v>319.1</v>
      </c>
      <c r="BJ42" s="373">
        <f>AU42+AZ42+BC42+BG42</f>
        <v>319.1</v>
      </c>
      <c r="BK42" s="374">
        <f t="shared" si="16"/>
        <v>0</v>
      </c>
      <c r="BL42" s="374">
        <f t="shared" si="17"/>
        <v>0</v>
      </c>
      <c r="BM42" s="760" t="s">
        <v>163</v>
      </c>
      <c r="BN42" s="763"/>
    </row>
    <row r="43" spans="1:66" ht="26.25" thickBot="1">
      <c r="A43" s="704"/>
      <c r="B43" s="717"/>
      <c r="C43" s="695"/>
      <c r="D43" s="698"/>
      <c r="E43" s="375" t="s">
        <v>74</v>
      </c>
      <c r="F43" s="376">
        <f>V43+AJ43</f>
        <v>319.1</v>
      </c>
      <c r="G43" s="377">
        <f>P43+X43+AA43+AD43+AL43</f>
        <v>319.1</v>
      </c>
      <c r="H43" s="378">
        <f>H42</f>
        <v>100</v>
      </c>
      <c r="I43" s="376">
        <v>0</v>
      </c>
      <c r="J43" s="377">
        <v>0</v>
      </c>
      <c r="K43" s="379">
        <v>0</v>
      </c>
      <c r="L43" s="376">
        <v>99.9</v>
      </c>
      <c r="M43" s="377">
        <v>0</v>
      </c>
      <c r="N43" s="379">
        <v>0</v>
      </c>
      <c r="O43" s="376">
        <v>99.9</v>
      </c>
      <c r="P43" s="377">
        <v>31.5</v>
      </c>
      <c r="Q43" s="379">
        <f>P43/O43*100</f>
        <v>31.53153153153153</v>
      </c>
      <c r="R43" s="380"/>
      <c r="S43" s="377"/>
      <c r="T43" s="377"/>
      <c r="U43" s="345">
        <f t="shared" si="10"/>
        <v>199.8</v>
      </c>
      <c r="V43" s="346">
        <f t="shared" si="11"/>
        <v>199.8</v>
      </c>
      <c r="W43" s="376">
        <v>99.9</v>
      </c>
      <c r="X43" s="377">
        <v>85.5</v>
      </c>
      <c r="Y43" s="379">
        <f>Y42</f>
        <v>85.58558558558558</v>
      </c>
      <c r="Z43" s="376">
        <v>19.4</v>
      </c>
      <c r="AA43" s="377">
        <v>184.8</v>
      </c>
      <c r="AB43" s="379">
        <f>AA43/Z43*100</f>
        <v>952.5773195876291</v>
      </c>
      <c r="AC43" s="376">
        <v>0</v>
      </c>
      <c r="AD43" s="377">
        <v>15.5</v>
      </c>
      <c r="AE43" s="379">
        <v>0</v>
      </c>
      <c r="AF43" s="380"/>
      <c r="AG43" s="381"/>
      <c r="AH43" s="381"/>
      <c r="AI43" s="345">
        <f t="shared" si="12"/>
        <v>119.30000000000001</v>
      </c>
      <c r="AJ43" s="346">
        <f t="shared" si="13"/>
        <v>119.30000000000001</v>
      </c>
      <c r="AK43" s="376">
        <v>0</v>
      </c>
      <c r="AL43" s="377">
        <v>1.8</v>
      </c>
      <c r="AM43" s="379">
        <v>0</v>
      </c>
      <c r="AN43" s="376">
        <v>0</v>
      </c>
      <c r="AO43" s="377">
        <v>0</v>
      </c>
      <c r="AP43" s="379">
        <v>0</v>
      </c>
      <c r="AQ43" s="376">
        <v>0</v>
      </c>
      <c r="AR43" s="377">
        <v>0</v>
      </c>
      <c r="AS43" s="379">
        <v>0</v>
      </c>
      <c r="AT43" s="380"/>
      <c r="AU43" s="381"/>
      <c r="AV43" s="381"/>
      <c r="AW43" s="345">
        <f t="shared" si="14"/>
        <v>0</v>
      </c>
      <c r="AX43" s="346">
        <f t="shared" si="15"/>
        <v>0</v>
      </c>
      <c r="AY43" s="376">
        <v>0</v>
      </c>
      <c r="AZ43" s="377">
        <v>0</v>
      </c>
      <c r="BA43" s="379">
        <v>0</v>
      </c>
      <c r="BB43" s="376">
        <v>0</v>
      </c>
      <c r="BC43" s="377">
        <v>0</v>
      </c>
      <c r="BD43" s="377"/>
      <c r="BE43" s="379">
        <v>0</v>
      </c>
      <c r="BF43" s="380">
        <v>0</v>
      </c>
      <c r="BG43" s="377">
        <v>0</v>
      </c>
      <c r="BH43" s="377">
        <v>0</v>
      </c>
      <c r="BI43" s="397"/>
      <c r="BJ43" s="398"/>
      <c r="BK43" s="374">
        <f t="shared" si="16"/>
        <v>0</v>
      </c>
      <c r="BL43" s="374">
        <f t="shared" si="17"/>
        <v>0</v>
      </c>
      <c r="BM43" s="761"/>
      <c r="BN43" s="748"/>
    </row>
    <row r="44" spans="1:66" ht="25.5" customHeight="1" thickBot="1">
      <c r="A44" s="704"/>
      <c r="B44" s="717"/>
      <c r="C44" s="695"/>
      <c r="D44" s="698"/>
      <c r="E44" s="384" t="s">
        <v>27</v>
      </c>
      <c r="F44" s="389">
        <v>0</v>
      </c>
      <c r="G44" s="361">
        <v>0</v>
      </c>
      <c r="H44" s="390">
        <v>0</v>
      </c>
      <c r="I44" s="407">
        <f aca="true" t="shared" si="23" ref="I44:BH44">I42</f>
        <v>0</v>
      </c>
      <c r="J44" s="408">
        <f t="shared" si="23"/>
        <v>0</v>
      </c>
      <c r="K44" s="409">
        <f t="shared" si="23"/>
        <v>0</v>
      </c>
      <c r="L44" s="407">
        <v>0</v>
      </c>
      <c r="M44" s="408">
        <v>0</v>
      </c>
      <c r="N44" s="409">
        <f t="shared" si="23"/>
        <v>0</v>
      </c>
      <c r="O44" s="407">
        <v>0</v>
      </c>
      <c r="P44" s="408">
        <v>0</v>
      </c>
      <c r="Q44" s="409">
        <v>0</v>
      </c>
      <c r="R44" s="410">
        <f t="shared" si="23"/>
        <v>199.8</v>
      </c>
      <c r="S44" s="408">
        <f t="shared" si="23"/>
        <v>31.5</v>
      </c>
      <c r="T44" s="408">
        <f t="shared" si="23"/>
        <v>15.765765765765765</v>
      </c>
      <c r="U44" s="345">
        <f t="shared" si="10"/>
        <v>0</v>
      </c>
      <c r="V44" s="346">
        <f t="shared" si="11"/>
        <v>0</v>
      </c>
      <c r="W44" s="407">
        <v>0</v>
      </c>
      <c r="X44" s="408">
        <v>0</v>
      </c>
      <c r="Y44" s="409">
        <v>0</v>
      </c>
      <c r="Z44" s="407">
        <v>0</v>
      </c>
      <c r="AA44" s="408">
        <v>0</v>
      </c>
      <c r="AB44" s="409">
        <v>0</v>
      </c>
      <c r="AC44" s="407">
        <f t="shared" si="23"/>
        <v>0</v>
      </c>
      <c r="AD44" s="408">
        <v>0</v>
      </c>
      <c r="AE44" s="409">
        <v>0</v>
      </c>
      <c r="AF44" s="410">
        <f t="shared" si="23"/>
        <v>319.1</v>
      </c>
      <c r="AG44" s="408">
        <f t="shared" si="23"/>
        <v>317.3</v>
      </c>
      <c r="AH44" s="408">
        <f t="shared" si="23"/>
        <v>0</v>
      </c>
      <c r="AI44" s="345">
        <f t="shared" si="12"/>
        <v>0</v>
      </c>
      <c r="AJ44" s="346">
        <f t="shared" si="13"/>
        <v>0</v>
      </c>
      <c r="AK44" s="389">
        <f t="shared" si="23"/>
        <v>0</v>
      </c>
      <c r="AL44" s="361">
        <v>0</v>
      </c>
      <c r="AM44" s="391">
        <v>0</v>
      </c>
      <c r="AN44" s="389">
        <f t="shared" si="23"/>
        <v>0</v>
      </c>
      <c r="AO44" s="361">
        <f t="shared" si="23"/>
        <v>0</v>
      </c>
      <c r="AP44" s="391">
        <f t="shared" si="23"/>
        <v>0</v>
      </c>
      <c r="AQ44" s="389">
        <f t="shared" si="23"/>
        <v>0</v>
      </c>
      <c r="AR44" s="361">
        <f t="shared" si="23"/>
        <v>0</v>
      </c>
      <c r="AS44" s="391">
        <v>0</v>
      </c>
      <c r="AT44" s="410">
        <f t="shared" si="23"/>
        <v>319.1</v>
      </c>
      <c r="AU44" s="408">
        <f t="shared" si="23"/>
        <v>319.1</v>
      </c>
      <c r="AV44" s="408">
        <f t="shared" si="23"/>
        <v>0</v>
      </c>
      <c r="AW44" s="345">
        <f t="shared" si="14"/>
        <v>0</v>
      </c>
      <c r="AX44" s="346">
        <f t="shared" si="15"/>
        <v>0</v>
      </c>
      <c r="AY44" s="407">
        <f t="shared" si="23"/>
        <v>0</v>
      </c>
      <c r="AZ44" s="408">
        <f t="shared" si="23"/>
        <v>0</v>
      </c>
      <c r="BA44" s="409">
        <f t="shared" si="23"/>
        <v>0</v>
      </c>
      <c r="BB44" s="389">
        <f t="shared" si="23"/>
        <v>0</v>
      </c>
      <c r="BC44" s="361">
        <f t="shared" si="23"/>
        <v>0</v>
      </c>
      <c r="BD44" s="361">
        <f t="shared" si="23"/>
        <v>0</v>
      </c>
      <c r="BE44" s="391">
        <f t="shared" si="23"/>
        <v>0</v>
      </c>
      <c r="BF44" s="410">
        <f t="shared" si="23"/>
        <v>0</v>
      </c>
      <c r="BG44" s="408">
        <f t="shared" si="23"/>
        <v>0</v>
      </c>
      <c r="BH44" s="408">
        <f t="shared" si="23"/>
        <v>0</v>
      </c>
      <c r="BI44" s="437"/>
      <c r="BJ44" s="438"/>
      <c r="BK44" s="374">
        <f t="shared" si="16"/>
        <v>0</v>
      </c>
      <c r="BL44" s="374">
        <f t="shared" si="17"/>
        <v>0</v>
      </c>
      <c r="BM44" s="762"/>
      <c r="BN44" s="748"/>
    </row>
    <row r="45" spans="1:66" ht="13.5" thickBot="1">
      <c r="A45" s="703" t="s">
        <v>101</v>
      </c>
      <c r="B45" s="716" t="s">
        <v>119</v>
      </c>
      <c r="C45" s="694" t="s">
        <v>48</v>
      </c>
      <c r="D45" s="697" t="s">
        <v>39</v>
      </c>
      <c r="E45" s="395" t="s">
        <v>73</v>
      </c>
      <c r="F45" s="367">
        <f aca="true" t="shared" si="24" ref="F45:G48">R45+W45+Z45+AC45+AK45+AN45+AQ45+AY45+BB45+BF45</f>
        <v>2114.5</v>
      </c>
      <c r="G45" s="368">
        <f t="shared" si="24"/>
        <v>2098.2999999999997</v>
      </c>
      <c r="H45" s="396">
        <f>G45/F45*100</f>
        <v>99.23386143296287</v>
      </c>
      <c r="I45" s="367">
        <v>0</v>
      </c>
      <c r="J45" s="368">
        <v>0</v>
      </c>
      <c r="K45" s="369">
        <v>0</v>
      </c>
      <c r="L45" s="367">
        <v>0</v>
      </c>
      <c r="M45" s="368">
        <v>0</v>
      </c>
      <c r="N45" s="457">
        <v>0</v>
      </c>
      <c r="O45" s="367">
        <v>0</v>
      </c>
      <c r="P45" s="368">
        <v>0</v>
      </c>
      <c r="Q45" s="369">
        <v>0</v>
      </c>
      <c r="R45" s="404">
        <f>I45+L45+O45</f>
        <v>0</v>
      </c>
      <c r="S45" s="368">
        <f>J45+M45+P45</f>
        <v>0</v>
      </c>
      <c r="T45" s="368" t="e">
        <f>S45/R45*100</f>
        <v>#DIV/0!</v>
      </c>
      <c r="U45" s="345">
        <f t="shared" si="10"/>
        <v>0</v>
      </c>
      <c r="V45" s="346">
        <f t="shared" si="11"/>
        <v>0</v>
      </c>
      <c r="W45" s="367">
        <v>896.4</v>
      </c>
      <c r="X45" s="368">
        <v>438.3</v>
      </c>
      <c r="Y45" s="369">
        <f>X45/W45*100</f>
        <v>48.89558232931727</v>
      </c>
      <c r="Z45" s="367">
        <v>0</v>
      </c>
      <c r="AA45" s="368">
        <v>0</v>
      </c>
      <c r="AB45" s="369">
        <v>0</v>
      </c>
      <c r="AC45" s="367">
        <v>0</v>
      </c>
      <c r="AD45" s="368">
        <v>0</v>
      </c>
      <c r="AE45" s="369">
        <v>0</v>
      </c>
      <c r="AF45" s="404">
        <f>R45+W45+Z45+AC45</f>
        <v>896.4</v>
      </c>
      <c r="AG45" s="405">
        <f>S45+X45+AA45+AD45</f>
        <v>438.3</v>
      </c>
      <c r="AH45" s="405"/>
      <c r="AI45" s="345">
        <f t="shared" si="12"/>
        <v>896.4</v>
      </c>
      <c r="AJ45" s="346">
        <f t="shared" si="13"/>
        <v>896.4</v>
      </c>
      <c r="AK45" s="367">
        <v>896.4</v>
      </c>
      <c r="AL45" s="368">
        <v>481.7</v>
      </c>
      <c r="AM45" s="369">
        <f>AM46</f>
        <v>53.7371709058456</v>
      </c>
      <c r="AN45" s="367">
        <v>0</v>
      </c>
      <c r="AO45" s="368">
        <v>58.3</v>
      </c>
      <c r="AP45" s="369">
        <v>0</v>
      </c>
      <c r="AQ45" s="367">
        <v>0</v>
      </c>
      <c r="AR45" s="368">
        <v>0</v>
      </c>
      <c r="AS45" s="369">
        <v>0</v>
      </c>
      <c r="AT45" s="404">
        <f>AF45+AK45+AN45+AQ45</f>
        <v>1792.8</v>
      </c>
      <c r="AU45" s="405">
        <f>AG45+AL45+AO45+AR45</f>
        <v>978.3</v>
      </c>
      <c r="AV45" s="405"/>
      <c r="AW45" s="345">
        <f t="shared" si="14"/>
        <v>896.4</v>
      </c>
      <c r="AX45" s="346">
        <f>AK45+AN45+AQ45</f>
        <v>896.4</v>
      </c>
      <c r="AY45" s="367">
        <f>AY46</f>
        <v>0</v>
      </c>
      <c r="AZ45" s="368">
        <v>0</v>
      </c>
      <c r="BA45" s="369">
        <v>0</v>
      </c>
      <c r="BB45" s="367">
        <v>0</v>
      </c>
      <c r="BC45" s="368">
        <v>594.9</v>
      </c>
      <c r="BD45" s="368"/>
      <c r="BE45" s="369">
        <v>0</v>
      </c>
      <c r="BF45" s="367">
        <f>BF46</f>
        <v>321.70000000000005</v>
      </c>
      <c r="BG45" s="368">
        <f>BG46</f>
        <v>525.1</v>
      </c>
      <c r="BH45" s="369">
        <f>BH46</f>
        <v>163.22660864159153</v>
      </c>
      <c r="BI45" s="397">
        <f>AT45+AY45+BB45+BF45</f>
        <v>2114.5</v>
      </c>
      <c r="BJ45" s="398">
        <f>AU45+AZ45+BC45+BG45</f>
        <v>2098.2999999999997</v>
      </c>
      <c r="BK45" s="374">
        <f t="shared" si="16"/>
        <v>321.70000000000005</v>
      </c>
      <c r="BL45" s="374">
        <f t="shared" si="17"/>
        <v>321.70000000000005</v>
      </c>
      <c r="BM45" s="767" t="s">
        <v>164</v>
      </c>
      <c r="BN45" s="747" t="s">
        <v>165</v>
      </c>
    </row>
    <row r="46" spans="1:66" ht="26.25" thickBot="1">
      <c r="A46" s="704"/>
      <c r="B46" s="717"/>
      <c r="C46" s="695"/>
      <c r="D46" s="698"/>
      <c r="E46" s="375" t="s">
        <v>74</v>
      </c>
      <c r="F46" s="376">
        <f t="shared" si="24"/>
        <v>2114.5</v>
      </c>
      <c r="G46" s="377">
        <f t="shared" si="24"/>
        <v>2098.2999999999997</v>
      </c>
      <c r="H46" s="378">
        <f>H45</f>
        <v>99.23386143296287</v>
      </c>
      <c r="I46" s="376">
        <v>0</v>
      </c>
      <c r="J46" s="377">
        <v>0</v>
      </c>
      <c r="K46" s="379">
        <v>0</v>
      </c>
      <c r="L46" s="376">
        <v>0</v>
      </c>
      <c r="M46" s="377">
        <v>0</v>
      </c>
      <c r="N46" s="409">
        <v>0</v>
      </c>
      <c r="O46" s="376">
        <v>0</v>
      </c>
      <c r="P46" s="377">
        <v>0</v>
      </c>
      <c r="Q46" s="379">
        <v>0</v>
      </c>
      <c r="R46" s="380">
        <v>0</v>
      </c>
      <c r="S46" s="377">
        <v>0</v>
      </c>
      <c r="T46" s="377">
        <v>0</v>
      </c>
      <c r="U46" s="345">
        <f t="shared" si="10"/>
        <v>0</v>
      </c>
      <c r="V46" s="346">
        <f t="shared" si="11"/>
        <v>0</v>
      </c>
      <c r="W46" s="376">
        <v>896.4</v>
      </c>
      <c r="X46" s="377">
        <v>438.3</v>
      </c>
      <c r="Y46" s="379">
        <f>Y45</f>
        <v>48.89558232931727</v>
      </c>
      <c r="Z46" s="376">
        <v>0</v>
      </c>
      <c r="AA46" s="377">
        <v>0</v>
      </c>
      <c r="AB46" s="379">
        <v>0</v>
      </c>
      <c r="AC46" s="376">
        <v>0</v>
      </c>
      <c r="AD46" s="377">
        <v>0</v>
      </c>
      <c r="AE46" s="379">
        <v>0</v>
      </c>
      <c r="AF46" s="380">
        <v>0</v>
      </c>
      <c r="AG46" s="377">
        <v>0</v>
      </c>
      <c r="AH46" s="377">
        <v>0</v>
      </c>
      <c r="AI46" s="345">
        <f t="shared" si="12"/>
        <v>896.4</v>
      </c>
      <c r="AJ46" s="346">
        <f t="shared" si="13"/>
        <v>896.4</v>
      </c>
      <c r="AK46" s="376">
        <v>896.4</v>
      </c>
      <c r="AL46" s="377">
        <v>481.7</v>
      </c>
      <c r="AM46" s="379">
        <f>AL46/AK46*100</f>
        <v>53.7371709058456</v>
      </c>
      <c r="AN46" s="376">
        <v>0</v>
      </c>
      <c r="AO46" s="377">
        <v>58.3</v>
      </c>
      <c r="AP46" s="379">
        <v>0</v>
      </c>
      <c r="AQ46" s="376">
        <v>0</v>
      </c>
      <c r="AR46" s="377">
        <v>0</v>
      </c>
      <c r="AS46" s="379">
        <v>0</v>
      </c>
      <c r="AT46" s="380">
        <v>0</v>
      </c>
      <c r="AU46" s="377">
        <v>0</v>
      </c>
      <c r="AV46" s="377">
        <v>0</v>
      </c>
      <c r="AW46" s="345">
        <f t="shared" si="14"/>
        <v>896.4</v>
      </c>
      <c r="AX46" s="346">
        <f t="shared" si="15"/>
        <v>896.4</v>
      </c>
      <c r="AY46" s="376">
        <v>0</v>
      </c>
      <c r="AZ46" s="377">
        <v>0</v>
      </c>
      <c r="BA46" s="379">
        <v>0</v>
      </c>
      <c r="BB46" s="376">
        <v>0</v>
      </c>
      <c r="BC46" s="377">
        <v>594.9</v>
      </c>
      <c r="BD46" s="377">
        <v>0</v>
      </c>
      <c r="BE46" s="379">
        <v>0</v>
      </c>
      <c r="BF46" s="376">
        <f>672-300+20+4.1-77+2.6</f>
        <v>321.70000000000005</v>
      </c>
      <c r="BG46" s="377">
        <v>525.1</v>
      </c>
      <c r="BH46" s="379">
        <f>BG46/BF46*100</f>
        <v>163.22660864159153</v>
      </c>
      <c r="BI46" s="397"/>
      <c r="BJ46" s="398"/>
      <c r="BK46" s="374">
        <f t="shared" si="16"/>
        <v>321.70000000000005</v>
      </c>
      <c r="BL46" s="374">
        <f t="shared" si="17"/>
        <v>321.70000000000005</v>
      </c>
      <c r="BM46" s="761"/>
      <c r="BN46" s="748"/>
    </row>
    <row r="47" spans="1:66" ht="40.5" customHeight="1" thickBot="1">
      <c r="A47" s="705"/>
      <c r="B47" s="743"/>
      <c r="C47" s="696"/>
      <c r="D47" s="699"/>
      <c r="E47" s="384" t="s">
        <v>27</v>
      </c>
      <c r="F47" s="389">
        <f t="shared" si="24"/>
        <v>0</v>
      </c>
      <c r="G47" s="361">
        <f t="shared" si="24"/>
        <v>0</v>
      </c>
      <c r="H47" s="425">
        <v>0</v>
      </c>
      <c r="I47" s="389">
        <f>I45</f>
        <v>0</v>
      </c>
      <c r="J47" s="361">
        <v>0</v>
      </c>
      <c r="K47" s="391">
        <f>K45</f>
        <v>0</v>
      </c>
      <c r="L47" s="389">
        <f>L45</f>
        <v>0</v>
      </c>
      <c r="M47" s="361">
        <v>0</v>
      </c>
      <c r="N47" s="391">
        <v>0</v>
      </c>
      <c r="O47" s="389">
        <f aca="true" t="shared" si="25" ref="O47:T47">O45</f>
        <v>0</v>
      </c>
      <c r="P47" s="361">
        <f t="shared" si="25"/>
        <v>0</v>
      </c>
      <c r="Q47" s="391">
        <f t="shared" si="25"/>
        <v>0</v>
      </c>
      <c r="R47" s="392">
        <f t="shared" si="25"/>
        <v>0</v>
      </c>
      <c r="S47" s="361">
        <f t="shared" si="25"/>
        <v>0</v>
      </c>
      <c r="T47" s="361" t="e">
        <f t="shared" si="25"/>
        <v>#DIV/0!</v>
      </c>
      <c r="U47" s="345">
        <f t="shared" si="10"/>
        <v>0</v>
      </c>
      <c r="V47" s="346">
        <f t="shared" si="11"/>
        <v>0</v>
      </c>
      <c r="W47" s="389">
        <v>0</v>
      </c>
      <c r="X47" s="361">
        <v>0</v>
      </c>
      <c r="Y47" s="391">
        <v>0</v>
      </c>
      <c r="Z47" s="389">
        <f aca="true" t="shared" si="26" ref="Z47:AH47">Z45</f>
        <v>0</v>
      </c>
      <c r="AA47" s="361">
        <f t="shared" si="26"/>
        <v>0</v>
      </c>
      <c r="AB47" s="391">
        <f t="shared" si="26"/>
        <v>0</v>
      </c>
      <c r="AC47" s="389">
        <f t="shared" si="26"/>
        <v>0</v>
      </c>
      <c r="AD47" s="361">
        <f t="shared" si="26"/>
        <v>0</v>
      </c>
      <c r="AE47" s="391">
        <f t="shared" si="26"/>
        <v>0</v>
      </c>
      <c r="AF47" s="392">
        <f t="shared" si="26"/>
        <v>896.4</v>
      </c>
      <c r="AG47" s="361">
        <f t="shared" si="26"/>
        <v>438.3</v>
      </c>
      <c r="AH47" s="361">
        <f t="shared" si="26"/>
        <v>0</v>
      </c>
      <c r="AI47" s="345">
        <f t="shared" si="12"/>
        <v>0</v>
      </c>
      <c r="AJ47" s="346">
        <f t="shared" si="13"/>
        <v>0</v>
      </c>
      <c r="AK47" s="389">
        <v>0</v>
      </c>
      <c r="AL47" s="361">
        <v>0</v>
      </c>
      <c r="AM47" s="391">
        <v>0</v>
      </c>
      <c r="AN47" s="389">
        <f>AN45</f>
        <v>0</v>
      </c>
      <c r="AO47" s="361">
        <v>0</v>
      </c>
      <c r="AP47" s="391">
        <v>0</v>
      </c>
      <c r="AQ47" s="389">
        <v>0</v>
      </c>
      <c r="AR47" s="361">
        <f>AR45-AR46</f>
        <v>0</v>
      </c>
      <c r="AS47" s="391">
        <v>0</v>
      </c>
      <c r="AT47" s="392">
        <f>AT45</f>
        <v>1792.8</v>
      </c>
      <c r="AU47" s="361">
        <f>AU45</f>
        <v>978.3</v>
      </c>
      <c r="AV47" s="361">
        <f>AV45</f>
        <v>0</v>
      </c>
      <c r="AW47" s="345">
        <f t="shared" si="14"/>
        <v>0</v>
      </c>
      <c r="AX47" s="346">
        <f t="shared" si="15"/>
        <v>0</v>
      </c>
      <c r="AY47" s="389">
        <v>0</v>
      </c>
      <c r="AZ47" s="361">
        <v>0</v>
      </c>
      <c r="BA47" s="391">
        <f>BA45</f>
        <v>0</v>
      </c>
      <c r="BB47" s="389">
        <v>0</v>
      </c>
      <c r="BC47" s="361">
        <v>0</v>
      </c>
      <c r="BD47" s="361">
        <f>BD45</f>
        <v>0</v>
      </c>
      <c r="BE47" s="391">
        <v>0</v>
      </c>
      <c r="BF47" s="389">
        <v>0</v>
      </c>
      <c r="BG47" s="361">
        <v>0</v>
      </c>
      <c r="BH47" s="391">
        <v>0</v>
      </c>
      <c r="BI47" s="402">
        <f>BI45</f>
        <v>2114.5</v>
      </c>
      <c r="BJ47" s="403">
        <f>BJ45</f>
        <v>2098.2999999999997</v>
      </c>
      <c r="BK47" s="374">
        <f t="shared" si="16"/>
        <v>0</v>
      </c>
      <c r="BL47" s="374">
        <f t="shared" si="17"/>
        <v>0</v>
      </c>
      <c r="BM47" s="762"/>
      <c r="BN47" s="749"/>
    </row>
    <row r="48" spans="1:66" ht="39" customHeight="1" thickBot="1">
      <c r="A48" s="703" t="s">
        <v>102</v>
      </c>
      <c r="B48" s="716" t="s">
        <v>118</v>
      </c>
      <c r="C48" s="694" t="s">
        <v>48</v>
      </c>
      <c r="D48" s="697" t="s">
        <v>108</v>
      </c>
      <c r="E48" s="395" t="s">
        <v>73</v>
      </c>
      <c r="F48" s="367">
        <f t="shared" si="24"/>
        <v>19293.472999999998</v>
      </c>
      <c r="G48" s="368">
        <f t="shared" si="24"/>
        <v>18670.3</v>
      </c>
      <c r="H48" s="396">
        <f>G48/F48*100</f>
        <v>96.77003202067353</v>
      </c>
      <c r="I48" s="367">
        <f>337+138</f>
        <v>475</v>
      </c>
      <c r="J48" s="368">
        <v>471.8</v>
      </c>
      <c r="K48" s="369">
        <f>J48/I48*100</f>
        <v>99.32631578947368</v>
      </c>
      <c r="L48" s="367">
        <v>1329.9</v>
      </c>
      <c r="M48" s="368">
        <v>1333.1</v>
      </c>
      <c r="N48" s="369">
        <f>M48/L48*100</f>
        <v>100.2406195954583</v>
      </c>
      <c r="O48" s="367">
        <f>2846.6+585.6-0.1</f>
        <v>3432.1</v>
      </c>
      <c r="P48" s="368">
        <v>3402.5</v>
      </c>
      <c r="Q48" s="369">
        <f>P48/O48*100</f>
        <v>99.1375542670668</v>
      </c>
      <c r="R48" s="404">
        <f>I48+L48+O48</f>
        <v>5237</v>
      </c>
      <c r="S48" s="368">
        <f>J48+M48+P48</f>
        <v>5207.4</v>
      </c>
      <c r="T48" s="368">
        <f>S48/R48*100</f>
        <v>99.43479091082679</v>
      </c>
      <c r="U48" s="345">
        <f t="shared" si="10"/>
        <v>5237</v>
      </c>
      <c r="V48" s="346">
        <f t="shared" si="11"/>
        <v>5237</v>
      </c>
      <c r="W48" s="367">
        <f>1904-420-1.5+700.9</f>
        <v>2183.4</v>
      </c>
      <c r="X48" s="368">
        <v>2183.4</v>
      </c>
      <c r="Y48" s="369">
        <f>X48/W48*100</f>
        <v>100</v>
      </c>
      <c r="Z48" s="367">
        <v>519</v>
      </c>
      <c r="AA48" s="368">
        <v>503.7</v>
      </c>
      <c r="AB48" s="369">
        <f>AA48/Z48*100</f>
        <v>97.05202312138728</v>
      </c>
      <c r="AC48" s="367">
        <f>1717.5+117-6.3+0.1</f>
        <v>1828.3</v>
      </c>
      <c r="AD48" s="368">
        <v>1555.4</v>
      </c>
      <c r="AE48" s="369">
        <f>AD48/AC48*100</f>
        <v>85.07356560739485</v>
      </c>
      <c r="AF48" s="404">
        <f>R48+W48+Z48+AC48</f>
        <v>9767.699999999999</v>
      </c>
      <c r="AG48" s="405">
        <f>S48+X48+AA48+AD48</f>
        <v>9449.9</v>
      </c>
      <c r="AH48" s="405"/>
      <c r="AI48" s="345">
        <f t="shared" si="12"/>
        <v>4530.7</v>
      </c>
      <c r="AJ48" s="346">
        <f>W48+Z48+AC48</f>
        <v>4530.7</v>
      </c>
      <c r="AK48" s="367">
        <v>1514.8</v>
      </c>
      <c r="AL48" s="368">
        <v>1495.4</v>
      </c>
      <c r="AM48" s="369">
        <f>AL48/AK48*100</f>
        <v>98.71930287826777</v>
      </c>
      <c r="AN48" s="367">
        <v>1773.2</v>
      </c>
      <c r="AO48" s="368">
        <v>1779.8</v>
      </c>
      <c r="AP48" s="369">
        <f>AP50</f>
        <v>100.37220843672456</v>
      </c>
      <c r="AQ48" s="367">
        <f>1486.1-12.5+4.5-23.8-47+6-100-13.8</f>
        <v>1299.5</v>
      </c>
      <c r="AR48" s="368">
        <f>AR50</f>
        <v>1279.9</v>
      </c>
      <c r="AS48" s="369">
        <f>AS50</f>
        <v>98.49172758753367</v>
      </c>
      <c r="AT48" s="404">
        <f>AF48+AK48+AN48+AQ48</f>
        <v>14355.199999999999</v>
      </c>
      <c r="AU48" s="405">
        <f>AG48+AL48+AO48+AR48</f>
        <v>14004.999999999998</v>
      </c>
      <c r="AV48" s="405"/>
      <c r="AW48" s="345">
        <f t="shared" si="14"/>
        <v>4587.5</v>
      </c>
      <c r="AX48" s="346">
        <f t="shared" si="15"/>
        <v>4587.5</v>
      </c>
      <c r="AY48" s="367">
        <f>1383-227.5+300</f>
        <v>1455.5</v>
      </c>
      <c r="AZ48" s="368">
        <v>1437.5</v>
      </c>
      <c r="BA48" s="369">
        <f>AZ48/AY48*100</f>
        <v>98.76331157677774</v>
      </c>
      <c r="BB48" s="367">
        <f>1320.073-7.5+20+227.5-300</f>
        <v>1260.073</v>
      </c>
      <c r="BC48" s="368">
        <v>1242.6</v>
      </c>
      <c r="BD48" s="368"/>
      <c r="BE48" s="369">
        <f>BC48/BB48*100</f>
        <v>98.61333430682188</v>
      </c>
      <c r="BF48" s="404">
        <f>2476.7-164-14-70-6</f>
        <v>2222.7</v>
      </c>
      <c r="BG48" s="368">
        <v>1985.2</v>
      </c>
      <c r="BH48" s="368">
        <f>BH50</f>
        <v>89.31479731857651</v>
      </c>
      <c r="BI48" s="397">
        <f>AT48+AY48+BB48+BF48</f>
        <v>19293.472999999998</v>
      </c>
      <c r="BJ48" s="398">
        <f>AU48+AZ48+BC48+BG48</f>
        <v>18670.3</v>
      </c>
      <c r="BK48" s="374">
        <f t="shared" si="16"/>
        <v>4938.273</v>
      </c>
      <c r="BL48" s="374">
        <f t="shared" si="17"/>
        <v>4938.273</v>
      </c>
      <c r="BM48" s="744" t="s">
        <v>177</v>
      </c>
      <c r="BN48" s="747" t="s">
        <v>166</v>
      </c>
    </row>
    <row r="49" spans="1:66" ht="43.5" customHeight="1">
      <c r="A49" s="704"/>
      <c r="B49" s="717"/>
      <c r="C49" s="695"/>
      <c r="D49" s="698"/>
      <c r="E49" s="375" t="s">
        <v>74</v>
      </c>
      <c r="F49" s="376">
        <v>0</v>
      </c>
      <c r="G49" s="377">
        <v>0</v>
      </c>
      <c r="H49" s="385">
        <v>0</v>
      </c>
      <c r="I49" s="376">
        <v>0</v>
      </c>
      <c r="J49" s="377">
        <v>0</v>
      </c>
      <c r="K49" s="379">
        <v>0</v>
      </c>
      <c r="L49" s="376">
        <v>0</v>
      </c>
      <c r="M49" s="377">
        <v>0</v>
      </c>
      <c r="N49" s="379">
        <v>0</v>
      </c>
      <c r="O49" s="376">
        <v>0</v>
      </c>
      <c r="P49" s="377">
        <v>0</v>
      </c>
      <c r="Q49" s="379">
        <v>0</v>
      </c>
      <c r="R49" s="380">
        <v>0</v>
      </c>
      <c r="S49" s="377">
        <v>0</v>
      </c>
      <c r="T49" s="377">
        <v>0</v>
      </c>
      <c r="U49" s="345">
        <f t="shared" si="10"/>
        <v>0</v>
      </c>
      <c r="V49" s="346">
        <f t="shared" si="11"/>
        <v>0</v>
      </c>
      <c r="W49" s="376">
        <v>0</v>
      </c>
      <c r="X49" s="377">
        <v>0</v>
      </c>
      <c r="Y49" s="379">
        <v>0</v>
      </c>
      <c r="Z49" s="376">
        <v>0</v>
      </c>
      <c r="AA49" s="377">
        <v>0</v>
      </c>
      <c r="AB49" s="379">
        <v>0</v>
      </c>
      <c r="AC49" s="376">
        <v>0</v>
      </c>
      <c r="AD49" s="377">
        <v>0</v>
      </c>
      <c r="AE49" s="379">
        <v>0</v>
      </c>
      <c r="AF49" s="380">
        <v>0</v>
      </c>
      <c r="AG49" s="377">
        <v>0</v>
      </c>
      <c r="AH49" s="377">
        <v>0</v>
      </c>
      <c r="AI49" s="345">
        <f t="shared" si="12"/>
        <v>0</v>
      </c>
      <c r="AJ49" s="346">
        <f t="shared" si="13"/>
        <v>0</v>
      </c>
      <c r="AK49" s="376">
        <v>0</v>
      </c>
      <c r="AL49" s="377">
        <v>0</v>
      </c>
      <c r="AM49" s="379">
        <v>0</v>
      </c>
      <c r="AN49" s="376">
        <v>0</v>
      </c>
      <c r="AO49" s="377">
        <v>0</v>
      </c>
      <c r="AP49" s="379">
        <v>0</v>
      </c>
      <c r="AQ49" s="376">
        <v>0</v>
      </c>
      <c r="AR49" s="377">
        <v>0</v>
      </c>
      <c r="AS49" s="379">
        <v>0</v>
      </c>
      <c r="AT49" s="380">
        <v>0</v>
      </c>
      <c r="AU49" s="377">
        <v>0</v>
      </c>
      <c r="AV49" s="377">
        <v>0</v>
      </c>
      <c r="AW49" s="345">
        <f t="shared" si="14"/>
        <v>0</v>
      </c>
      <c r="AX49" s="346">
        <f t="shared" si="15"/>
        <v>0</v>
      </c>
      <c r="AY49" s="376">
        <v>0</v>
      </c>
      <c r="AZ49" s="377">
        <v>0</v>
      </c>
      <c r="BA49" s="379">
        <v>0</v>
      </c>
      <c r="BB49" s="376">
        <v>0</v>
      </c>
      <c r="BC49" s="377">
        <v>0</v>
      </c>
      <c r="BD49" s="377">
        <v>0</v>
      </c>
      <c r="BE49" s="379">
        <v>0</v>
      </c>
      <c r="BF49" s="380">
        <v>0</v>
      </c>
      <c r="BG49" s="377">
        <v>0</v>
      </c>
      <c r="BH49" s="377">
        <v>0</v>
      </c>
      <c r="BI49" s="458">
        <v>0</v>
      </c>
      <c r="BJ49" s="459">
        <v>0</v>
      </c>
      <c r="BK49" s="374">
        <f t="shared" si="16"/>
        <v>0</v>
      </c>
      <c r="BL49" s="374">
        <f t="shared" si="17"/>
        <v>0</v>
      </c>
      <c r="BM49" s="745"/>
      <c r="BN49" s="748"/>
    </row>
    <row r="50" spans="1:66" ht="51.75" customHeight="1" thickBot="1">
      <c r="A50" s="705"/>
      <c r="B50" s="743"/>
      <c r="C50" s="696"/>
      <c r="D50" s="699"/>
      <c r="E50" s="384" t="s">
        <v>27</v>
      </c>
      <c r="F50" s="389">
        <f>F48</f>
        <v>19293.472999999998</v>
      </c>
      <c r="G50" s="361">
        <f>G48</f>
        <v>18670.3</v>
      </c>
      <c r="H50" s="390">
        <f>H48</f>
        <v>96.77003202067353</v>
      </c>
      <c r="I50" s="389">
        <f aca="true" t="shared" si="27" ref="I50:BG50">I48</f>
        <v>475</v>
      </c>
      <c r="J50" s="361">
        <f t="shared" si="27"/>
        <v>471.8</v>
      </c>
      <c r="K50" s="391">
        <f t="shared" si="27"/>
        <v>99.32631578947368</v>
      </c>
      <c r="L50" s="389">
        <f t="shared" si="27"/>
        <v>1329.9</v>
      </c>
      <c r="M50" s="361">
        <f t="shared" si="27"/>
        <v>1333.1</v>
      </c>
      <c r="N50" s="391">
        <f t="shared" si="27"/>
        <v>100.2406195954583</v>
      </c>
      <c r="O50" s="389">
        <f t="shared" si="27"/>
        <v>3432.1</v>
      </c>
      <c r="P50" s="361">
        <f t="shared" si="27"/>
        <v>3402.5</v>
      </c>
      <c r="Q50" s="391">
        <f t="shared" si="27"/>
        <v>99.1375542670668</v>
      </c>
      <c r="R50" s="392">
        <f t="shared" si="27"/>
        <v>5237</v>
      </c>
      <c r="S50" s="361">
        <f t="shared" si="27"/>
        <v>5207.4</v>
      </c>
      <c r="T50" s="361">
        <f t="shared" si="27"/>
        <v>99.43479091082679</v>
      </c>
      <c r="U50" s="345">
        <f t="shared" si="10"/>
        <v>5237</v>
      </c>
      <c r="V50" s="346">
        <f t="shared" si="11"/>
        <v>5237</v>
      </c>
      <c r="W50" s="389">
        <f t="shared" si="27"/>
        <v>2183.4</v>
      </c>
      <c r="X50" s="361">
        <f t="shared" si="27"/>
        <v>2183.4</v>
      </c>
      <c r="Y50" s="391">
        <f t="shared" si="27"/>
        <v>100</v>
      </c>
      <c r="Z50" s="389">
        <f t="shared" si="27"/>
        <v>519</v>
      </c>
      <c r="AA50" s="361">
        <f t="shared" si="27"/>
        <v>503.7</v>
      </c>
      <c r="AB50" s="391">
        <f t="shared" si="27"/>
        <v>97.05202312138728</v>
      </c>
      <c r="AC50" s="389">
        <f t="shared" si="27"/>
        <v>1828.3</v>
      </c>
      <c r="AD50" s="361">
        <f t="shared" si="27"/>
        <v>1555.4</v>
      </c>
      <c r="AE50" s="391">
        <f t="shared" si="27"/>
        <v>85.07356560739485</v>
      </c>
      <c r="AF50" s="392">
        <f t="shared" si="27"/>
        <v>9767.699999999999</v>
      </c>
      <c r="AG50" s="361">
        <f t="shared" si="27"/>
        <v>9449.9</v>
      </c>
      <c r="AH50" s="361">
        <f t="shared" si="27"/>
        <v>0</v>
      </c>
      <c r="AI50" s="345">
        <f t="shared" si="12"/>
        <v>4530.7</v>
      </c>
      <c r="AJ50" s="346">
        <f t="shared" si="13"/>
        <v>4530.7</v>
      </c>
      <c r="AK50" s="389">
        <f t="shared" si="27"/>
        <v>1514.8</v>
      </c>
      <c r="AL50" s="361">
        <f t="shared" si="27"/>
        <v>1495.4</v>
      </c>
      <c r="AM50" s="391">
        <f t="shared" si="27"/>
        <v>98.71930287826777</v>
      </c>
      <c r="AN50" s="389">
        <f t="shared" si="27"/>
        <v>1773.2</v>
      </c>
      <c r="AO50" s="361">
        <f t="shared" si="27"/>
        <v>1779.8</v>
      </c>
      <c r="AP50" s="391">
        <f>AO50/AN50*100</f>
        <v>100.37220843672456</v>
      </c>
      <c r="AQ50" s="389">
        <f t="shared" si="27"/>
        <v>1299.5</v>
      </c>
      <c r="AR50" s="361">
        <v>1279.9</v>
      </c>
      <c r="AS50" s="391">
        <f>AR50/AQ50*100</f>
        <v>98.49172758753367</v>
      </c>
      <c r="AT50" s="392">
        <f t="shared" si="27"/>
        <v>14355.199999999999</v>
      </c>
      <c r="AU50" s="361">
        <f t="shared" si="27"/>
        <v>14004.999999999998</v>
      </c>
      <c r="AV50" s="361">
        <f t="shared" si="27"/>
        <v>0</v>
      </c>
      <c r="AW50" s="345">
        <f t="shared" si="14"/>
        <v>4587.5</v>
      </c>
      <c r="AX50" s="346">
        <f t="shared" si="15"/>
        <v>4587.5</v>
      </c>
      <c r="AY50" s="389">
        <f t="shared" si="27"/>
        <v>1455.5</v>
      </c>
      <c r="AZ50" s="361">
        <f t="shared" si="27"/>
        <v>1437.5</v>
      </c>
      <c r="BA50" s="391">
        <f t="shared" si="27"/>
        <v>98.76331157677774</v>
      </c>
      <c r="BB50" s="389">
        <f>BB48</f>
        <v>1260.073</v>
      </c>
      <c r="BC50" s="361">
        <v>1242.6</v>
      </c>
      <c r="BD50" s="361">
        <f t="shared" si="27"/>
        <v>0</v>
      </c>
      <c r="BE50" s="391">
        <f t="shared" si="27"/>
        <v>98.61333430682188</v>
      </c>
      <c r="BF50" s="392">
        <f>BF48</f>
        <v>2222.7</v>
      </c>
      <c r="BG50" s="361">
        <f t="shared" si="27"/>
        <v>1985.2</v>
      </c>
      <c r="BH50" s="361">
        <f>BG50/BF50*100</f>
        <v>89.31479731857651</v>
      </c>
      <c r="BI50" s="372"/>
      <c r="BJ50" s="373"/>
      <c r="BK50" s="374">
        <f t="shared" si="16"/>
        <v>4938.273</v>
      </c>
      <c r="BL50" s="374">
        <f t="shared" si="17"/>
        <v>4938.273</v>
      </c>
      <c r="BM50" s="746"/>
      <c r="BN50" s="749"/>
    </row>
    <row r="51" spans="1:66" ht="0.75" customHeight="1" hidden="1" thickBot="1">
      <c r="A51" s="336"/>
      <c r="B51" s="418"/>
      <c r="C51" s="806" t="s">
        <v>48</v>
      </c>
      <c r="D51" s="698">
        <v>6</v>
      </c>
      <c r="E51" s="460" t="s">
        <v>73</v>
      </c>
      <c r="F51" s="364"/>
      <c r="G51" s="364"/>
      <c r="H51" s="365"/>
      <c r="I51" s="363"/>
      <c r="J51" s="364"/>
      <c r="K51" s="366"/>
      <c r="L51" s="363"/>
      <c r="M51" s="364"/>
      <c r="N51" s="366"/>
      <c r="O51" s="363"/>
      <c r="P51" s="364"/>
      <c r="Q51" s="366"/>
      <c r="R51" s="370"/>
      <c r="S51" s="364"/>
      <c r="T51" s="364"/>
      <c r="U51" s="345">
        <f t="shared" si="10"/>
        <v>0</v>
      </c>
      <c r="V51" s="346">
        <f t="shared" si="11"/>
        <v>0</v>
      </c>
      <c r="W51" s="363"/>
      <c r="X51" s="364"/>
      <c r="Y51" s="366"/>
      <c r="Z51" s="363"/>
      <c r="AA51" s="364"/>
      <c r="AB51" s="366"/>
      <c r="AC51" s="363"/>
      <c r="AD51" s="364"/>
      <c r="AE51" s="366"/>
      <c r="AF51" s="370"/>
      <c r="AG51" s="371"/>
      <c r="AH51" s="371"/>
      <c r="AI51" s="345">
        <f t="shared" si="12"/>
        <v>0</v>
      </c>
      <c r="AJ51" s="346">
        <f t="shared" si="13"/>
        <v>0</v>
      </c>
      <c r="AK51" s="363"/>
      <c r="AL51" s="364"/>
      <c r="AM51" s="364"/>
      <c r="AN51" s="364"/>
      <c r="AO51" s="364"/>
      <c r="AP51" s="364"/>
      <c r="AQ51" s="364"/>
      <c r="AR51" s="364"/>
      <c r="AS51" s="364"/>
      <c r="AT51" s="364"/>
      <c r="AU51" s="371"/>
      <c r="AV51" s="371"/>
      <c r="AW51" s="345">
        <f t="shared" si="14"/>
        <v>0</v>
      </c>
      <c r="AX51" s="345">
        <f t="shared" si="15"/>
        <v>0</v>
      </c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82"/>
      <c r="BJ51" s="383"/>
      <c r="BK51" s="374">
        <f t="shared" si="16"/>
        <v>0</v>
      </c>
      <c r="BL51" s="374">
        <f t="shared" si="17"/>
        <v>0</v>
      </c>
      <c r="BM51" s="461"/>
      <c r="BN51" s="272"/>
    </row>
    <row r="52" spans="1:66" ht="26.25" hidden="1" thickBot="1">
      <c r="A52" s="336"/>
      <c r="B52" s="418"/>
      <c r="C52" s="806"/>
      <c r="D52" s="698"/>
      <c r="E52" s="462" t="s">
        <v>74</v>
      </c>
      <c r="F52" s="377"/>
      <c r="G52" s="377"/>
      <c r="H52" s="378"/>
      <c r="I52" s="376"/>
      <c r="J52" s="377"/>
      <c r="K52" s="379"/>
      <c r="L52" s="376"/>
      <c r="M52" s="377"/>
      <c r="N52" s="379"/>
      <c r="O52" s="376"/>
      <c r="P52" s="377"/>
      <c r="Q52" s="379"/>
      <c r="R52" s="380"/>
      <c r="S52" s="377"/>
      <c r="T52" s="377"/>
      <c r="U52" s="345">
        <f t="shared" si="10"/>
        <v>0</v>
      </c>
      <c r="V52" s="346">
        <f t="shared" si="11"/>
        <v>0</v>
      </c>
      <c r="W52" s="376"/>
      <c r="X52" s="377"/>
      <c r="Y52" s="379"/>
      <c r="Z52" s="376"/>
      <c r="AA52" s="377"/>
      <c r="AB52" s="379"/>
      <c r="AC52" s="376"/>
      <c r="AD52" s="377"/>
      <c r="AE52" s="379"/>
      <c r="AF52" s="380"/>
      <c r="AG52" s="381"/>
      <c r="AH52" s="381"/>
      <c r="AI52" s="345">
        <f t="shared" si="12"/>
        <v>0</v>
      </c>
      <c r="AJ52" s="346">
        <f t="shared" si="13"/>
        <v>0</v>
      </c>
      <c r="AK52" s="376"/>
      <c r="AL52" s="377"/>
      <c r="AM52" s="377"/>
      <c r="AN52" s="377"/>
      <c r="AO52" s="377"/>
      <c r="AP52" s="377"/>
      <c r="AQ52" s="377"/>
      <c r="AR52" s="377"/>
      <c r="AS52" s="377"/>
      <c r="AT52" s="377"/>
      <c r="AU52" s="381"/>
      <c r="AV52" s="381"/>
      <c r="AW52" s="345">
        <f t="shared" si="14"/>
        <v>0</v>
      </c>
      <c r="AX52" s="345">
        <f t="shared" si="15"/>
        <v>0</v>
      </c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82"/>
      <c r="BJ52" s="383"/>
      <c r="BK52" s="374">
        <f t="shared" si="16"/>
        <v>0</v>
      </c>
      <c r="BL52" s="374">
        <f t="shared" si="17"/>
        <v>0</v>
      </c>
      <c r="BM52" s="461"/>
      <c r="BN52" s="272"/>
    </row>
    <row r="53" spans="1:66" ht="26.25" hidden="1" thickBot="1">
      <c r="A53" s="336"/>
      <c r="B53" s="418"/>
      <c r="C53" s="807"/>
      <c r="D53" s="699"/>
      <c r="E53" s="462" t="s">
        <v>75</v>
      </c>
      <c r="F53" s="377">
        <v>0</v>
      </c>
      <c r="G53" s="377">
        <v>0</v>
      </c>
      <c r="H53" s="378">
        <v>0</v>
      </c>
      <c r="I53" s="376">
        <v>0</v>
      </c>
      <c r="J53" s="377">
        <v>0</v>
      </c>
      <c r="K53" s="379">
        <v>0</v>
      </c>
      <c r="L53" s="376">
        <v>0</v>
      </c>
      <c r="M53" s="377">
        <v>0</v>
      </c>
      <c r="N53" s="379">
        <v>0</v>
      </c>
      <c r="O53" s="376">
        <v>0</v>
      </c>
      <c r="P53" s="377">
        <v>0</v>
      </c>
      <c r="Q53" s="379">
        <v>0</v>
      </c>
      <c r="R53" s="380">
        <f>I53+L53+O53</f>
        <v>0</v>
      </c>
      <c r="S53" s="377">
        <v>0</v>
      </c>
      <c r="T53" s="377">
        <v>0</v>
      </c>
      <c r="U53" s="345">
        <f t="shared" si="10"/>
        <v>0</v>
      </c>
      <c r="V53" s="346">
        <f t="shared" si="11"/>
        <v>0</v>
      </c>
      <c r="W53" s="376">
        <v>0</v>
      </c>
      <c r="X53" s="377">
        <v>0</v>
      </c>
      <c r="Y53" s="379">
        <v>0</v>
      </c>
      <c r="Z53" s="376">
        <v>0</v>
      </c>
      <c r="AA53" s="377">
        <v>0</v>
      </c>
      <c r="AB53" s="379">
        <v>0</v>
      </c>
      <c r="AC53" s="376">
        <v>0</v>
      </c>
      <c r="AD53" s="377">
        <v>0</v>
      </c>
      <c r="AE53" s="379">
        <v>0</v>
      </c>
      <c r="AF53" s="380">
        <f>R53+W53+Z53+AC53</f>
        <v>0</v>
      </c>
      <c r="AG53" s="381">
        <f>S53+X53+AA53+AD53</f>
        <v>0</v>
      </c>
      <c r="AH53" s="381"/>
      <c r="AI53" s="345">
        <f t="shared" si="12"/>
        <v>0</v>
      </c>
      <c r="AJ53" s="346">
        <f t="shared" si="13"/>
        <v>0</v>
      </c>
      <c r="AK53" s="376">
        <v>0</v>
      </c>
      <c r="AL53" s="377">
        <v>0</v>
      </c>
      <c r="AM53" s="377">
        <v>0</v>
      </c>
      <c r="AN53" s="377">
        <v>0</v>
      </c>
      <c r="AO53" s="377">
        <v>0</v>
      </c>
      <c r="AP53" s="377">
        <v>0</v>
      </c>
      <c r="AQ53" s="377">
        <v>0</v>
      </c>
      <c r="AR53" s="377">
        <v>0</v>
      </c>
      <c r="AS53" s="377">
        <v>0</v>
      </c>
      <c r="AT53" s="377">
        <f>AF53+AK53+AN53+AQ53</f>
        <v>0</v>
      </c>
      <c r="AU53" s="381">
        <f>AG53+AL53+AO53+AR53</f>
        <v>0</v>
      </c>
      <c r="AV53" s="381"/>
      <c r="AW53" s="345">
        <f t="shared" si="14"/>
        <v>0</v>
      </c>
      <c r="AX53" s="345">
        <f t="shared" si="15"/>
        <v>0</v>
      </c>
      <c r="AY53" s="377">
        <v>0</v>
      </c>
      <c r="AZ53" s="377">
        <v>0</v>
      </c>
      <c r="BA53" s="377">
        <v>0</v>
      </c>
      <c r="BB53" s="377">
        <v>0</v>
      </c>
      <c r="BC53" s="377">
        <v>0</v>
      </c>
      <c r="BD53" s="377"/>
      <c r="BE53" s="377">
        <v>0</v>
      </c>
      <c r="BF53" s="377">
        <v>0</v>
      </c>
      <c r="BG53" s="377">
        <v>0</v>
      </c>
      <c r="BH53" s="377">
        <v>0</v>
      </c>
      <c r="BI53" s="382">
        <f>AT53+AY53+BB53+BF53</f>
        <v>0</v>
      </c>
      <c r="BJ53" s="383">
        <f>AU53+AZ53+BC53+BG53</f>
        <v>0</v>
      </c>
      <c r="BK53" s="374">
        <f t="shared" si="16"/>
        <v>0</v>
      </c>
      <c r="BL53" s="374">
        <f t="shared" si="17"/>
        <v>0</v>
      </c>
      <c r="BM53" s="461"/>
      <c r="BN53" s="272"/>
    </row>
    <row r="54" spans="1:66" ht="16.5" hidden="1" thickBot="1">
      <c r="A54" s="336"/>
      <c r="B54" s="418"/>
      <c r="C54" s="463"/>
      <c r="D54" s="399"/>
      <c r="E54" s="464"/>
      <c r="F54" s="377"/>
      <c r="G54" s="377"/>
      <c r="H54" s="378"/>
      <c r="I54" s="407"/>
      <c r="J54" s="408"/>
      <c r="K54" s="409"/>
      <c r="L54" s="407"/>
      <c r="M54" s="408"/>
      <c r="N54" s="409"/>
      <c r="O54" s="407"/>
      <c r="P54" s="408"/>
      <c r="Q54" s="409"/>
      <c r="R54" s="410"/>
      <c r="S54" s="408"/>
      <c r="T54" s="408"/>
      <c r="U54" s="345">
        <f t="shared" si="10"/>
        <v>0</v>
      </c>
      <c r="V54" s="346">
        <f t="shared" si="11"/>
        <v>0</v>
      </c>
      <c r="W54" s="407"/>
      <c r="X54" s="408"/>
      <c r="Y54" s="409"/>
      <c r="Z54" s="407"/>
      <c r="AA54" s="408"/>
      <c r="AB54" s="409"/>
      <c r="AC54" s="407"/>
      <c r="AD54" s="408"/>
      <c r="AE54" s="409"/>
      <c r="AF54" s="410"/>
      <c r="AG54" s="465"/>
      <c r="AH54" s="465"/>
      <c r="AI54" s="345">
        <f t="shared" si="12"/>
        <v>0</v>
      </c>
      <c r="AJ54" s="346">
        <f t="shared" si="13"/>
        <v>0</v>
      </c>
      <c r="AK54" s="407"/>
      <c r="AL54" s="408"/>
      <c r="AM54" s="408"/>
      <c r="AN54" s="408"/>
      <c r="AO54" s="408"/>
      <c r="AP54" s="408"/>
      <c r="AQ54" s="408"/>
      <c r="AR54" s="408"/>
      <c r="AS54" s="408"/>
      <c r="AT54" s="408"/>
      <c r="AU54" s="465"/>
      <c r="AV54" s="465"/>
      <c r="AW54" s="345">
        <f t="shared" si="14"/>
        <v>0</v>
      </c>
      <c r="AX54" s="345">
        <f t="shared" si="15"/>
        <v>0</v>
      </c>
      <c r="AY54" s="408"/>
      <c r="AZ54" s="408"/>
      <c r="BA54" s="408"/>
      <c r="BB54" s="408"/>
      <c r="BC54" s="408"/>
      <c r="BD54" s="408"/>
      <c r="BE54" s="408"/>
      <c r="BF54" s="408"/>
      <c r="BG54" s="408"/>
      <c r="BH54" s="408"/>
      <c r="BI54" s="382"/>
      <c r="BJ54" s="383"/>
      <c r="BK54" s="374">
        <f t="shared" si="16"/>
        <v>0</v>
      </c>
      <c r="BL54" s="374">
        <f t="shared" si="17"/>
        <v>0</v>
      </c>
      <c r="BM54" s="461"/>
      <c r="BN54" s="272"/>
    </row>
    <row r="55" spans="1:66" ht="13.5" hidden="1" thickBot="1">
      <c r="A55" s="704" t="s">
        <v>76</v>
      </c>
      <c r="B55" s="716" t="s">
        <v>77</v>
      </c>
      <c r="C55" s="808" t="s">
        <v>58</v>
      </c>
      <c r="D55" s="697">
        <v>9</v>
      </c>
      <c r="E55" s="462" t="s">
        <v>73</v>
      </c>
      <c r="F55" s="377">
        <f>F57</f>
        <v>0</v>
      </c>
      <c r="G55" s="377">
        <f aca="true" t="shared" si="28" ref="G55:BH55">G57</f>
        <v>0</v>
      </c>
      <c r="H55" s="385">
        <f t="shared" si="28"/>
        <v>0</v>
      </c>
      <c r="I55" s="367">
        <f t="shared" si="28"/>
        <v>0</v>
      </c>
      <c r="J55" s="368">
        <f t="shared" si="28"/>
        <v>0</v>
      </c>
      <c r="K55" s="369">
        <f t="shared" si="28"/>
        <v>0</v>
      </c>
      <c r="L55" s="367">
        <f t="shared" si="28"/>
        <v>0</v>
      </c>
      <c r="M55" s="368">
        <f t="shared" si="28"/>
        <v>0</v>
      </c>
      <c r="N55" s="369">
        <f t="shared" si="28"/>
        <v>0</v>
      </c>
      <c r="O55" s="367">
        <f t="shared" si="28"/>
        <v>0</v>
      </c>
      <c r="P55" s="368">
        <f t="shared" si="28"/>
        <v>0</v>
      </c>
      <c r="Q55" s="369">
        <f t="shared" si="28"/>
        <v>0</v>
      </c>
      <c r="R55" s="404">
        <f t="shared" si="28"/>
        <v>0</v>
      </c>
      <c r="S55" s="368">
        <f t="shared" si="28"/>
        <v>0</v>
      </c>
      <c r="T55" s="368">
        <f t="shared" si="28"/>
        <v>0</v>
      </c>
      <c r="U55" s="345">
        <f t="shared" si="10"/>
        <v>0</v>
      </c>
      <c r="V55" s="346">
        <f t="shared" si="11"/>
        <v>0</v>
      </c>
      <c r="W55" s="367">
        <f t="shared" si="28"/>
        <v>0</v>
      </c>
      <c r="X55" s="368">
        <f t="shared" si="28"/>
        <v>0</v>
      </c>
      <c r="Y55" s="369">
        <f t="shared" si="28"/>
        <v>0</v>
      </c>
      <c r="Z55" s="466">
        <f>Z57</f>
        <v>0</v>
      </c>
      <c r="AA55" s="368">
        <f t="shared" si="28"/>
        <v>0</v>
      </c>
      <c r="AB55" s="369">
        <f t="shared" si="28"/>
        <v>0</v>
      </c>
      <c r="AC55" s="367">
        <f t="shared" si="28"/>
        <v>1436.3</v>
      </c>
      <c r="AD55" s="368">
        <f t="shared" si="28"/>
        <v>0</v>
      </c>
      <c r="AE55" s="369">
        <f t="shared" si="28"/>
        <v>0</v>
      </c>
      <c r="AF55" s="404">
        <f t="shared" si="28"/>
        <v>0</v>
      </c>
      <c r="AG55" s="368">
        <f t="shared" si="28"/>
        <v>0</v>
      </c>
      <c r="AH55" s="368">
        <f t="shared" si="28"/>
        <v>0</v>
      </c>
      <c r="AI55" s="345">
        <f t="shared" si="12"/>
        <v>1436.3</v>
      </c>
      <c r="AJ55" s="346">
        <f t="shared" si="13"/>
        <v>1436.3</v>
      </c>
      <c r="AK55" s="367">
        <f t="shared" si="28"/>
        <v>0</v>
      </c>
      <c r="AL55" s="368">
        <f t="shared" si="28"/>
        <v>0</v>
      </c>
      <c r="AM55" s="368">
        <f t="shared" si="28"/>
        <v>0</v>
      </c>
      <c r="AN55" s="368">
        <f t="shared" si="28"/>
        <v>0</v>
      </c>
      <c r="AO55" s="368">
        <f t="shared" si="28"/>
        <v>0</v>
      </c>
      <c r="AP55" s="368">
        <f t="shared" si="28"/>
        <v>0</v>
      </c>
      <c r="AQ55" s="368">
        <f t="shared" si="28"/>
        <v>0</v>
      </c>
      <c r="AR55" s="368">
        <f t="shared" si="28"/>
        <v>0</v>
      </c>
      <c r="AS55" s="368">
        <f t="shared" si="28"/>
        <v>0</v>
      </c>
      <c r="AT55" s="368">
        <f t="shared" si="28"/>
        <v>0</v>
      </c>
      <c r="AU55" s="368">
        <f t="shared" si="28"/>
        <v>0</v>
      </c>
      <c r="AV55" s="368">
        <f t="shared" si="28"/>
        <v>0</v>
      </c>
      <c r="AW55" s="345">
        <f t="shared" si="14"/>
        <v>0</v>
      </c>
      <c r="AX55" s="345">
        <f t="shared" si="15"/>
        <v>0</v>
      </c>
      <c r="AY55" s="368">
        <f t="shared" si="28"/>
        <v>0</v>
      </c>
      <c r="AZ55" s="368">
        <f t="shared" si="28"/>
        <v>0</v>
      </c>
      <c r="BA55" s="368">
        <f t="shared" si="28"/>
        <v>0</v>
      </c>
      <c r="BB55" s="368">
        <f t="shared" si="28"/>
        <v>0</v>
      </c>
      <c r="BC55" s="368">
        <f t="shared" si="28"/>
        <v>0</v>
      </c>
      <c r="BD55" s="368">
        <f t="shared" si="28"/>
        <v>0</v>
      </c>
      <c r="BE55" s="368">
        <f t="shared" si="28"/>
        <v>0</v>
      </c>
      <c r="BF55" s="368">
        <f t="shared" si="28"/>
        <v>0</v>
      </c>
      <c r="BG55" s="368">
        <f t="shared" si="28"/>
        <v>0</v>
      </c>
      <c r="BH55" s="369">
        <f t="shared" si="28"/>
        <v>0</v>
      </c>
      <c r="BI55" s="382"/>
      <c r="BJ55" s="383"/>
      <c r="BK55" s="374">
        <f t="shared" si="16"/>
        <v>0</v>
      </c>
      <c r="BL55" s="374">
        <f t="shared" si="17"/>
        <v>0</v>
      </c>
      <c r="BM55" s="769"/>
      <c r="BN55" s="756"/>
    </row>
    <row r="56" spans="1:66" ht="26.25" hidden="1" thickBot="1">
      <c r="A56" s="704"/>
      <c r="B56" s="717"/>
      <c r="C56" s="806"/>
      <c r="D56" s="698"/>
      <c r="E56" s="462" t="s">
        <v>74</v>
      </c>
      <c r="F56" s="377">
        <v>0</v>
      </c>
      <c r="G56" s="377">
        <v>0</v>
      </c>
      <c r="H56" s="385">
        <v>0</v>
      </c>
      <c r="I56" s="376">
        <v>0</v>
      </c>
      <c r="J56" s="377">
        <v>0</v>
      </c>
      <c r="K56" s="379">
        <v>0</v>
      </c>
      <c r="L56" s="376">
        <v>0</v>
      </c>
      <c r="M56" s="377">
        <v>0</v>
      </c>
      <c r="N56" s="379">
        <v>0</v>
      </c>
      <c r="O56" s="376">
        <v>0</v>
      </c>
      <c r="P56" s="377">
        <v>0</v>
      </c>
      <c r="Q56" s="379">
        <v>0</v>
      </c>
      <c r="R56" s="380">
        <v>0</v>
      </c>
      <c r="S56" s="377">
        <v>0</v>
      </c>
      <c r="T56" s="377">
        <v>0</v>
      </c>
      <c r="U56" s="345">
        <f t="shared" si="10"/>
        <v>0</v>
      </c>
      <c r="V56" s="346">
        <f t="shared" si="11"/>
        <v>0</v>
      </c>
      <c r="W56" s="376">
        <v>0</v>
      </c>
      <c r="X56" s="377">
        <v>0</v>
      </c>
      <c r="Y56" s="379">
        <v>0</v>
      </c>
      <c r="Z56" s="468">
        <v>0</v>
      </c>
      <c r="AA56" s="377">
        <v>0</v>
      </c>
      <c r="AB56" s="379">
        <v>0</v>
      </c>
      <c r="AC56" s="376">
        <v>0</v>
      </c>
      <c r="AD56" s="377">
        <v>0</v>
      </c>
      <c r="AE56" s="379">
        <v>0</v>
      </c>
      <c r="AF56" s="380">
        <v>0</v>
      </c>
      <c r="AG56" s="377">
        <v>0</v>
      </c>
      <c r="AH56" s="377">
        <v>0</v>
      </c>
      <c r="AI56" s="345">
        <f t="shared" si="12"/>
        <v>0</v>
      </c>
      <c r="AJ56" s="346">
        <f t="shared" si="13"/>
        <v>0</v>
      </c>
      <c r="AK56" s="376">
        <v>0</v>
      </c>
      <c r="AL56" s="377">
        <v>0</v>
      </c>
      <c r="AM56" s="377">
        <v>0</v>
      </c>
      <c r="AN56" s="377">
        <v>0</v>
      </c>
      <c r="AO56" s="377">
        <v>0</v>
      </c>
      <c r="AP56" s="377">
        <v>0</v>
      </c>
      <c r="AQ56" s="377">
        <v>0</v>
      </c>
      <c r="AR56" s="377">
        <v>0</v>
      </c>
      <c r="AS56" s="377">
        <v>0</v>
      </c>
      <c r="AT56" s="377">
        <v>0</v>
      </c>
      <c r="AU56" s="377">
        <v>0</v>
      </c>
      <c r="AV56" s="377">
        <v>0</v>
      </c>
      <c r="AW56" s="345">
        <f t="shared" si="14"/>
        <v>0</v>
      </c>
      <c r="AX56" s="345">
        <f t="shared" si="15"/>
        <v>0</v>
      </c>
      <c r="AY56" s="377">
        <v>0</v>
      </c>
      <c r="AZ56" s="377">
        <v>0</v>
      </c>
      <c r="BA56" s="377">
        <v>0</v>
      </c>
      <c r="BB56" s="377">
        <v>0</v>
      </c>
      <c r="BC56" s="377">
        <v>0</v>
      </c>
      <c r="BD56" s="377">
        <v>0</v>
      </c>
      <c r="BE56" s="377">
        <v>0</v>
      </c>
      <c r="BF56" s="377">
        <v>0</v>
      </c>
      <c r="BG56" s="377">
        <v>0</v>
      </c>
      <c r="BH56" s="379">
        <v>0</v>
      </c>
      <c r="BI56" s="382"/>
      <c r="BJ56" s="383"/>
      <c r="BK56" s="374">
        <f t="shared" si="16"/>
        <v>0</v>
      </c>
      <c r="BL56" s="374">
        <f t="shared" si="17"/>
        <v>0</v>
      </c>
      <c r="BM56" s="769"/>
      <c r="BN56" s="756"/>
    </row>
    <row r="57" spans="1:66" ht="26.25" hidden="1" thickBot="1">
      <c r="A57" s="704"/>
      <c r="B57" s="717"/>
      <c r="C57" s="806"/>
      <c r="D57" s="698"/>
      <c r="E57" s="469" t="s">
        <v>75</v>
      </c>
      <c r="F57" s="408">
        <v>0</v>
      </c>
      <c r="G57" s="408">
        <v>0</v>
      </c>
      <c r="H57" s="470">
        <v>0</v>
      </c>
      <c r="I57" s="471">
        <v>0</v>
      </c>
      <c r="J57" s="472">
        <v>0</v>
      </c>
      <c r="K57" s="473">
        <v>0</v>
      </c>
      <c r="L57" s="471">
        <v>0</v>
      </c>
      <c r="M57" s="472">
        <v>0</v>
      </c>
      <c r="N57" s="473">
        <v>0</v>
      </c>
      <c r="O57" s="471">
        <v>0</v>
      </c>
      <c r="P57" s="472">
        <v>0</v>
      </c>
      <c r="Q57" s="473">
        <v>0</v>
      </c>
      <c r="R57" s="474"/>
      <c r="S57" s="472"/>
      <c r="T57" s="472"/>
      <c r="U57" s="345">
        <f t="shared" si="10"/>
        <v>0</v>
      </c>
      <c r="V57" s="346">
        <f t="shared" si="11"/>
        <v>0</v>
      </c>
      <c r="W57" s="471">
        <v>0</v>
      </c>
      <c r="X57" s="472">
        <v>0</v>
      </c>
      <c r="Y57" s="473">
        <v>0</v>
      </c>
      <c r="Z57" s="475">
        <v>0</v>
      </c>
      <c r="AA57" s="472">
        <v>0</v>
      </c>
      <c r="AB57" s="473">
        <v>0</v>
      </c>
      <c r="AC57" s="471">
        <v>1436.3</v>
      </c>
      <c r="AD57" s="472">
        <v>0</v>
      </c>
      <c r="AE57" s="473">
        <v>0</v>
      </c>
      <c r="AF57" s="474"/>
      <c r="AG57" s="476"/>
      <c r="AH57" s="476"/>
      <c r="AI57" s="345">
        <f t="shared" si="12"/>
        <v>1436.3</v>
      </c>
      <c r="AJ57" s="346">
        <f t="shared" si="13"/>
        <v>1436.3</v>
      </c>
      <c r="AK57" s="407">
        <v>0</v>
      </c>
      <c r="AL57" s="408">
        <v>0</v>
      </c>
      <c r="AM57" s="408">
        <v>0</v>
      </c>
      <c r="AN57" s="408">
        <v>0</v>
      </c>
      <c r="AO57" s="408">
        <v>0</v>
      </c>
      <c r="AP57" s="408">
        <v>0</v>
      </c>
      <c r="AQ57" s="408">
        <v>0</v>
      </c>
      <c r="AR57" s="408">
        <v>0</v>
      </c>
      <c r="AS57" s="408">
        <v>0</v>
      </c>
      <c r="AT57" s="408"/>
      <c r="AU57" s="465"/>
      <c r="AV57" s="465"/>
      <c r="AW57" s="345">
        <f t="shared" si="14"/>
        <v>0</v>
      </c>
      <c r="AX57" s="345">
        <f t="shared" si="15"/>
        <v>0</v>
      </c>
      <c r="AY57" s="408">
        <v>0</v>
      </c>
      <c r="AZ57" s="408">
        <v>0</v>
      </c>
      <c r="BA57" s="408">
        <v>0</v>
      </c>
      <c r="BB57" s="408">
        <v>0</v>
      </c>
      <c r="BC57" s="408">
        <v>0</v>
      </c>
      <c r="BD57" s="408"/>
      <c r="BE57" s="408">
        <v>0</v>
      </c>
      <c r="BF57" s="408">
        <v>0</v>
      </c>
      <c r="BG57" s="408">
        <v>0</v>
      </c>
      <c r="BH57" s="409">
        <v>0</v>
      </c>
      <c r="BI57" s="382"/>
      <c r="BJ57" s="383"/>
      <c r="BK57" s="374">
        <f t="shared" si="16"/>
        <v>0</v>
      </c>
      <c r="BL57" s="374">
        <f t="shared" si="17"/>
        <v>0</v>
      </c>
      <c r="BM57" s="769"/>
      <c r="BN57" s="756"/>
    </row>
    <row r="58" spans="1:66" ht="71.25" customHeight="1" thickBot="1">
      <c r="A58" s="802" t="s">
        <v>103</v>
      </c>
      <c r="B58" s="809" t="s">
        <v>114</v>
      </c>
      <c r="C58" s="812" t="s">
        <v>48</v>
      </c>
      <c r="D58" s="801" t="s">
        <v>109</v>
      </c>
      <c r="E58" s="395" t="s">
        <v>73</v>
      </c>
      <c r="F58" s="367">
        <f>F59+F60</f>
        <v>6223.499999999999</v>
      </c>
      <c r="G58" s="368">
        <f>G59+G60</f>
        <v>4648.9</v>
      </c>
      <c r="H58" s="477">
        <f>G58/F58*100</f>
        <v>74.69912428697678</v>
      </c>
      <c r="I58" s="376">
        <f>I59</f>
        <v>0</v>
      </c>
      <c r="J58" s="377">
        <f>J59</f>
        <v>0</v>
      </c>
      <c r="K58" s="379">
        <f>K59</f>
        <v>0</v>
      </c>
      <c r="L58" s="376">
        <f>L59</f>
        <v>0</v>
      </c>
      <c r="M58" s="377">
        <f>M59</f>
        <v>0</v>
      </c>
      <c r="N58" s="379">
        <v>0</v>
      </c>
      <c r="O58" s="376">
        <f>O60</f>
        <v>1033</v>
      </c>
      <c r="P58" s="377">
        <f>P60</f>
        <v>943</v>
      </c>
      <c r="Q58" s="379">
        <f>Q60</f>
        <v>91.28751210067763</v>
      </c>
      <c r="R58" s="380">
        <f aca="true" t="shared" si="29" ref="R58:T62">R59</f>
        <v>1033</v>
      </c>
      <c r="S58" s="377">
        <f t="shared" si="29"/>
        <v>943</v>
      </c>
      <c r="T58" s="377">
        <f t="shared" si="29"/>
        <v>91.28751210067763</v>
      </c>
      <c r="U58" s="345">
        <f t="shared" si="10"/>
        <v>1033</v>
      </c>
      <c r="V58" s="346">
        <f t="shared" si="11"/>
        <v>1033</v>
      </c>
      <c r="W58" s="376">
        <f>W60</f>
        <v>65.10000000000002</v>
      </c>
      <c r="X58" s="377">
        <v>60</v>
      </c>
      <c r="Y58" s="379">
        <f>X58/W58*100</f>
        <v>92.16589861751149</v>
      </c>
      <c r="Z58" s="376">
        <f>Z60</f>
        <v>508</v>
      </c>
      <c r="AA58" s="377">
        <v>573.1</v>
      </c>
      <c r="AB58" s="379">
        <f>AB60</f>
        <v>112.81496062992127</v>
      </c>
      <c r="AC58" s="376">
        <v>22</v>
      </c>
      <c r="AD58" s="377">
        <v>0</v>
      </c>
      <c r="AE58" s="379">
        <v>0</v>
      </c>
      <c r="AF58" s="380">
        <f aca="true" t="shared" si="30" ref="AF58:AH62">AF59</f>
        <v>1628.1</v>
      </c>
      <c r="AG58" s="377">
        <f t="shared" si="30"/>
        <v>1576.1</v>
      </c>
      <c r="AH58" s="377">
        <f t="shared" si="30"/>
        <v>0</v>
      </c>
      <c r="AI58" s="345">
        <f t="shared" si="12"/>
        <v>595.1</v>
      </c>
      <c r="AJ58" s="346">
        <f t="shared" si="13"/>
        <v>595.1</v>
      </c>
      <c r="AK58" s="367">
        <v>0</v>
      </c>
      <c r="AL58" s="368">
        <v>48</v>
      </c>
      <c r="AM58" s="369">
        <v>0</v>
      </c>
      <c r="AN58" s="367">
        <f>AN59+AN60</f>
        <v>2540.1</v>
      </c>
      <c r="AO58" s="368">
        <f>AO60+AO59</f>
        <v>2527.3999999999996</v>
      </c>
      <c r="AP58" s="369">
        <f>AO58/AN58*100</f>
        <v>99.50001968426439</v>
      </c>
      <c r="AQ58" s="367">
        <f>AQ60</f>
        <v>0</v>
      </c>
      <c r="AR58" s="368">
        <f>AR60</f>
        <v>0</v>
      </c>
      <c r="AS58" s="369">
        <v>0</v>
      </c>
      <c r="AT58" s="380">
        <f aca="true" t="shared" si="31" ref="AT58:AV62">AT59</f>
        <v>3013.8999999999996</v>
      </c>
      <c r="AU58" s="377">
        <f t="shared" si="31"/>
        <v>2997.2</v>
      </c>
      <c r="AV58" s="377">
        <f t="shared" si="31"/>
        <v>0</v>
      </c>
      <c r="AW58" s="345">
        <f t="shared" si="14"/>
        <v>2540.1</v>
      </c>
      <c r="AX58" s="346">
        <f t="shared" si="15"/>
        <v>2540.1</v>
      </c>
      <c r="AY58" s="367">
        <f>AY60</f>
        <v>47</v>
      </c>
      <c r="AZ58" s="368">
        <v>60</v>
      </c>
      <c r="BA58" s="369">
        <f>BA60</f>
        <v>127.65957446808511</v>
      </c>
      <c r="BB58" s="367">
        <f>1365.3-1290</f>
        <v>75.29999999999995</v>
      </c>
      <c r="BC58" s="368">
        <v>69.1</v>
      </c>
      <c r="BD58" s="368">
        <f>BD59</f>
        <v>0</v>
      </c>
      <c r="BE58" s="369">
        <f>BE60</f>
        <v>91.76626826029222</v>
      </c>
      <c r="BF58" s="380">
        <f>2864.7+1290-2221.8+0.1</f>
        <v>1932.9999999999995</v>
      </c>
      <c r="BG58" s="377">
        <f>BG60</f>
        <v>368.3</v>
      </c>
      <c r="BH58" s="377">
        <f>BH60</f>
        <v>19.05328504914641</v>
      </c>
      <c r="BI58" s="478"/>
      <c r="BJ58" s="479"/>
      <c r="BK58" s="374">
        <f t="shared" si="16"/>
        <v>2055.2999999999993</v>
      </c>
      <c r="BL58" s="374">
        <f t="shared" si="17"/>
        <v>2055.2999999999993</v>
      </c>
      <c r="BM58" s="750" t="s">
        <v>167</v>
      </c>
      <c r="BN58" s="753" t="s">
        <v>168</v>
      </c>
    </row>
    <row r="59" spans="1:66" ht="25.5" customHeight="1" thickBot="1">
      <c r="A59" s="704"/>
      <c r="B59" s="810"/>
      <c r="C59" s="695"/>
      <c r="D59" s="698"/>
      <c r="E59" s="375" t="s">
        <v>74</v>
      </c>
      <c r="F59" s="376">
        <f>AN59</f>
        <v>1154.3</v>
      </c>
      <c r="G59" s="377">
        <f>AO59</f>
        <v>1154.3</v>
      </c>
      <c r="H59" s="385">
        <v>100</v>
      </c>
      <c r="I59" s="376">
        <f>I60</f>
        <v>0</v>
      </c>
      <c r="J59" s="377">
        <f>J60</f>
        <v>0</v>
      </c>
      <c r="K59" s="379">
        <f>K60</f>
        <v>0</v>
      </c>
      <c r="L59" s="376">
        <v>0</v>
      </c>
      <c r="M59" s="377">
        <v>0</v>
      </c>
      <c r="N59" s="379">
        <v>0</v>
      </c>
      <c r="O59" s="376">
        <v>0</v>
      </c>
      <c r="P59" s="377">
        <v>0</v>
      </c>
      <c r="Q59" s="366">
        <v>0</v>
      </c>
      <c r="R59" s="380">
        <f t="shared" si="29"/>
        <v>1033</v>
      </c>
      <c r="S59" s="377">
        <f t="shared" si="29"/>
        <v>943</v>
      </c>
      <c r="T59" s="377">
        <f t="shared" si="29"/>
        <v>91.28751210067763</v>
      </c>
      <c r="U59" s="345">
        <f t="shared" si="10"/>
        <v>0</v>
      </c>
      <c r="V59" s="346">
        <f t="shared" si="11"/>
        <v>0</v>
      </c>
      <c r="W59" s="376">
        <v>0</v>
      </c>
      <c r="X59" s="377">
        <v>0</v>
      </c>
      <c r="Y59" s="379">
        <v>0</v>
      </c>
      <c r="Z59" s="376">
        <v>0</v>
      </c>
      <c r="AA59" s="377">
        <v>0</v>
      </c>
      <c r="AB59" s="379">
        <v>0</v>
      </c>
      <c r="AC59" s="376">
        <v>0</v>
      </c>
      <c r="AD59" s="377">
        <v>0</v>
      </c>
      <c r="AE59" s="379">
        <v>0</v>
      </c>
      <c r="AF59" s="380">
        <f t="shared" si="30"/>
        <v>1628.1</v>
      </c>
      <c r="AG59" s="377">
        <f t="shared" si="30"/>
        <v>1576.1</v>
      </c>
      <c r="AH59" s="377">
        <f t="shared" si="30"/>
        <v>0</v>
      </c>
      <c r="AI59" s="345">
        <f t="shared" si="12"/>
        <v>0</v>
      </c>
      <c r="AJ59" s="346">
        <f t="shared" si="13"/>
        <v>0</v>
      </c>
      <c r="AK59" s="376">
        <v>0</v>
      </c>
      <c r="AL59" s="377">
        <v>0</v>
      </c>
      <c r="AM59" s="379">
        <v>0</v>
      </c>
      <c r="AN59" s="376">
        <v>1154.3</v>
      </c>
      <c r="AO59" s="377">
        <v>1154.3</v>
      </c>
      <c r="AP59" s="379">
        <v>100</v>
      </c>
      <c r="AQ59" s="376">
        <v>0</v>
      </c>
      <c r="AR59" s="377">
        <v>0</v>
      </c>
      <c r="AS59" s="379">
        <v>0</v>
      </c>
      <c r="AT59" s="380">
        <f t="shared" si="31"/>
        <v>3013.8999999999996</v>
      </c>
      <c r="AU59" s="377">
        <f t="shared" si="31"/>
        <v>2997.2</v>
      </c>
      <c r="AV59" s="377">
        <f t="shared" si="31"/>
        <v>0</v>
      </c>
      <c r="AW59" s="345">
        <f t="shared" si="14"/>
        <v>1154.3</v>
      </c>
      <c r="AX59" s="346">
        <f t="shared" si="15"/>
        <v>1154.3</v>
      </c>
      <c r="AY59" s="376">
        <v>0</v>
      </c>
      <c r="AZ59" s="377">
        <v>0</v>
      </c>
      <c r="BA59" s="379">
        <v>0</v>
      </c>
      <c r="BB59" s="376">
        <v>0</v>
      </c>
      <c r="BC59" s="377">
        <v>0</v>
      </c>
      <c r="BD59" s="377">
        <f>BD60</f>
        <v>0</v>
      </c>
      <c r="BE59" s="379">
        <v>0</v>
      </c>
      <c r="BF59" s="380">
        <v>0</v>
      </c>
      <c r="BG59" s="377">
        <v>0</v>
      </c>
      <c r="BH59" s="377">
        <v>0</v>
      </c>
      <c r="BI59" s="437">
        <f>AT59+AY59+BB59+BF59</f>
        <v>3013.8999999999996</v>
      </c>
      <c r="BJ59" s="438">
        <f>AU59+AZ59+BC59+BG59</f>
        <v>2997.2</v>
      </c>
      <c r="BK59" s="374">
        <f t="shared" si="16"/>
        <v>0</v>
      </c>
      <c r="BL59" s="374">
        <f t="shared" si="17"/>
        <v>0</v>
      </c>
      <c r="BM59" s="751"/>
      <c r="BN59" s="754"/>
    </row>
    <row r="60" spans="1:66" ht="19.5" customHeight="1" thickBot="1">
      <c r="A60" s="705"/>
      <c r="B60" s="811"/>
      <c r="C60" s="696"/>
      <c r="D60" s="699"/>
      <c r="E60" s="384" t="s">
        <v>27</v>
      </c>
      <c r="F60" s="267">
        <f>O60+W60+Z60+AC60+AK60+AN60+BB60+AY60+BF60</f>
        <v>5069.199999999999</v>
      </c>
      <c r="G60" s="361">
        <f>S60+X60+AA60+AD60+AL60+AO60+AR60+AZ60+BC60+BG60</f>
        <v>3494.6</v>
      </c>
      <c r="H60" s="390">
        <f>G60/F60*100</f>
        <v>68.93789947131698</v>
      </c>
      <c r="I60" s="389">
        <v>0</v>
      </c>
      <c r="J60" s="361">
        <v>0</v>
      </c>
      <c r="K60" s="391">
        <v>0</v>
      </c>
      <c r="L60" s="389">
        <v>0</v>
      </c>
      <c r="M60" s="361">
        <v>0</v>
      </c>
      <c r="N60" s="391">
        <v>0</v>
      </c>
      <c r="O60" s="407">
        <v>1033</v>
      </c>
      <c r="P60" s="408">
        <v>943</v>
      </c>
      <c r="Q60" s="409">
        <f>P60/O60*100</f>
        <v>91.28751210067763</v>
      </c>
      <c r="R60" s="392">
        <f>I60+L60+O60</f>
        <v>1033</v>
      </c>
      <c r="S60" s="361">
        <f>J60+M60+P60</f>
        <v>943</v>
      </c>
      <c r="T60" s="361">
        <f>S60/R60*100</f>
        <v>91.28751210067763</v>
      </c>
      <c r="U60" s="345">
        <f t="shared" si="10"/>
        <v>1033</v>
      </c>
      <c r="V60" s="346">
        <f t="shared" si="11"/>
        <v>1033</v>
      </c>
      <c r="W60" s="389">
        <f>595.1-530</f>
        <v>65.10000000000002</v>
      </c>
      <c r="X60" s="361">
        <f>X58</f>
        <v>60</v>
      </c>
      <c r="Y60" s="391">
        <f>Y58</f>
        <v>92.16589861751149</v>
      </c>
      <c r="Z60" s="389">
        <f>530-22</f>
        <v>508</v>
      </c>
      <c r="AA60" s="361">
        <v>573.1</v>
      </c>
      <c r="AB60" s="391">
        <f>AA60/Z60*100</f>
        <v>112.81496062992127</v>
      </c>
      <c r="AC60" s="389">
        <f>AC58</f>
        <v>22</v>
      </c>
      <c r="AD60" s="361">
        <v>0</v>
      </c>
      <c r="AE60" s="391">
        <v>0</v>
      </c>
      <c r="AF60" s="392">
        <f>R60+W60+Z60+AC60</f>
        <v>1628.1</v>
      </c>
      <c r="AG60" s="426">
        <f>S60+X60+AA60+AD60</f>
        <v>1576.1</v>
      </c>
      <c r="AH60" s="426"/>
      <c r="AI60" s="345">
        <f t="shared" si="12"/>
        <v>595.1</v>
      </c>
      <c r="AJ60" s="346">
        <f t="shared" si="13"/>
        <v>595.1</v>
      </c>
      <c r="AK60" s="389">
        <v>0</v>
      </c>
      <c r="AL60" s="361">
        <v>48</v>
      </c>
      <c r="AM60" s="391">
        <v>0</v>
      </c>
      <c r="AN60" s="389">
        <v>1385.8</v>
      </c>
      <c r="AO60" s="361">
        <v>1373.1</v>
      </c>
      <c r="AP60" s="391">
        <f>AO60/AN60*100</f>
        <v>99.08356184153557</v>
      </c>
      <c r="AQ60" s="389">
        <v>0</v>
      </c>
      <c r="AR60" s="361">
        <v>0</v>
      </c>
      <c r="AS60" s="391">
        <v>0</v>
      </c>
      <c r="AT60" s="392">
        <f>AF60+AK60+AN60+AQ60</f>
        <v>3013.8999999999996</v>
      </c>
      <c r="AU60" s="426">
        <f>AG60+AL60+AO60+AR60</f>
        <v>2997.2</v>
      </c>
      <c r="AV60" s="426"/>
      <c r="AW60" s="345">
        <f t="shared" si="14"/>
        <v>1385.8</v>
      </c>
      <c r="AX60" s="346">
        <f t="shared" si="15"/>
        <v>1385.8</v>
      </c>
      <c r="AY60" s="389">
        <v>47</v>
      </c>
      <c r="AZ60" s="361">
        <v>60</v>
      </c>
      <c r="BA60" s="391">
        <f>AZ60/AY60*100</f>
        <v>127.65957446808511</v>
      </c>
      <c r="BB60" s="389">
        <f>BB58</f>
        <v>75.29999999999995</v>
      </c>
      <c r="BC60" s="361">
        <v>69.1</v>
      </c>
      <c r="BD60" s="361"/>
      <c r="BE60" s="391">
        <f>BC60/BB60*100</f>
        <v>91.76626826029222</v>
      </c>
      <c r="BF60" s="392">
        <f>BF58</f>
        <v>1932.9999999999995</v>
      </c>
      <c r="BG60" s="361">
        <v>368.3</v>
      </c>
      <c r="BH60" s="361">
        <f>BG60/BF60*100</f>
        <v>19.05328504914641</v>
      </c>
      <c r="BI60" s="397">
        <f>AT60+AY60+BB60+BF60</f>
        <v>5069.199999999999</v>
      </c>
      <c r="BJ60" s="398">
        <f>AU60+AZ60+BC60+BG60</f>
        <v>3494.6</v>
      </c>
      <c r="BK60" s="374">
        <f t="shared" si="16"/>
        <v>2055.2999999999993</v>
      </c>
      <c r="BL60" s="374">
        <f t="shared" si="17"/>
        <v>2055.2999999999993</v>
      </c>
      <c r="BM60" s="752"/>
      <c r="BN60" s="755"/>
    </row>
    <row r="61" spans="1:66" ht="13.5" thickBot="1">
      <c r="A61" s="802" t="s">
        <v>104</v>
      </c>
      <c r="B61" s="809" t="s">
        <v>115</v>
      </c>
      <c r="C61" s="812" t="s">
        <v>48</v>
      </c>
      <c r="D61" s="801" t="s">
        <v>81</v>
      </c>
      <c r="E61" s="395" t="s">
        <v>73</v>
      </c>
      <c r="F61" s="367">
        <f>F62+F63</f>
        <v>4033.6</v>
      </c>
      <c r="G61" s="368">
        <f>G62+G63</f>
        <v>4018.1</v>
      </c>
      <c r="H61" s="477">
        <f>G61/F61*100</f>
        <v>99.61572788575963</v>
      </c>
      <c r="I61" s="376">
        <f aca="true" t="shared" si="32" ref="I61:K62">I62</f>
        <v>0</v>
      </c>
      <c r="J61" s="377">
        <f t="shared" si="32"/>
        <v>0</v>
      </c>
      <c r="K61" s="379">
        <f t="shared" si="32"/>
        <v>0</v>
      </c>
      <c r="L61" s="376">
        <f>L63</f>
        <v>320</v>
      </c>
      <c r="M61" s="377">
        <f>M63</f>
        <v>313.2</v>
      </c>
      <c r="N61" s="385">
        <f>N63</f>
        <v>97.875</v>
      </c>
      <c r="O61" s="367">
        <f>O63</f>
        <v>320</v>
      </c>
      <c r="P61" s="368">
        <v>311.9</v>
      </c>
      <c r="Q61" s="369">
        <f>Q63</f>
        <v>97.46875</v>
      </c>
      <c r="R61" s="380">
        <f t="shared" si="29"/>
        <v>640</v>
      </c>
      <c r="S61" s="377">
        <f t="shared" si="29"/>
        <v>625.0999999999999</v>
      </c>
      <c r="T61" s="377">
        <f t="shared" si="29"/>
        <v>97.67187499999999</v>
      </c>
      <c r="U61" s="345">
        <f t="shared" si="10"/>
        <v>640</v>
      </c>
      <c r="V61" s="346">
        <f t="shared" si="11"/>
        <v>640</v>
      </c>
      <c r="W61" s="376">
        <v>328</v>
      </c>
      <c r="X61" s="377">
        <v>327.6</v>
      </c>
      <c r="Y61" s="379">
        <f>X61/W61*100</f>
        <v>99.87804878048782</v>
      </c>
      <c r="Z61" s="376">
        <v>312</v>
      </c>
      <c r="AA61" s="377">
        <v>317.2</v>
      </c>
      <c r="AB61" s="379">
        <f>AB63</f>
        <v>101.66666666666666</v>
      </c>
      <c r="AC61" s="376">
        <v>320</v>
      </c>
      <c r="AD61" s="377">
        <v>317.2</v>
      </c>
      <c r="AE61" s="379">
        <f>AD61/AC61*100</f>
        <v>99.125</v>
      </c>
      <c r="AF61" s="380">
        <f t="shared" si="30"/>
        <v>1600</v>
      </c>
      <c r="AG61" s="377">
        <f t="shared" si="30"/>
        <v>1587.1</v>
      </c>
      <c r="AH61" s="377">
        <f t="shared" si="30"/>
        <v>0</v>
      </c>
      <c r="AI61" s="345">
        <f>W61+Z61+AC61</f>
        <v>960</v>
      </c>
      <c r="AJ61" s="346">
        <f>W61+Z61+AC61</f>
        <v>960</v>
      </c>
      <c r="AK61" s="367">
        <v>400</v>
      </c>
      <c r="AL61" s="368">
        <v>394.1</v>
      </c>
      <c r="AM61" s="369">
        <f>AM63</f>
        <v>98.525</v>
      </c>
      <c r="AN61" s="367">
        <f>AN63</f>
        <v>333</v>
      </c>
      <c r="AO61" s="368">
        <f>AO63</f>
        <v>333</v>
      </c>
      <c r="AP61" s="369">
        <v>100</v>
      </c>
      <c r="AQ61" s="367">
        <f>AQ63</f>
        <v>365</v>
      </c>
      <c r="AR61" s="368">
        <f>AR63</f>
        <v>376.2</v>
      </c>
      <c r="AS61" s="369">
        <f>AS63</f>
        <v>103.06849315068493</v>
      </c>
      <c r="AT61" s="380">
        <f t="shared" si="31"/>
        <v>2698</v>
      </c>
      <c r="AU61" s="377">
        <f t="shared" si="31"/>
        <v>2690.3999999999996</v>
      </c>
      <c r="AV61" s="377">
        <f t="shared" si="31"/>
        <v>0</v>
      </c>
      <c r="AW61" s="345">
        <f>AK61+AN61+AQ61</f>
        <v>1098</v>
      </c>
      <c r="AX61" s="346">
        <f>AK61+AN61+AQ61</f>
        <v>1098</v>
      </c>
      <c r="AY61" s="367">
        <v>325</v>
      </c>
      <c r="AZ61" s="368">
        <f>AZ63</f>
        <v>326.3</v>
      </c>
      <c r="BA61" s="369">
        <f>BA63</f>
        <v>100.4</v>
      </c>
      <c r="BB61" s="367">
        <f>315+15</f>
        <v>330</v>
      </c>
      <c r="BC61" s="368">
        <v>326.9</v>
      </c>
      <c r="BD61" s="368"/>
      <c r="BE61" s="369">
        <f>BE63</f>
        <v>99.06060606060605</v>
      </c>
      <c r="BF61" s="367">
        <f>605.5-138-15+228.1</f>
        <v>680.6</v>
      </c>
      <c r="BG61" s="368">
        <f>BG63</f>
        <v>674.5</v>
      </c>
      <c r="BH61" s="369">
        <f>BH63</f>
        <v>99.10373200117543</v>
      </c>
      <c r="BI61" s="478"/>
      <c r="BJ61" s="479"/>
      <c r="BK61" s="374">
        <f t="shared" si="16"/>
        <v>1335.6</v>
      </c>
      <c r="BL61" s="374">
        <f t="shared" si="17"/>
        <v>1335.6</v>
      </c>
      <c r="BM61" s="744" t="s">
        <v>170</v>
      </c>
      <c r="BN61" s="747" t="s">
        <v>171</v>
      </c>
    </row>
    <row r="62" spans="1:66" ht="24.75" customHeight="1" thickBot="1">
      <c r="A62" s="704"/>
      <c r="B62" s="810"/>
      <c r="C62" s="695"/>
      <c r="D62" s="698"/>
      <c r="E62" s="375" t="s">
        <v>74</v>
      </c>
      <c r="F62" s="376">
        <v>0</v>
      </c>
      <c r="G62" s="377">
        <f>M62+P62+X62</f>
        <v>0</v>
      </c>
      <c r="H62" s="385">
        <v>0</v>
      </c>
      <c r="I62" s="376">
        <f t="shared" si="32"/>
        <v>0</v>
      </c>
      <c r="J62" s="377">
        <f t="shared" si="32"/>
        <v>0</v>
      </c>
      <c r="K62" s="379">
        <f t="shared" si="32"/>
        <v>0</v>
      </c>
      <c r="L62" s="376">
        <v>0</v>
      </c>
      <c r="M62" s="377">
        <v>0</v>
      </c>
      <c r="N62" s="385">
        <v>0</v>
      </c>
      <c r="O62" s="376">
        <v>0</v>
      </c>
      <c r="P62" s="377">
        <v>0</v>
      </c>
      <c r="Q62" s="379">
        <v>0</v>
      </c>
      <c r="R62" s="380">
        <f t="shared" si="29"/>
        <v>640</v>
      </c>
      <c r="S62" s="377">
        <f t="shared" si="29"/>
        <v>625.0999999999999</v>
      </c>
      <c r="T62" s="377">
        <f t="shared" si="29"/>
        <v>97.67187499999999</v>
      </c>
      <c r="U62" s="345">
        <f t="shared" si="10"/>
        <v>0</v>
      </c>
      <c r="V62" s="346">
        <f t="shared" si="11"/>
        <v>0</v>
      </c>
      <c r="W62" s="376">
        <v>0</v>
      </c>
      <c r="X62" s="377">
        <v>0</v>
      </c>
      <c r="Y62" s="379">
        <v>0</v>
      </c>
      <c r="Z62" s="376">
        <v>0</v>
      </c>
      <c r="AA62" s="377">
        <v>0</v>
      </c>
      <c r="AB62" s="379">
        <v>0</v>
      </c>
      <c r="AC62" s="376">
        <v>0</v>
      </c>
      <c r="AD62" s="377">
        <v>0</v>
      </c>
      <c r="AE62" s="379">
        <v>0</v>
      </c>
      <c r="AF62" s="380">
        <f t="shared" si="30"/>
        <v>1600</v>
      </c>
      <c r="AG62" s="377">
        <f t="shared" si="30"/>
        <v>1587.1</v>
      </c>
      <c r="AH62" s="377">
        <f t="shared" si="30"/>
        <v>0</v>
      </c>
      <c r="AI62" s="345">
        <f>W62+Z62+AC62</f>
        <v>0</v>
      </c>
      <c r="AJ62" s="346">
        <f>W62+Z62+AC62</f>
        <v>0</v>
      </c>
      <c r="AK62" s="376">
        <v>0</v>
      </c>
      <c r="AL62" s="377">
        <v>0</v>
      </c>
      <c r="AM62" s="379">
        <v>0</v>
      </c>
      <c r="AN62" s="376">
        <v>0</v>
      </c>
      <c r="AO62" s="377">
        <v>0</v>
      </c>
      <c r="AP62" s="379">
        <v>0</v>
      </c>
      <c r="AQ62" s="376">
        <v>0</v>
      </c>
      <c r="AR62" s="377">
        <v>0</v>
      </c>
      <c r="AS62" s="379">
        <v>0</v>
      </c>
      <c r="AT62" s="380">
        <f t="shared" si="31"/>
        <v>2698</v>
      </c>
      <c r="AU62" s="377">
        <f t="shared" si="31"/>
        <v>2690.3999999999996</v>
      </c>
      <c r="AV62" s="377">
        <f t="shared" si="31"/>
        <v>0</v>
      </c>
      <c r="AW62" s="345">
        <f>AK62+AN62+AQ62</f>
        <v>0</v>
      </c>
      <c r="AX62" s="346">
        <f>AK62+AN62+AQ62</f>
        <v>0</v>
      </c>
      <c r="AY62" s="376">
        <v>0</v>
      </c>
      <c r="AZ62" s="377">
        <v>0</v>
      </c>
      <c r="BA62" s="379">
        <v>0</v>
      </c>
      <c r="BB62" s="376">
        <v>0</v>
      </c>
      <c r="BC62" s="377">
        <v>0</v>
      </c>
      <c r="BD62" s="377"/>
      <c r="BE62" s="379">
        <v>0</v>
      </c>
      <c r="BF62" s="376">
        <v>0</v>
      </c>
      <c r="BG62" s="377">
        <v>0</v>
      </c>
      <c r="BH62" s="379">
        <v>0</v>
      </c>
      <c r="BI62" s="437">
        <f>AT62+AY62+BB62+BF62</f>
        <v>2698</v>
      </c>
      <c r="BJ62" s="438">
        <f>AU62+AZ62+BC62+BG62</f>
        <v>2690.3999999999996</v>
      </c>
      <c r="BK62" s="374">
        <f t="shared" si="16"/>
        <v>0</v>
      </c>
      <c r="BL62" s="374">
        <f t="shared" si="17"/>
        <v>0</v>
      </c>
      <c r="BM62" s="745"/>
      <c r="BN62" s="748"/>
    </row>
    <row r="63" spans="1:66" ht="39" customHeight="1" thickBot="1">
      <c r="A63" s="705"/>
      <c r="B63" s="811"/>
      <c r="C63" s="696"/>
      <c r="D63" s="699"/>
      <c r="E63" s="384" t="s">
        <v>27</v>
      </c>
      <c r="F63" s="389">
        <f>L63+O63+W63+Z63+AC63+AK63+AN63+AQ63+AY63+BB63+BF63</f>
        <v>4033.6</v>
      </c>
      <c r="G63" s="361">
        <f>S63+X63+AA63+AD63+AL63+AO63+AR63+AZ63+BC63+BG63</f>
        <v>4018.1</v>
      </c>
      <c r="H63" s="390">
        <f>G63/F63*100</f>
        <v>99.61572788575963</v>
      </c>
      <c r="I63" s="389">
        <v>0</v>
      </c>
      <c r="J63" s="361">
        <v>0</v>
      </c>
      <c r="K63" s="391">
        <v>0</v>
      </c>
      <c r="L63" s="389">
        <v>320</v>
      </c>
      <c r="M63" s="361">
        <v>313.2</v>
      </c>
      <c r="N63" s="390">
        <f>M63/L63*100</f>
        <v>97.875</v>
      </c>
      <c r="O63" s="389">
        <v>320</v>
      </c>
      <c r="P63" s="361">
        <f>P61</f>
        <v>311.9</v>
      </c>
      <c r="Q63" s="391">
        <f>P63/O63*100</f>
        <v>97.46875</v>
      </c>
      <c r="R63" s="392">
        <f>I63+L63+O63</f>
        <v>640</v>
      </c>
      <c r="S63" s="361">
        <f>J63+M63+P63</f>
        <v>625.0999999999999</v>
      </c>
      <c r="T63" s="361">
        <f>S63/R63*100</f>
        <v>97.67187499999999</v>
      </c>
      <c r="U63" s="357">
        <f t="shared" si="10"/>
        <v>640</v>
      </c>
      <c r="V63" s="358">
        <f t="shared" si="11"/>
        <v>640</v>
      </c>
      <c r="W63" s="389">
        <v>328</v>
      </c>
      <c r="X63" s="361">
        <f>X61</f>
        <v>327.6</v>
      </c>
      <c r="Y63" s="391">
        <f>Y61</f>
        <v>99.87804878048782</v>
      </c>
      <c r="Z63" s="389">
        <f>Z61</f>
        <v>312</v>
      </c>
      <c r="AA63" s="361">
        <v>317.2</v>
      </c>
      <c r="AB63" s="391">
        <f>AA63/Z63*100</f>
        <v>101.66666666666666</v>
      </c>
      <c r="AC63" s="389">
        <v>320</v>
      </c>
      <c r="AD63" s="361">
        <f>AD61</f>
        <v>317.2</v>
      </c>
      <c r="AE63" s="391">
        <f>AE61</f>
        <v>99.125</v>
      </c>
      <c r="AF63" s="392">
        <f>R63+W63+Z63+AC63</f>
        <v>1600</v>
      </c>
      <c r="AG63" s="426">
        <f>S63+X63+AA63+AD63</f>
        <v>1587.1</v>
      </c>
      <c r="AH63" s="426"/>
      <c r="AI63" s="345">
        <f>W63+Z63+AC63</f>
        <v>960</v>
      </c>
      <c r="AJ63" s="346">
        <f>W63+Z63+AC63</f>
        <v>960</v>
      </c>
      <c r="AK63" s="389">
        <v>400</v>
      </c>
      <c r="AL63" s="361">
        <f>AL61</f>
        <v>394.1</v>
      </c>
      <c r="AM63" s="391">
        <f>AL63/AK63*100</f>
        <v>98.525</v>
      </c>
      <c r="AN63" s="389">
        <v>333</v>
      </c>
      <c r="AO63" s="361">
        <v>333</v>
      </c>
      <c r="AP63" s="391">
        <v>100</v>
      </c>
      <c r="AQ63" s="389">
        <f>240-13+138</f>
        <v>365</v>
      </c>
      <c r="AR63" s="361">
        <v>376.2</v>
      </c>
      <c r="AS63" s="391">
        <f>AR63/AQ63*100</f>
        <v>103.06849315068493</v>
      </c>
      <c r="AT63" s="392">
        <f>AF63+AK63+AN63+AQ63</f>
        <v>2698</v>
      </c>
      <c r="AU63" s="426">
        <f>AG63+AL63+AO63+AR63</f>
        <v>2690.3999999999996</v>
      </c>
      <c r="AV63" s="426"/>
      <c r="AW63" s="357">
        <f>AK63+AN63+AQ63</f>
        <v>1098</v>
      </c>
      <c r="AX63" s="358">
        <f>AK63+AN63+AQ63</f>
        <v>1098</v>
      </c>
      <c r="AY63" s="389">
        <f>AY61</f>
        <v>325</v>
      </c>
      <c r="AZ63" s="361">
        <v>326.3</v>
      </c>
      <c r="BA63" s="391">
        <f>AZ63/AY63*100</f>
        <v>100.4</v>
      </c>
      <c r="BB63" s="389">
        <f>BB61</f>
        <v>330</v>
      </c>
      <c r="BC63" s="361">
        <v>326.9</v>
      </c>
      <c r="BD63" s="361"/>
      <c r="BE63" s="391">
        <f>BC63/BB63*100</f>
        <v>99.06060606060605</v>
      </c>
      <c r="BF63" s="389">
        <f>BF61</f>
        <v>680.6</v>
      </c>
      <c r="BG63" s="361">
        <v>674.5</v>
      </c>
      <c r="BH63" s="391">
        <f>BG63/BF63*100</f>
        <v>99.10373200117543</v>
      </c>
      <c r="BI63" s="397">
        <f>AT63+AY63+BB63+BF63</f>
        <v>4033.6</v>
      </c>
      <c r="BJ63" s="398">
        <f>AU63+AZ63+BC63+BG63</f>
        <v>4018.1</v>
      </c>
      <c r="BK63" s="454">
        <f t="shared" si="16"/>
        <v>1335.6</v>
      </c>
      <c r="BL63" s="454">
        <f t="shared" si="17"/>
        <v>1335.6</v>
      </c>
      <c r="BM63" s="746"/>
      <c r="BN63" s="749"/>
    </row>
    <row r="64" spans="1:66" ht="13.5" hidden="1" thickBot="1">
      <c r="A64" s="336" t="s">
        <v>80</v>
      </c>
      <c r="B64" s="282" t="s">
        <v>82</v>
      </c>
      <c r="C64" s="710" t="s">
        <v>83</v>
      </c>
      <c r="D64" s="711"/>
      <c r="E64" s="711"/>
      <c r="F64" s="711"/>
      <c r="G64" s="711"/>
      <c r="H64" s="711"/>
      <c r="I64" s="711"/>
      <c r="J64" s="711"/>
      <c r="K64" s="711"/>
      <c r="L64" s="711"/>
      <c r="M64" s="711"/>
      <c r="N64" s="711"/>
      <c r="O64" s="711"/>
      <c r="P64" s="711"/>
      <c r="Q64" s="711"/>
      <c r="R64" s="711"/>
      <c r="S64" s="711"/>
      <c r="T64" s="711"/>
      <c r="U64" s="711"/>
      <c r="V64" s="711"/>
      <c r="W64" s="711"/>
      <c r="X64" s="711"/>
      <c r="Y64" s="711"/>
      <c r="Z64" s="711"/>
      <c r="AA64" s="711"/>
      <c r="AB64" s="711"/>
      <c r="AC64" s="711"/>
      <c r="AD64" s="711"/>
      <c r="AE64" s="711"/>
      <c r="AF64" s="711"/>
      <c r="AG64" s="711"/>
      <c r="AH64" s="711"/>
      <c r="AI64" s="711"/>
      <c r="AJ64" s="711"/>
      <c r="AK64" s="711"/>
      <c r="AL64" s="711"/>
      <c r="AM64" s="711"/>
      <c r="AN64" s="711"/>
      <c r="AO64" s="711"/>
      <c r="AP64" s="711"/>
      <c r="AQ64" s="711"/>
      <c r="AR64" s="711"/>
      <c r="AS64" s="711"/>
      <c r="AT64" s="711"/>
      <c r="AU64" s="711"/>
      <c r="AV64" s="711"/>
      <c r="AW64" s="711"/>
      <c r="AX64" s="711"/>
      <c r="AY64" s="711"/>
      <c r="AZ64" s="711"/>
      <c r="BA64" s="711"/>
      <c r="BB64" s="711"/>
      <c r="BC64" s="711"/>
      <c r="BD64" s="711"/>
      <c r="BE64" s="711"/>
      <c r="BF64" s="711"/>
      <c r="BG64" s="711"/>
      <c r="BH64" s="712"/>
      <c r="BI64" s="382"/>
      <c r="BJ64" s="383"/>
      <c r="BK64" s="481"/>
      <c r="BL64" s="481"/>
      <c r="BM64" s="467"/>
      <c r="BN64" s="265"/>
    </row>
    <row r="65" spans="1:66" ht="13.5" customHeight="1">
      <c r="A65" s="704" t="s">
        <v>132</v>
      </c>
      <c r="B65" s="837" t="s">
        <v>175</v>
      </c>
      <c r="C65" s="706" t="s">
        <v>48</v>
      </c>
      <c r="D65" s="480"/>
      <c r="E65" s="395" t="s">
        <v>73</v>
      </c>
      <c r="F65" s="482">
        <f>AQ65</f>
        <v>310.2</v>
      </c>
      <c r="G65" s="483">
        <f>BG65</f>
        <v>256.2</v>
      </c>
      <c r="H65" s="484">
        <f>G65/F65*100</f>
        <v>82.59187620889749</v>
      </c>
      <c r="I65" s="482">
        <v>0</v>
      </c>
      <c r="J65" s="485">
        <v>0</v>
      </c>
      <c r="K65" s="486">
        <v>0</v>
      </c>
      <c r="L65" s="482">
        <v>0</v>
      </c>
      <c r="M65" s="485">
        <v>0</v>
      </c>
      <c r="N65" s="486">
        <v>0</v>
      </c>
      <c r="O65" s="482">
        <v>0</v>
      </c>
      <c r="P65" s="485">
        <v>0</v>
      </c>
      <c r="Q65" s="486">
        <v>0</v>
      </c>
      <c r="R65" s="487">
        <v>0</v>
      </c>
      <c r="S65" s="487">
        <v>0</v>
      </c>
      <c r="T65" s="487">
        <v>0</v>
      </c>
      <c r="U65" s="487">
        <v>0</v>
      </c>
      <c r="V65" s="488">
        <v>0</v>
      </c>
      <c r="W65" s="482">
        <v>0</v>
      </c>
      <c r="X65" s="485">
        <v>0</v>
      </c>
      <c r="Y65" s="486">
        <v>0</v>
      </c>
      <c r="Z65" s="482">
        <v>0</v>
      </c>
      <c r="AA65" s="485">
        <v>0</v>
      </c>
      <c r="AB65" s="486">
        <v>0</v>
      </c>
      <c r="AC65" s="482">
        <v>0</v>
      </c>
      <c r="AD65" s="485">
        <v>0</v>
      </c>
      <c r="AE65" s="486">
        <v>0</v>
      </c>
      <c r="AF65" s="487">
        <v>0</v>
      </c>
      <c r="AG65" s="487">
        <v>0</v>
      </c>
      <c r="AH65" s="487">
        <v>0</v>
      </c>
      <c r="AI65" s="487">
        <v>0</v>
      </c>
      <c r="AJ65" s="488">
        <v>0</v>
      </c>
      <c r="AK65" s="482">
        <v>0</v>
      </c>
      <c r="AL65" s="485">
        <v>0</v>
      </c>
      <c r="AM65" s="486">
        <v>0</v>
      </c>
      <c r="AN65" s="482">
        <v>0</v>
      </c>
      <c r="AO65" s="485">
        <v>0</v>
      </c>
      <c r="AP65" s="486">
        <v>0</v>
      </c>
      <c r="AQ65" s="482">
        <f>AQ67</f>
        <v>310.2</v>
      </c>
      <c r="AR65" s="485">
        <v>0</v>
      </c>
      <c r="AS65" s="486">
        <v>0</v>
      </c>
      <c r="AT65" s="487">
        <v>0</v>
      </c>
      <c r="AU65" s="487">
        <v>0</v>
      </c>
      <c r="AV65" s="487">
        <v>0</v>
      </c>
      <c r="AW65" s="487">
        <v>0</v>
      </c>
      <c r="AX65" s="488">
        <f>AQ65</f>
        <v>310.2</v>
      </c>
      <c r="AY65" s="482">
        <v>0</v>
      </c>
      <c r="AZ65" s="485">
        <v>0</v>
      </c>
      <c r="BA65" s="486">
        <v>0</v>
      </c>
      <c r="BB65" s="482">
        <v>0</v>
      </c>
      <c r="BC65" s="485">
        <v>0</v>
      </c>
      <c r="BD65" s="485">
        <v>0</v>
      </c>
      <c r="BE65" s="486">
        <v>0</v>
      </c>
      <c r="BF65" s="487">
        <v>0</v>
      </c>
      <c r="BG65" s="487">
        <f>BG67</f>
        <v>256.2</v>
      </c>
      <c r="BH65" s="487">
        <v>0</v>
      </c>
      <c r="BI65" s="382"/>
      <c r="BJ65" s="383"/>
      <c r="BK65" s="481"/>
      <c r="BL65" s="481"/>
      <c r="BM65" s="745" t="s">
        <v>169</v>
      </c>
      <c r="BN65" s="748" t="s">
        <v>141</v>
      </c>
    </row>
    <row r="66" spans="1:66" ht="27.75" customHeight="1">
      <c r="A66" s="704"/>
      <c r="B66" s="837"/>
      <c r="C66" s="707"/>
      <c r="D66" s="480"/>
      <c r="E66" s="375" t="s">
        <v>74</v>
      </c>
      <c r="F66" s="489">
        <f>AQ66</f>
        <v>0</v>
      </c>
      <c r="G66" s="464">
        <f>BG66</f>
        <v>0</v>
      </c>
      <c r="H66" s="490">
        <v>0</v>
      </c>
      <c r="I66" s="489">
        <v>0</v>
      </c>
      <c r="J66" s="464">
        <v>0</v>
      </c>
      <c r="K66" s="490">
        <v>0</v>
      </c>
      <c r="L66" s="489">
        <v>0</v>
      </c>
      <c r="M66" s="464">
        <v>0</v>
      </c>
      <c r="N66" s="490">
        <v>0</v>
      </c>
      <c r="O66" s="489">
        <v>0</v>
      </c>
      <c r="P66" s="464">
        <v>0</v>
      </c>
      <c r="Q66" s="490">
        <v>0</v>
      </c>
      <c r="R66" s="487"/>
      <c r="S66" s="464"/>
      <c r="T66" s="464"/>
      <c r="U66" s="464"/>
      <c r="V66" s="491">
        <v>0</v>
      </c>
      <c r="W66" s="489">
        <v>0</v>
      </c>
      <c r="X66" s="464">
        <v>0</v>
      </c>
      <c r="Y66" s="490">
        <v>0</v>
      </c>
      <c r="Z66" s="489">
        <v>0</v>
      </c>
      <c r="AA66" s="464">
        <v>0</v>
      </c>
      <c r="AB66" s="490">
        <v>0</v>
      </c>
      <c r="AC66" s="489">
        <v>0</v>
      </c>
      <c r="AD66" s="464">
        <v>0</v>
      </c>
      <c r="AE66" s="490">
        <v>0</v>
      </c>
      <c r="AF66" s="487"/>
      <c r="AG66" s="464"/>
      <c r="AH66" s="464"/>
      <c r="AI66" s="464"/>
      <c r="AJ66" s="491">
        <v>0</v>
      </c>
      <c r="AK66" s="489">
        <v>0</v>
      </c>
      <c r="AL66" s="464">
        <v>0</v>
      </c>
      <c r="AM66" s="490">
        <v>0</v>
      </c>
      <c r="AN66" s="489">
        <v>0</v>
      </c>
      <c r="AO66" s="464">
        <v>0</v>
      </c>
      <c r="AP66" s="490">
        <v>0</v>
      </c>
      <c r="AQ66" s="489">
        <v>0</v>
      </c>
      <c r="AR66" s="464">
        <v>0</v>
      </c>
      <c r="AS66" s="490">
        <v>0</v>
      </c>
      <c r="AT66" s="487"/>
      <c r="AU66" s="464"/>
      <c r="AV66" s="464"/>
      <c r="AW66" s="464"/>
      <c r="AX66" s="491">
        <v>0</v>
      </c>
      <c r="AY66" s="489">
        <v>0</v>
      </c>
      <c r="AZ66" s="464">
        <v>0</v>
      </c>
      <c r="BA66" s="490">
        <v>0</v>
      </c>
      <c r="BB66" s="489">
        <v>0</v>
      </c>
      <c r="BC66" s="464">
        <v>0</v>
      </c>
      <c r="BD66" s="464"/>
      <c r="BE66" s="490">
        <v>0</v>
      </c>
      <c r="BF66" s="487">
        <v>0</v>
      </c>
      <c r="BG66" s="464">
        <v>0</v>
      </c>
      <c r="BH66" s="464">
        <v>0</v>
      </c>
      <c r="BI66" s="382"/>
      <c r="BJ66" s="383"/>
      <c r="BK66" s="481"/>
      <c r="BL66" s="481"/>
      <c r="BM66" s="745"/>
      <c r="BN66" s="748"/>
    </row>
    <row r="67" spans="1:66" ht="16.5" customHeight="1" thickBot="1">
      <c r="A67" s="704"/>
      <c r="B67" s="837"/>
      <c r="C67" s="707"/>
      <c r="D67" s="480"/>
      <c r="E67" s="384" t="s">
        <v>27</v>
      </c>
      <c r="F67" s="492">
        <f>AQ67</f>
        <v>310.2</v>
      </c>
      <c r="G67" s="493">
        <f>BG67</f>
        <v>256.2</v>
      </c>
      <c r="H67" s="494">
        <f>H65</f>
        <v>82.59187620889749</v>
      </c>
      <c r="I67" s="492">
        <f>I66+I65</f>
        <v>0</v>
      </c>
      <c r="J67" s="495">
        <f aca="true" t="shared" si="33" ref="J67:BF67">J66+J65</f>
        <v>0</v>
      </c>
      <c r="K67" s="496">
        <f t="shared" si="33"/>
        <v>0</v>
      </c>
      <c r="L67" s="492">
        <f t="shared" si="33"/>
        <v>0</v>
      </c>
      <c r="M67" s="495">
        <f t="shared" si="33"/>
        <v>0</v>
      </c>
      <c r="N67" s="496">
        <f t="shared" si="33"/>
        <v>0</v>
      </c>
      <c r="O67" s="492">
        <f t="shared" si="33"/>
        <v>0</v>
      </c>
      <c r="P67" s="495">
        <f t="shared" si="33"/>
        <v>0</v>
      </c>
      <c r="Q67" s="496">
        <f t="shared" si="33"/>
        <v>0</v>
      </c>
      <c r="R67" s="495">
        <f t="shared" si="33"/>
        <v>0</v>
      </c>
      <c r="S67" s="495">
        <f t="shared" si="33"/>
        <v>0</v>
      </c>
      <c r="T67" s="495">
        <f t="shared" si="33"/>
        <v>0</v>
      </c>
      <c r="U67" s="495">
        <f t="shared" si="33"/>
        <v>0</v>
      </c>
      <c r="V67" s="497">
        <f t="shared" si="33"/>
        <v>0</v>
      </c>
      <c r="W67" s="492">
        <f t="shared" si="33"/>
        <v>0</v>
      </c>
      <c r="X67" s="495">
        <f t="shared" si="33"/>
        <v>0</v>
      </c>
      <c r="Y67" s="496">
        <f t="shared" si="33"/>
        <v>0</v>
      </c>
      <c r="Z67" s="492">
        <f t="shared" si="33"/>
        <v>0</v>
      </c>
      <c r="AA67" s="495">
        <f t="shared" si="33"/>
        <v>0</v>
      </c>
      <c r="AB67" s="496">
        <f t="shared" si="33"/>
        <v>0</v>
      </c>
      <c r="AC67" s="492">
        <f t="shared" si="33"/>
        <v>0</v>
      </c>
      <c r="AD67" s="495">
        <f t="shared" si="33"/>
        <v>0</v>
      </c>
      <c r="AE67" s="496">
        <f t="shared" si="33"/>
        <v>0</v>
      </c>
      <c r="AF67" s="495">
        <f t="shared" si="33"/>
        <v>0</v>
      </c>
      <c r="AG67" s="495">
        <f t="shared" si="33"/>
        <v>0</v>
      </c>
      <c r="AH67" s="495">
        <f t="shared" si="33"/>
        <v>0</v>
      </c>
      <c r="AI67" s="495">
        <f t="shared" si="33"/>
        <v>0</v>
      </c>
      <c r="AJ67" s="497">
        <f t="shared" si="33"/>
        <v>0</v>
      </c>
      <c r="AK67" s="492">
        <f t="shared" si="33"/>
        <v>0</v>
      </c>
      <c r="AL67" s="495">
        <f t="shared" si="33"/>
        <v>0</v>
      </c>
      <c r="AM67" s="496">
        <f t="shared" si="33"/>
        <v>0</v>
      </c>
      <c r="AN67" s="492">
        <f t="shared" si="33"/>
        <v>0</v>
      </c>
      <c r="AO67" s="495">
        <f t="shared" si="33"/>
        <v>0</v>
      </c>
      <c r="AP67" s="496">
        <f t="shared" si="33"/>
        <v>0</v>
      </c>
      <c r="AQ67" s="492">
        <v>310.2</v>
      </c>
      <c r="AR67" s="495">
        <f t="shared" si="33"/>
        <v>0</v>
      </c>
      <c r="AS67" s="496">
        <f t="shared" si="33"/>
        <v>0</v>
      </c>
      <c r="AT67" s="495">
        <f t="shared" si="33"/>
        <v>0</v>
      </c>
      <c r="AU67" s="495">
        <f t="shared" si="33"/>
        <v>0</v>
      </c>
      <c r="AV67" s="495">
        <f t="shared" si="33"/>
        <v>0</v>
      </c>
      <c r="AW67" s="495">
        <f t="shared" si="33"/>
        <v>0</v>
      </c>
      <c r="AX67" s="497">
        <f>AQ67</f>
        <v>310.2</v>
      </c>
      <c r="AY67" s="492">
        <f t="shared" si="33"/>
        <v>0</v>
      </c>
      <c r="AZ67" s="495">
        <f t="shared" si="33"/>
        <v>0</v>
      </c>
      <c r="BA67" s="496">
        <f t="shared" si="33"/>
        <v>0</v>
      </c>
      <c r="BB67" s="492">
        <f t="shared" si="33"/>
        <v>0</v>
      </c>
      <c r="BC67" s="495">
        <f t="shared" si="33"/>
        <v>0</v>
      </c>
      <c r="BD67" s="495">
        <f t="shared" si="33"/>
        <v>0</v>
      </c>
      <c r="BE67" s="496">
        <f t="shared" si="33"/>
        <v>0</v>
      </c>
      <c r="BF67" s="495">
        <f t="shared" si="33"/>
        <v>0</v>
      </c>
      <c r="BG67" s="495">
        <v>256.2</v>
      </c>
      <c r="BH67" s="495">
        <v>0</v>
      </c>
      <c r="BI67" s="382"/>
      <c r="BJ67" s="383"/>
      <c r="BK67" s="481"/>
      <c r="BL67" s="481"/>
      <c r="BM67" s="745"/>
      <c r="BN67" s="748"/>
    </row>
    <row r="68" spans="1:66" ht="12.75" customHeight="1">
      <c r="A68" s="724" t="s">
        <v>80</v>
      </c>
      <c r="B68" s="803" t="s">
        <v>85</v>
      </c>
      <c r="C68" s="694" t="s">
        <v>48</v>
      </c>
      <c r="D68" s="713"/>
      <c r="E68" s="395" t="s">
        <v>73</v>
      </c>
      <c r="F68" s="331">
        <v>0</v>
      </c>
      <c r="G68" s="332">
        <f>G70</f>
        <v>0</v>
      </c>
      <c r="H68" s="334">
        <v>0</v>
      </c>
      <c r="I68" s="331">
        <v>0</v>
      </c>
      <c r="J68" s="332">
        <v>0</v>
      </c>
      <c r="K68" s="334">
        <v>0</v>
      </c>
      <c r="L68" s="335">
        <v>0</v>
      </c>
      <c r="M68" s="332">
        <v>0</v>
      </c>
      <c r="N68" s="333">
        <v>0</v>
      </c>
      <c r="O68" s="331">
        <v>0</v>
      </c>
      <c r="P68" s="332">
        <v>0</v>
      </c>
      <c r="Q68" s="334">
        <v>0</v>
      </c>
      <c r="R68" s="335" t="e">
        <f>#REF!+#REF!</f>
        <v>#REF!</v>
      </c>
      <c r="S68" s="332" t="e">
        <f>#REF!+#REF!</f>
        <v>#REF!</v>
      </c>
      <c r="T68" s="332" t="e">
        <f>#REF!+#REF!</f>
        <v>#REF!</v>
      </c>
      <c r="U68" s="332"/>
      <c r="V68" s="333">
        <v>0</v>
      </c>
      <c r="W68" s="331">
        <v>0</v>
      </c>
      <c r="X68" s="332">
        <v>0</v>
      </c>
      <c r="Y68" s="334">
        <v>0</v>
      </c>
      <c r="Z68" s="331">
        <v>0</v>
      </c>
      <c r="AA68" s="332">
        <v>0</v>
      </c>
      <c r="AB68" s="334">
        <v>0</v>
      </c>
      <c r="AC68" s="331">
        <v>0</v>
      </c>
      <c r="AD68" s="332">
        <v>0</v>
      </c>
      <c r="AE68" s="334">
        <v>0</v>
      </c>
      <c r="AF68" s="335" t="e">
        <f>#REF!+#REF!</f>
        <v>#REF!</v>
      </c>
      <c r="AG68" s="332" t="e">
        <f>#REF!+#REF!</f>
        <v>#REF!</v>
      </c>
      <c r="AH68" s="332" t="e">
        <f>#REF!+#REF!</f>
        <v>#REF!</v>
      </c>
      <c r="AI68" s="332"/>
      <c r="AJ68" s="332">
        <v>0</v>
      </c>
      <c r="AK68" s="332">
        <v>0</v>
      </c>
      <c r="AL68" s="332">
        <v>0</v>
      </c>
      <c r="AM68" s="333">
        <v>0</v>
      </c>
      <c r="AN68" s="331">
        <v>0</v>
      </c>
      <c r="AO68" s="332">
        <v>0</v>
      </c>
      <c r="AP68" s="334">
        <v>0</v>
      </c>
      <c r="AQ68" s="331">
        <v>0</v>
      </c>
      <c r="AR68" s="332">
        <v>0</v>
      </c>
      <c r="AS68" s="334">
        <v>0</v>
      </c>
      <c r="AT68" s="335" t="e">
        <f>#REF!+#REF!</f>
        <v>#REF!</v>
      </c>
      <c r="AU68" s="332" t="e">
        <f>#REF!+#REF!</f>
        <v>#REF!</v>
      </c>
      <c r="AV68" s="332" t="e">
        <f>#REF!+#REF!</f>
        <v>#REF!</v>
      </c>
      <c r="AW68" s="332"/>
      <c r="AX68" s="333"/>
      <c r="AY68" s="331">
        <v>0</v>
      </c>
      <c r="AZ68" s="332">
        <v>0</v>
      </c>
      <c r="BA68" s="333">
        <v>0</v>
      </c>
      <c r="BB68" s="331">
        <v>0</v>
      </c>
      <c r="BC68" s="332">
        <v>0</v>
      </c>
      <c r="BD68" s="332" t="e">
        <f>#REF!+#REF!</f>
        <v>#REF!</v>
      </c>
      <c r="BE68" s="334">
        <v>0</v>
      </c>
      <c r="BF68" s="335">
        <v>0</v>
      </c>
      <c r="BG68" s="332">
        <v>0</v>
      </c>
      <c r="BH68" s="334">
        <v>0</v>
      </c>
      <c r="BI68" s="498" t="e">
        <f>#REF!+#REF!</f>
        <v>#REF!</v>
      </c>
      <c r="BJ68" s="499" t="e">
        <f>AU68+AZ68+BC68+BG68</f>
        <v>#REF!</v>
      </c>
      <c r="BK68" s="500"/>
      <c r="BL68" s="500"/>
      <c r="BM68" s="838"/>
      <c r="BN68" s="841"/>
    </row>
    <row r="69" spans="1:66" ht="20.25" customHeight="1" hidden="1">
      <c r="A69" s="725"/>
      <c r="B69" s="804"/>
      <c r="C69" s="695"/>
      <c r="D69" s="714"/>
      <c r="E69" s="362" t="s">
        <v>148</v>
      </c>
      <c r="F69" s="344">
        <v>0</v>
      </c>
      <c r="G69" s="345">
        <v>0</v>
      </c>
      <c r="H69" s="347">
        <v>0</v>
      </c>
      <c r="I69" s="344">
        <v>0</v>
      </c>
      <c r="J69" s="345">
        <v>0</v>
      </c>
      <c r="K69" s="347">
        <v>0</v>
      </c>
      <c r="L69" s="348">
        <v>0</v>
      </c>
      <c r="M69" s="345">
        <v>0</v>
      </c>
      <c r="N69" s="346">
        <v>0</v>
      </c>
      <c r="O69" s="344">
        <v>0</v>
      </c>
      <c r="P69" s="345">
        <v>0</v>
      </c>
      <c r="Q69" s="347">
        <v>0</v>
      </c>
      <c r="R69" s="348"/>
      <c r="S69" s="345"/>
      <c r="T69" s="345"/>
      <c r="U69" s="345"/>
      <c r="V69" s="346"/>
      <c r="W69" s="344">
        <v>0</v>
      </c>
      <c r="X69" s="345">
        <v>0</v>
      </c>
      <c r="Y69" s="347">
        <v>0</v>
      </c>
      <c r="Z69" s="344">
        <v>0</v>
      </c>
      <c r="AA69" s="345">
        <v>0</v>
      </c>
      <c r="AB69" s="347">
        <v>0</v>
      </c>
      <c r="AC69" s="344">
        <v>0</v>
      </c>
      <c r="AD69" s="345">
        <v>0</v>
      </c>
      <c r="AE69" s="347">
        <v>0</v>
      </c>
      <c r="AF69" s="348"/>
      <c r="AG69" s="345"/>
      <c r="AH69" s="345"/>
      <c r="AI69" s="345"/>
      <c r="AJ69" s="345"/>
      <c r="AK69" s="345">
        <v>0</v>
      </c>
      <c r="AL69" s="345">
        <v>0</v>
      </c>
      <c r="AM69" s="346">
        <v>0</v>
      </c>
      <c r="AN69" s="344">
        <v>0</v>
      </c>
      <c r="AO69" s="345">
        <v>0</v>
      </c>
      <c r="AP69" s="347">
        <v>0</v>
      </c>
      <c r="AQ69" s="344">
        <v>0</v>
      </c>
      <c r="AR69" s="345">
        <v>0</v>
      </c>
      <c r="AS69" s="347">
        <v>0</v>
      </c>
      <c r="AT69" s="348"/>
      <c r="AU69" s="345"/>
      <c r="AV69" s="345"/>
      <c r="AW69" s="345"/>
      <c r="AX69" s="346"/>
      <c r="AY69" s="344">
        <v>0</v>
      </c>
      <c r="AZ69" s="345">
        <v>0</v>
      </c>
      <c r="BA69" s="346">
        <v>0</v>
      </c>
      <c r="BB69" s="344">
        <v>0</v>
      </c>
      <c r="BC69" s="345">
        <v>0</v>
      </c>
      <c r="BD69" s="345"/>
      <c r="BE69" s="347">
        <v>0</v>
      </c>
      <c r="BF69" s="348">
        <v>0</v>
      </c>
      <c r="BG69" s="345">
        <v>0</v>
      </c>
      <c r="BH69" s="347">
        <v>0</v>
      </c>
      <c r="BI69" s="501"/>
      <c r="BJ69" s="232"/>
      <c r="BK69" s="232"/>
      <c r="BL69" s="232"/>
      <c r="BM69" s="839"/>
      <c r="BN69" s="842"/>
    </row>
    <row r="70" spans="1:66" ht="25.5">
      <c r="A70" s="725"/>
      <c r="B70" s="804"/>
      <c r="C70" s="695"/>
      <c r="D70" s="714"/>
      <c r="E70" s="375" t="s">
        <v>74</v>
      </c>
      <c r="F70" s="344">
        <v>0</v>
      </c>
      <c r="G70" s="345">
        <v>0</v>
      </c>
      <c r="H70" s="347">
        <v>0</v>
      </c>
      <c r="I70" s="344">
        <v>0</v>
      </c>
      <c r="J70" s="345">
        <v>0</v>
      </c>
      <c r="K70" s="347">
        <v>0</v>
      </c>
      <c r="L70" s="348">
        <v>0</v>
      </c>
      <c r="M70" s="345">
        <v>0</v>
      </c>
      <c r="N70" s="346">
        <v>0</v>
      </c>
      <c r="O70" s="344">
        <v>0</v>
      </c>
      <c r="P70" s="345">
        <v>0</v>
      </c>
      <c r="Q70" s="347">
        <v>0</v>
      </c>
      <c r="R70" s="348" t="e">
        <f>#REF!+#REF!</f>
        <v>#REF!</v>
      </c>
      <c r="S70" s="345" t="e">
        <f>#REF!+#REF!</f>
        <v>#REF!</v>
      </c>
      <c r="T70" s="345" t="e">
        <f>#REF!+#REF!</f>
        <v>#REF!</v>
      </c>
      <c r="U70" s="345"/>
      <c r="V70" s="346">
        <v>0</v>
      </c>
      <c r="W70" s="344">
        <v>0</v>
      </c>
      <c r="X70" s="345">
        <v>0</v>
      </c>
      <c r="Y70" s="347">
        <v>0</v>
      </c>
      <c r="Z70" s="344">
        <v>0</v>
      </c>
      <c r="AA70" s="345">
        <v>0</v>
      </c>
      <c r="AB70" s="347">
        <v>0</v>
      </c>
      <c r="AC70" s="344">
        <v>0</v>
      </c>
      <c r="AD70" s="345">
        <v>0</v>
      </c>
      <c r="AE70" s="347">
        <v>0</v>
      </c>
      <c r="AF70" s="348" t="e">
        <f>#REF!+#REF!</f>
        <v>#REF!</v>
      </c>
      <c r="AG70" s="345" t="e">
        <f>#REF!+#REF!</f>
        <v>#REF!</v>
      </c>
      <c r="AH70" s="345" t="e">
        <f>#REF!+#REF!</f>
        <v>#REF!</v>
      </c>
      <c r="AI70" s="345"/>
      <c r="AJ70" s="345">
        <v>0</v>
      </c>
      <c r="AK70" s="345">
        <v>0</v>
      </c>
      <c r="AL70" s="345">
        <v>0</v>
      </c>
      <c r="AM70" s="346">
        <v>0</v>
      </c>
      <c r="AN70" s="344">
        <v>0</v>
      </c>
      <c r="AO70" s="345">
        <v>0</v>
      </c>
      <c r="AP70" s="347">
        <v>0</v>
      </c>
      <c r="AQ70" s="344">
        <v>0</v>
      </c>
      <c r="AR70" s="345">
        <v>0</v>
      </c>
      <c r="AS70" s="347">
        <v>0</v>
      </c>
      <c r="AT70" s="348" t="e">
        <f>#REF!+#REF!</f>
        <v>#REF!</v>
      </c>
      <c r="AU70" s="345" t="e">
        <f>#REF!+#REF!</f>
        <v>#REF!</v>
      </c>
      <c r="AV70" s="345" t="e">
        <f>#REF!+#REF!</f>
        <v>#REF!</v>
      </c>
      <c r="AW70" s="345"/>
      <c r="AX70" s="346"/>
      <c r="AY70" s="344">
        <v>0</v>
      </c>
      <c r="AZ70" s="345">
        <v>0</v>
      </c>
      <c r="BA70" s="346">
        <v>0</v>
      </c>
      <c r="BB70" s="344">
        <v>0</v>
      </c>
      <c r="BC70" s="345">
        <v>0</v>
      </c>
      <c r="BD70" s="345" t="e">
        <f>#REF!+#REF!</f>
        <v>#REF!</v>
      </c>
      <c r="BE70" s="347">
        <v>0</v>
      </c>
      <c r="BF70" s="348">
        <v>0</v>
      </c>
      <c r="BG70" s="345">
        <v>0</v>
      </c>
      <c r="BH70" s="347">
        <v>0</v>
      </c>
      <c r="BI70" s="502" t="e">
        <f>#REF!+#REF!</f>
        <v>#REF!</v>
      </c>
      <c r="BJ70" s="503" t="e">
        <f>#REF!+#REF!</f>
        <v>#REF!</v>
      </c>
      <c r="BK70" s="503"/>
      <c r="BL70" s="503"/>
      <c r="BM70" s="839"/>
      <c r="BN70" s="842"/>
    </row>
    <row r="71" spans="1:66" ht="15" customHeight="1" thickBot="1">
      <c r="A71" s="726"/>
      <c r="B71" s="805"/>
      <c r="C71" s="696"/>
      <c r="D71" s="715"/>
      <c r="E71" s="384" t="s">
        <v>27</v>
      </c>
      <c r="F71" s="356">
        <f>0</f>
        <v>0</v>
      </c>
      <c r="G71" s="357">
        <f>0</f>
        <v>0</v>
      </c>
      <c r="H71" s="359">
        <f>0</f>
        <v>0</v>
      </c>
      <c r="I71" s="356">
        <v>0</v>
      </c>
      <c r="J71" s="357">
        <v>0</v>
      </c>
      <c r="K71" s="359">
        <v>0</v>
      </c>
      <c r="L71" s="360">
        <v>0</v>
      </c>
      <c r="M71" s="357">
        <v>0</v>
      </c>
      <c r="N71" s="358">
        <v>0</v>
      </c>
      <c r="O71" s="356">
        <v>0</v>
      </c>
      <c r="P71" s="357">
        <v>0</v>
      </c>
      <c r="Q71" s="359">
        <v>0</v>
      </c>
      <c r="R71" s="360" t="e">
        <f>#REF!</f>
        <v>#REF!</v>
      </c>
      <c r="S71" s="357" t="e">
        <f>#REF!</f>
        <v>#REF!</v>
      </c>
      <c r="T71" s="357" t="e">
        <f>#REF!</f>
        <v>#REF!</v>
      </c>
      <c r="U71" s="357"/>
      <c r="V71" s="358">
        <v>0</v>
      </c>
      <c r="W71" s="356">
        <v>0</v>
      </c>
      <c r="X71" s="357">
        <v>0</v>
      </c>
      <c r="Y71" s="359">
        <v>0</v>
      </c>
      <c r="Z71" s="356">
        <v>0</v>
      </c>
      <c r="AA71" s="357">
        <v>0</v>
      </c>
      <c r="AB71" s="359">
        <v>0</v>
      </c>
      <c r="AC71" s="356">
        <v>0</v>
      </c>
      <c r="AD71" s="357">
        <v>0</v>
      </c>
      <c r="AE71" s="359">
        <v>0</v>
      </c>
      <c r="AF71" s="360" t="e">
        <f>#REF!</f>
        <v>#REF!</v>
      </c>
      <c r="AG71" s="357" t="e">
        <f>#REF!</f>
        <v>#REF!</v>
      </c>
      <c r="AH71" s="357" t="e">
        <f>#REF!</f>
        <v>#REF!</v>
      </c>
      <c r="AI71" s="357"/>
      <c r="AJ71" s="357">
        <v>0</v>
      </c>
      <c r="AK71" s="357">
        <v>0</v>
      </c>
      <c r="AL71" s="357">
        <v>0</v>
      </c>
      <c r="AM71" s="358">
        <v>0</v>
      </c>
      <c r="AN71" s="356">
        <v>0</v>
      </c>
      <c r="AO71" s="357">
        <v>0</v>
      </c>
      <c r="AP71" s="359">
        <v>0</v>
      </c>
      <c r="AQ71" s="356">
        <v>0</v>
      </c>
      <c r="AR71" s="357">
        <v>0</v>
      </c>
      <c r="AS71" s="359">
        <v>0</v>
      </c>
      <c r="AT71" s="360" t="e">
        <f>#REF!</f>
        <v>#REF!</v>
      </c>
      <c r="AU71" s="357" t="e">
        <f>#REF!</f>
        <v>#REF!</v>
      </c>
      <c r="AV71" s="357" t="e">
        <f>#REF!</f>
        <v>#REF!</v>
      </c>
      <c r="AW71" s="357"/>
      <c r="AX71" s="358"/>
      <c r="AY71" s="356">
        <v>0</v>
      </c>
      <c r="AZ71" s="357">
        <v>0</v>
      </c>
      <c r="BA71" s="358">
        <v>0</v>
      </c>
      <c r="BB71" s="356">
        <v>0</v>
      </c>
      <c r="BC71" s="357">
        <v>0</v>
      </c>
      <c r="BD71" s="357" t="e">
        <f>#REF!</f>
        <v>#REF!</v>
      </c>
      <c r="BE71" s="359">
        <v>0</v>
      </c>
      <c r="BF71" s="360">
        <v>0</v>
      </c>
      <c r="BG71" s="357">
        <v>0</v>
      </c>
      <c r="BH71" s="359">
        <v>0</v>
      </c>
      <c r="BI71" s="622"/>
      <c r="BJ71" s="623"/>
      <c r="BK71" s="624"/>
      <c r="BL71" s="624"/>
      <c r="BM71" s="840"/>
      <c r="BN71" s="843"/>
    </row>
    <row r="72" spans="1:66" ht="63.75" customHeight="1" thickBot="1">
      <c r="A72" s="504" t="s">
        <v>105</v>
      </c>
      <c r="B72" s="505" t="s">
        <v>116</v>
      </c>
      <c r="C72" s="506" t="s">
        <v>48</v>
      </c>
      <c r="D72" s="507" t="s">
        <v>110</v>
      </c>
      <c r="E72" s="508" t="s">
        <v>64</v>
      </c>
      <c r="F72" s="509" t="s">
        <v>65</v>
      </c>
      <c r="G72" s="451" t="s">
        <v>65</v>
      </c>
      <c r="H72" s="510" t="s">
        <v>65</v>
      </c>
      <c r="I72" s="511" t="s">
        <v>65</v>
      </c>
      <c r="J72" s="451" t="s">
        <v>65</v>
      </c>
      <c r="K72" s="512" t="s">
        <v>65</v>
      </c>
      <c r="L72" s="511" t="s">
        <v>65</v>
      </c>
      <c r="M72" s="451" t="s">
        <v>65</v>
      </c>
      <c r="N72" s="513" t="s">
        <v>65</v>
      </c>
      <c r="O72" s="511" t="s">
        <v>65</v>
      </c>
      <c r="P72" s="451" t="s">
        <v>65</v>
      </c>
      <c r="Q72" s="513" t="s">
        <v>65</v>
      </c>
      <c r="R72" s="450"/>
      <c r="S72" s="451"/>
      <c r="T72" s="451"/>
      <c r="U72" s="451"/>
      <c r="V72" s="512"/>
      <c r="W72" s="509" t="s">
        <v>65</v>
      </c>
      <c r="X72" s="514" t="s">
        <v>65</v>
      </c>
      <c r="Y72" s="515" t="s">
        <v>65</v>
      </c>
      <c r="Z72" s="509" t="s">
        <v>65</v>
      </c>
      <c r="AA72" s="514" t="s">
        <v>65</v>
      </c>
      <c r="AB72" s="515" t="s">
        <v>65</v>
      </c>
      <c r="AC72" s="509" t="s">
        <v>65</v>
      </c>
      <c r="AD72" s="514" t="s">
        <v>65</v>
      </c>
      <c r="AE72" s="515" t="s">
        <v>65</v>
      </c>
      <c r="AF72" s="450"/>
      <c r="AG72" s="516"/>
      <c r="AH72" s="516"/>
      <c r="AI72" s="516"/>
      <c r="AJ72" s="517"/>
      <c r="AK72" s="509" t="s">
        <v>65</v>
      </c>
      <c r="AL72" s="514" t="s">
        <v>65</v>
      </c>
      <c r="AM72" s="515" t="s">
        <v>65</v>
      </c>
      <c r="AN72" s="509" t="s">
        <v>65</v>
      </c>
      <c r="AO72" s="514" t="s">
        <v>65</v>
      </c>
      <c r="AP72" s="515" t="s">
        <v>65</v>
      </c>
      <c r="AQ72" s="509" t="s">
        <v>65</v>
      </c>
      <c r="AR72" s="514" t="s">
        <v>65</v>
      </c>
      <c r="AS72" s="515" t="s">
        <v>65</v>
      </c>
      <c r="AT72" s="450"/>
      <c r="AU72" s="516"/>
      <c r="AV72" s="516"/>
      <c r="AW72" s="516"/>
      <c r="AX72" s="517"/>
      <c r="AY72" s="509" t="s">
        <v>65</v>
      </c>
      <c r="AZ72" s="514" t="s">
        <v>65</v>
      </c>
      <c r="BA72" s="515" t="s">
        <v>65</v>
      </c>
      <c r="BB72" s="509" t="s">
        <v>65</v>
      </c>
      <c r="BC72" s="514" t="s">
        <v>65</v>
      </c>
      <c r="BD72" s="518"/>
      <c r="BE72" s="515" t="s">
        <v>65</v>
      </c>
      <c r="BF72" s="509" t="s">
        <v>65</v>
      </c>
      <c r="BG72" s="514" t="s">
        <v>65</v>
      </c>
      <c r="BH72" s="515" t="s">
        <v>65</v>
      </c>
      <c r="BI72" s="618"/>
      <c r="BJ72" s="619"/>
      <c r="BK72" s="620"/>
      <c r="BL72" s="620"/>
      <c r="BM72" s="621" t="s">
        <v>176</v>
      </c>
      <c r="BN72" s="263"/>
    </row>
    <row r="73" spans="1:66" ht="96.75" customHeight="1" thickBot="1">
      <c r="A73" s="519" t="s">
        <v>106</v>
      </c>
      <c r="B73" s="520" t="s">
        <v>117</v>
      </c>
      <c r="C73" s="521" t="s">
        <v>113</v>
      </c>
      <c r="D73" s="522" t="s">
        <v>111</v>
      </c>
      <c r="E73" s="523" t="s">
        <v>64</v>
      </c>
      <c r="F73" s="524" t="s">
        <v>65</v>
      </c>
      <c r="G73" s="525" t="s">
        <v>65</v>
      </c>
      <c r="H73" s="526" t="s">
        <v>65</v>
      </c>
      <c r="I73" s="527" t="s">
        <v>65</v>
      </c>
      <c r="J73" s="528" t="s">
        <v>65</v>
      </c>
      <c r="K73" s="529" t="s">
        <v>65</v>
      </c>
      <c r="L73" s="524" t="s">
        <v>65</v>
      </c>
      <c r="M73" s="528" t="s">
        <v>65</v>
      </c>
      <c r="N73" s="530" t="s">
        <v>65</v>
      </c>
      <c r="O73" s="524" t="s">
        <v>65</v>
      </c>
      <c r="P73" s="528" t="s">
        <v>65</v>
      </c>
      <c r="Q73" s="530" t="s">
        <v>65</v>
      </c>
      <c r="R73" s="527"/>
      <c r="S73" s="528"/>
      <c r="T73" s="528"/>
      <c r="U73" s="528"/>
      <c r="V73" s="529"/>
      <c r="W73" s="524" t="s">
        <v>65</v>
      </c>
      <c r="X73" s="525" t="s">
        <v>65</v>
      </c>
      <c r="Y73" s="526" t="s">
        <v>65</v>
      </c>
      <c r="Z73" s="531" t="s">
        <v>65</v>
      </c>
      <c r="AA73" s="525" t="s">
        <v>65</v>
      </c>
      <c r="AB73" s="526" t="s">
        <v>65</v>
      </c>
      <c r="AC73" s="531" t="s">
        <v>65</v>
      </c>
      <c r="AD73" s="525" t="s">
        <v>65</v>
      </c>
      <c r="AE73" s="526" t="s">
        <v>65</v>
      </c>
      <c r="AF73" s="527"/>
      <c r="AG73" s="532"/>
      <c r="AH73" s="532"/>
      <c r="AI73" s="532"/>
      <c r="AJ73" s="533"/>
      <c r="AK73" s="531" t="s">
        <v>65</v>
      </c>
      <c r="AL73" s="525" t="s">
        <v>65</v>
      </c>
      <c r="AM73" s="526" t="s">
        <v>65</v>
      </c>
      <c r="AN73" s="531" t="s">
        <v>65</v>
      </c>
      <c r="AO73" s="525" t="s">
        <v>65</v>
      </c>
      <c r="AP73" s="526" t="s">
        <v>65</v>
      </c>
      <c r="AQ73" s="531" t="s">
        <v>65</v>
      </c>
      <c r="AR73" s="525" t="s">
        <v>65</v>
      </c>
      <c r="AS73" s="526" t="s">
        <v>65</v>
      </c>
      <c r="AT73" s="527"/>
      <c r="AU73" s="532"/>
      <c r="AV73" s="532"/>
      <c r="AW73" s="532"/>
      <c r="AX73" s="533"/>
      <c r="AY73" s="531" t="s">
        <v>65</v>
      </c>
      <c r="AZ73" s="525" t="s">
        <v>65</v>
      </c>
      <c r="BA73" s="526" t="s">
        <v>65</v>
      </c>
      <c r="BB73" s="531" t="s">
        <v>65</v>
      </c>
      <c r="BC73" s="525" t="s">
        <v>65</v>
      </c>
      <c r="BD73" s="534"/>
      <c r="BE73" s="526" t="s">
        <v>65</v>
      </c>
      <c r="BF73" s="531" t="s">
        <v>65</v>
      </c>
      <c r="BG73" s="525" t="s">
        <v>65</v>
      </c>
      <c r="BH73" s="526" t="s">
        <v>65</v>
      </c>
      <c r="BI73" s="535"/>
      <c r="BJ73" s="536"/>
      <c r="BK73" s="537"/>
      <c r="BL73" s="537"/>
      <c r="BM73" s="538" t="s">
        <v>179</v>
      </c>
      <c r="BN73" s="266"/>
    </row>
    <row r="74" spans="1:66" ht="16.5" customHeight="1" thickBot="1">
      <c r="A74" s="844" t="s">
        <v>150</v>
      </c>
      <c r="B74" s="845"/>
      <c r="C74" s="845"/>
      <c r="D74" s="846"/>
      <c r="E74" s="539" t="s">
        <v>73</v>
      </c>
      <c r="F74" s="540">
        <f>F15</f>
        <v>226285.17300000004</v>
      </c>
      <c r="G74" s="541">
        <f>G15</f>
        <v>218990.70000000004</v>
      </c>
      <c r="H74" s="542">
        <f>G74/F74*100</f>
        <v>96.77642467542493</v>
      </c>
      <c r="I74" s="540">
        <f>I15</f>
        <v>1775</v>
      </c>
      <c r="J74" s="541">
        <f>J15</f>
        <v>1771.8</v>
      </c>
      <c r="K74" s="543">
        <f>J74/I74*100</f>
        <v>99.81971830985916</v>
      </c>
      <c r="L74" s="540">
        <f aca="true" t="shared" si="34" ref="L74:X74">L15</f>
        <v>17228.5</v>
      </c>
      <c r="M74" s="541">
        <f t="shared" si="34"/>
        <v>16629.6</v>
      </c>
      <c r="N74" s="542">
        <f t="shared" si="34"/>
        <v>96.52378326609977</v>
      </c>
      <c r="O74" s="540">
        <f t="shared" si="34"/>
        <v>19048.8</v>
      </c>
      <c r="P74" s="541">
        <f t="shared" si="34"/>
        <v>18186.200000000004</v>
      </c>
      <c r="Q74" s="542">
        <f t="shared" si="34"/>
        <v>95.47163075889299</v>
      </c>
      <c r="R74" s="544">
        <f t="shared" si="34"/>
        <v>38052.3</v>
      </c>
      <c r="S74" s="541">
        <f t="shared" si="34"/>
        <v>36587.6</v>
      </c>
      <c r="T74" s="541" t="e">
        <f t="shared" si="34"/>
        <v>#DIV/0!</v>
      </c>
      <c r="U74" s="541">
        <f t="shared" si="34"/>
        <v>38052.3</v>
      </c>
      <c r="V74" s="543">
        <f t="shared" si="34"/>
        <v>38052.3</v>
      </c>
      <c r="W74" s="540">
        <f t="shared" si="34"/>
        <v>17110.1</v>
      </c>
      <c r="X74" s="541">
        <f t="shared" si="34"/>
        <v>16333</v>
      </c>
      <c r="Y74" s="542">
        <f>X74/W74*100</f>
        <v>95.45823811666794</v>
      </c>
      <c r="Z74" s="540">
        <f aca="true" t="shared" si="35" ref="Z74:AL74">Z15</f>
        <v>12523.4</v>
      </c>
      <c r="AA74" s="541">
        <f t="shared" si="35"/>
        <v>12969.600000000002</v>
      </c>
      <c r="AB74" s="542">
        <f t="shared" si="35"/>
        <v>103.5629301946756</v>
      </c>
      <c r="AC74" s="540">
        <f t="shared" si="35"/>
        <v>27163.2</v>
      </c>
      <c r="AD74" s="541">
        <f t="shared" si="35"/>
        <v>16579.5</v>
      </c>
      <c r="AE74" s="542">
        <f t="shared" si="35"/>
        <v>61.03662307828238</v>
      </c>
      <c r="AF74" s="544">
        <f t="shared" si="35"/>
        <v>94849.00000000001</v>
      </c>
      <c r="AG74" s="541">
        <f t="shared" si="35"/>
        <v>82469.70000000003</v>
      </c>
      <c r="AH74" s="541">
        <f t="shared" si="35"/>
        <v>0</v>
      </c>
      <c r="AI74" s="541">
        <f t="shared" si="35"/>
        <v>56796.700000000004</v>
      </c>
      <c r="AJ74" s="543">
        <f t="shared" si="35"/>
        <v>56796.700000000004</v>
      </c>
      <c r="AK74" s="540">
        <f t="shared" si="35"/>
        <v>19693.8</v>
      </c>
      <c r="AL74" s="541">
        <f t="shared" si="35"/>
        <v>19605.800000000003</v>
      </c>
      <c r="AM74" s="542">
        <v>100</v>
      </c>
      <c r="AN74" s="540">
        <f>AN15</f>
        <v>24260.5</v>
      </c>
      <c r="AO74" s="541">
        <f>AO15</f>
        <v>25656.699999999997</v>
      </c>
      <c r="AP74" s="542">
        <f>AP15</f>
        <v>105.75503390284618</v>
      </c>
      <c r="AQ74" s="540">
        <f>AQ15</f>
        <v>23430.4</v>
      </c>
      <c r="AR74" s="541">
        <f>AR15</f>
        <v>20888.2</v>
      </c>
      <c r="AS74" s="542">
        <f>AR74/AQ74*100</f>
        <v>89.14999317126467</v>
      </c>
      <c r="AT74" s="544">
        <f aca="true" t="shared" si="36" ref="AT74:BD74">AT15</f>
        <v>160769.2</v>
      </c>
      <c r="AU74" s="541">
        <f t="shared" si="36"/>
        <v>147466.10000000003</v>
      </c>
      <c r="AV74" s="541">
        <f t="shared" si="36"/>
        <v>0</v>
      </c>
      <c r="AW74" s="541">
        <f t="shared" si="36"/>
        <v>67074.5</v>
      </c>
      <c r="AX74" s="543">
        <f t="shared" si="36"/>
        <v>67384.7</v>
      </c>
      <c r="AY74" s="540">
        <f t="shared" si="36"/>
        <v>19828.5</v>
      </c>
      <c r="AZ74" s="541">
        <f t="shared" si="36"/>
        <v>22815.1</v>
      </c>
      <c r="BA74" s="542">
        <f t="shared" si="36"/>
        <v>115.06215800489194</v>
      </c>
      <c r="BB74" s="540">
        <f t="shared" si="36"/>
        <v>13081.473</v>
      </c>
      <c r="BC74" s="541">
        <f t="shared" si="36"/>
        <v>13331.5</v>
      </c>
      <c r="BD74" s="541">
        <f t="shared" si="36"/>
        <v>0</v>
      </c>
      <c r="BE74" s="542">
        <f>BC74/BB74*100</f>
        <v>101.91130616559772</v>
      </c>
      <c r="BF74" s="540">
        <f>BF15</f>
        <v>31141.5</v>
      </c>
      <c r="BG74" s="541">
        <f>BG15</f>
        <v>34223.7</v>
      </c>
      <c r="BH74" s="542">
        <f>BG74/BF74*100</f>
        <v>109.89740378594479</v>
      </c>
      <c r="BI74" s="545">
        <f>BI15</f>
        <v>215717.87300000002</v>
      </c>
      <c r="BJ74" s="546">
        <f>BJ15</f>
        <v>210067.50000000003</v>
      </c>
      <c r="BK74" s="546">
        <f>BK15</f>
        <v>64051.473000000005</v>
      </c>
      <c r="BL74" s="547">
        <f>BL15</f>
        <v>64051.473000000005</v>
      </c>
      <c r="BM74" s="822"/>
      <c r="BN74" s="682"/>
    </row>
    <row r="75" spans="1:66" ht="26.25" hidden="1" thickBot="1">
      <c r="A75" s="847"/>
      <c r="B75" s="848"/>
      <c r="C75" s="848"/>
      <c r="D75" s="849"/>
      <c r="E75" s="539" t="s">
        <v>148</v>
      </c>
      <c r="F75" s="548">
        <v>0</v>
      </c>
      <c r="G75" s="549">
        <v>0</v>
      </c>
      <c r="H75" s="550">
        <v>0</v>
      </c>
      <c r="I75" s="548">
        <v>0</v>
      </c>
      <c r="J75" s="549">
        <v>0</v>
      </c>
      <c r="K75" s="551">
        <v>0</v>
      </c>
      <c r="L75" s="548">
        <v>0</v>
      </c>
      <c r="M75" s="549">
        <v>0</v>
      </c>
      <c r="N75" s="550">
        <v>0</v>
      </c>
      <c r="O75" s="548">
        <v>0</v>
      </c>
      <c r="P75" s="549">
        <v>0</v>
      </c>
      <c r="Q75" s="550">
        <v>0</v>
      </c>
      <c r="R75" s="552"/>
      <c r="S75" s="549"/>
      <c r="T75" s="549"/>
      <c r="U75" s="549"/>
      <c r="V75" s="551"/>
      <c r="W75" s="548">
        <v>0</v>
      </c>
      <c r="X75" s="549">
        <v>0</v>
      </c>
      <c r="Y75" s="550">
        <v>0</v>
      </c>
      <c r="Z75" s="548">
        <v>0</v>
      </c>
      <c r="AA75" s="549">
        <v>0</v>
      </c>
      <c r="AB75" s="550">
        <v>0</v>
      </c>
      <c r="AC75" s="548">
        <v>0</v>
      </c>
      <c r="AD75" s="549">
        <v>0</v>
      </c>
      <c r="AE75" s="550">
        <v>0</v>
      </c>
      <c r="AF75" s="552"/>
      <c r="AG75" s="549"/>
      <c r="AH75" s="549"/>
      <c r="AI75" s="549"/>
      <c r="AJ75" s="551"/>
      <c r="AK75" s="548">
        <v>0</v>
      </c>
      <c r="AL75" s="549">
        <v>0</v>
      </c>
      <c r="AM75" s="550">
        <v>0</v>
      </c>
      <c r="AN75" s="548">
        <v>0</v>
      </c>
      <c r="AO75" s="549">
        <v>0</v>
      </c>
      <c r="AP75" s="550">
        <v>0</v>
      </c>
      <c r="AQ75" s="548">
        <v>0</v>
      </c>
      <c r="AR75" s="549">
        <v>0</v>
      </c>
      <c r="AS75" s="550">
        <v>0</v>
      </c>
      <c r="AT75" s="552"/>
      <c r="AU75" s="549"/>
      <c r="AV75" s="549"/>
      <c r="AW75" s="549"/>
      <c r="AX75" s="551"/>
      <c r="AY75" s="548">
        <v>0</v>
      </c>
      <c r="AZ75" s="549">
        <v>0</v>
      </c>
      <c r="BA75" s="550">
        <v>0</v>
      </c>
      <c r="BB75" s="548">
        <v>0</v>
      </c>
      <c r="BC75" s="549">
        <v>0</v>
      </c>
      <c r="BD75" s="549"/>
      <c r="BE75" s="550">
        <v>0</v>
      </c>
      <c r="BF75" s="548">
        <v>0</v>
      </c>
      <c r="BG75" s="549">
        <v>0</v>
      </c>
      <c r="BH75" s="550">
        <v>0</v>
      </c>
      <c r="BI75" s="553"/>
      <c r="BJ75" s="554"/>
      <c r="BK75" s="554"/>
      <c r="BL75" s="555"/>
      <c r="BM75" s="823"/>
      <c r="BN75" s="683"/>
    </row>
    <row r="76" spans="1:66" ht="26.25" thickBot="1">
      <c r="A76" s="847"/>
      <c r="B76" s="848"/>
      <c r="C76" s="848"/>
      <c r="D76" s="849"/>
      <c r="E76" s="539" t="s">
        <v>74</v>
      </c>
      <c r="F76" s="556">
        <f>F17</f>
        <v>11991.9</v>
      </c>
      <c r="G76" s="557">
        <f>G17</f>
        <v>8924.499999999998</v>
      </c>
      <c r="H76" s="558">
        <f>G76/F76*100</f>
        <v>74.42106755393223</v>
      </c>
      <c r="I76" s="556">
        <f aca="true" t="shared" si="37" ref="I76:X76">I17</f>
        <v>0</v>
      </c>
      <c r="J76" s="557">
        <f t="shared" si="37"/>
        <v>0</v>
      </c>
      <c r="K76" s="559">
        <f t="shared" si="37"/>
        <v>0</v>
      </c>
      <c r="L76" s="556">
        <f t="shared" si="37"/>
        <v>99.9</v>
      </c>
      <c r="M76" s="557">
        <f t="shared" si="37"/>
        <v>0</v>
      </c>
      <c r="N76" s="558">
        <f t="shared" si="37"/>
        <v>0</v>
      </c>
      <c r="O76" s="556">
        <f t="shared" si="37"/>
        <v>99.9</v>
      </c>
      <c r="P76" s="557">
        <f t="shared" si="37"/>
        <v>31.5</v>
      </c>
      <c r="Q76" s="558">
        <f t="shared" si="37"/>
        <v>31.53153153153153</v>
      </c>
      <c r="R76" s="560">
        <f t="shared" si="37"/>
        <v>1673</v>
      </c>
      <c r="S76" s="557">
        <f t="shared" si="37"/>
        <v>1568.1</v>
      </c>
      <c r="T76" s="557">
        <f t="shared" si="37"/>
        <v>188.95938710067762</v>
      </c>
      <c r="U76" s="557">
        <f t="shared" si="37"/>
        <v>199.8</v>
      </c>
      <c r="V76" s="559">
        <f t="shared" si="37"/>
        <v>199.8</v>
      </c>
      <c r="W76" s="556">
        <f t="shared" si="37"/>
        <v>996.3</v>
      </c>
      <c r="X76" s="557">
        <f t="shared" si="37"/>
        <v>523.8</v>
      </c>
      <c r="Y76" s="558">
        <f>X76/W76*100</f>
        <v>52.574525745257446</v>
      </c>
      <c r="Z76" s="556">
        <f aca="true" t="shared" si="38" ref="Z76:AL76">Z17</f>
        <v>19.4</v>
      </c>
      <c r="AA76" s="557">
        <f t="shared" si="38"/>
        <v>184.8</v>
      </c>
      <c r="AB76" s="558">
        <f t="shared" si="38"/>
        <v>952.5773195876291</v>
      </c>
      <c r="AC76" s="556">
        <f t="shared" si="38"/>
        <v>0</v>
      </c>
      <c r="AD76" s="557">
        <f t="shared" si="38"/>
        <v>15.5</v>
      </c>
      <c r="AE76" s="558">
        <f t="shared" si="38"/>
        <v>0</v>
      </c>
      <c r="AF76" s="560">
        <f t="shared" si="38"/>
        <v>3228.1</v>
      </c>
      <c r="AG76" s="557">
        <f t="shared" si="38"/>
        <v>3163.2</v>
      </c>
      <c r="AH76" s="557">
        <f t="shared" si="38"/>
        <v>0</v>
      </c>
      <c r="AI76" s="557">
        <f t="shared" si="38"/>
        <v>1015.7</v>
      </c>
      <c r="AJ76" s="559">
        <f t="shared" si="38"/>
        <v>1015.7</v>
      </c>
      <c r="AK76" s="556">
        <f t="shared" si="38"/>
        <v>896.4</v>
      </c>
      <c r="AL76" s="557">
        <f t="shared" si="38"/>
        <v>483.5</v>
      </c>
      <c r="AM76" s="558">
        <f>AL76/AK76*100</f>
        <v>53.93797411869701</v>
      </c>
      <c r="AN76" s="556">
        <f aca="true" t="shared" si="39" ref="AN76:BD76">AN17</f>
        <v>1154.3</v>
      </c>
      <c r="AO76" s="557">
        <f t="shared" si="39"/>
        <v>1212.6</v>
      </c>
      <c r="AP76" s="558">
        <f t="shared" si="39"/>
        <v>105.05068006584078</v>
      </c>
      <c r="AQ76" s="556">
        <f t="shared" si="39"/>
        <v>1550</v>
      </c>
      <c r="AR76" s="557">
        <f t="shared" si="39"/>
        <v>0</v>
      </c>
      <c r="AS76" s="558">
        <f t="shared" si="39"/>
        <v>0</v>
      </c>
      <c r="AT76" s="560">
        <f t="shared" si="39"/>
        <v>5711.9</v>
      </c>
      <c r="AU76" s="557">
        <f t="shared" si="39"/>
        <v>5687.599999999999</v>
      </c>
      <c r="AV76" s="557">
        <f t="shared" si="39"/>
        <v>0</v>
      </c>
      <c r="AW76" s="557">
        <f t="shared" si="39"/>
        <v>3600.7</v>
      </c>
      <c r="AX76" s="559">
        <f t="shared" si="39"/>
        <v>3600.7</v>
      </c>
      <c r="AY76" s="556">
        <f t="shared" si="39"/>
        <v>0</v>
      </c>
      <c r="AZ76" s="557">
        <f t="shared" si="39"/>
        <v>141.9</v>
      </c>
      <c r="BA76" s="558">
        <f t="shared" si="39"/>
        <v>0</v>
      </c>
      <c r="BB76" s="556">
        <f t="shared" si="39"/>
        <v>0</v>
      </c>
      <c r="BC76" s="557">
        <f t="shared" si="39"/>
        <v>594.9</v>
      </c>
      <c r="BD76" s="557">
        <f t="shared" si="39"/>
        <v>0</v>
      </c>
      <c r="BE76" s="558">
        <v>0</v>
      </c>
      <c r="BF76" s="556">
        <f aca="true" t="shared" si="40" ref="BF76:BL77">BF17</f>
        <v>7175.7</v>
      </c>
      <c r="BG76" s="557">
        <f t="shared" si="40"/>
        <v>5736</v>
      </c>
      <c r="BH76" s="558">
        <f t="shared" si="40"/>
        <v>79.93645219281743</v>
      </c>
      <c r="BI76" s="561">
        <f t="shared" si="40"/>
        <v>5711.9</v>
      </c>
      <c r="BJ76" s="562">
        <f t="shared" si="40"/>
        <v>5687.599999999999</v>
      </c>
      <c r="BK76" s="562">
        <f t="shared" si="40"/>
        <v>7175.7</v>
      </c>
      <c r="BL76" s="563">
        <f t="shared" si="40"/>
        <v>7175.7</v>
      </c>
      <c r="BM76" s="823"/>
      <c r="BN76" s="683"/>
    </row>
    <row r="77" spans="1:66" ht="13.5" thickBot="1">
      <c r="A77" s="847"/>
      <c r="B77" s="848"/>
      <c r="C77" s="848"/>
      <c r="D77" s="849"/>
      <c r="E77" s="564" t="s">
        <v>27</v>
      </c>
      <c r="F77" s="556">
        <f>F18</f>
        <v>214293.27300000004</v>
      </c>
      <c r="G77" s="557">
        <f>G18</f>
        <v>210066.20000000004</v>
      </c>
      <c r="H77" s="558">
        <f>H18</f>
        <v>98.02743551357302</v>
      </c>
      <c r="I77" s="556">
        <f>I18</f>
        <v>1775</v>
      </c>
      <c r="J77" s="557">
        <f aca="true" t="shared" si="41" ref="J77:X77">J18</f>
        <v>1771.8</v>
      </c>
      <c r="K77" s="559">
        <f t="shared" si="41"/>
        <v>99.81971830985916</v>
      </c>
      <c r="L77" s="556">
        <f t="shared" si="41"/>
        <v>17128.600000000002</v>
      </c>
      <c r="M77" s="557">
        <f t="shared" si="41"/>
        <v>16629.6</v>
      </c>
      <c r="N77" s="558">
        <f t="shared" si="41"/>
        <v>97.0867438086008</v>
      </c>
      <c r="O77" s="556">
        <f t="shared" si="41"/>
        <v>18948.899999999998</v>
      </c>
      <c r="P77" s="557">
        <f t="shared" si="41"/>
        <v>18154.700000000004</v>
      </c>
      <c r="Q77" s="558">
        <f t="shared" si="41"/>
        <v>95.80872768340119</v>
      </c>
      <c r="R77" s="560">
        <f t="shared" si="41"/>
        <v>38052.3</v>
      </c>
      <c r="S77" s="557">
        <f t="shared" si="41"/>
        <v>36587.6</v>
      </c>
      <c r="T77" s="557" t="e">
        <f t="shared" si="41"/>
        <v>#DIV/0!</v>
      </c>
      <c r="U77" s="557">
        <f t="shared" si="41"/>
        <v>37852.5</v>
      </c>
      <c r="V77" s="559">
        <f t="shared" si="41"/>
        <v>37852.5</v>
      </c>
      <c r="W77" s="556">
        <f t="shared" si="41"/>
        <v>16113.8</v>
      </c>
      <c r="X77" s="557">
        <f t="shared" si="41"/>
        <v>15809.2</v>
      </c>
      <c r="Y77" s="558">
        <f>X77/W77*100</f>
        <v>98.10969479576514</v>
      </c>
      <c r="Z77" s="556">
        <f aca="true" t="shared" si="42" ref="Z77:AL77">Z18</f>
        <v>12504</v>
      </c>
      <c r="AA77" s="557">
        <f t="shared" si="42"/>
        <v>12784.800000000003</v>
      </c>
      <c r="AB77" s="558">
        <f t="shared" si="42"/>
        <v>102.2456813819578</v>
      </c>
      <c r="AC77" s="556">
        <f t="shared" si="42"/>
        <v>27163.2</v>
      </c>
      <c r="AD77" s="557">
        <f t="shared" si="42"/>
        <v>16564</v>
      </c>
      <c r="AE77" s="558">
        <f t="shared" si="42"/>
        <v>60.97956058196383</v>
      </c>
      <c r="AF77" s="560">
        <f t="shared" si="42"/>
        <v>92732.2</v>
      </c>
      <c r="AG77" s="557">
        <f t="shared" si="42"/>
        <v>82378.80000000002</v>
      </c>
      <c r="AH77" s="557">
        <f t="shared" si="42"/>
        <v>0</v>
      </c>
      <c r="AI77" s="557">
        <f t="shared" si="42"/>
        <v>55781</v>
      </c>
      <c r="AJ77" s="559">
        <f t="shared" si="42"/>
        <v>55781</v>
      </c>
      <c r="AK77" s="556">
        <f t="shared" si="42"/>
        <v>18797.399999999998</v>
      </c>
      <c r="AL77" s="557">
        <f t="shared" si="42"/>
        <v>19122.300000000003</v>
      </c>
      <c r="AM77" s="558">
        <v>100</v>
      </c>
      <c r="AN77" s="556">
        <f aca="true" t="shared" si="43" ref="AN77:BD77">AN18</f>
        <v>23106.2</v>
      </c>
      <c r="AO77" s="557">
        <f t="shared" si="43"/>
        <v>24444.099999999995</v>
      </c>
      <c r="AP77" s="558">
        <f t="shared" si="43"/>
        <v>105.79022080653675</v>
      </c>
      <c r="AQ77" s="556">
        <f t="shared" si="43"/>
        <v>21880.4</v>
      </c>
      <c r="AR77" s="557">
        <f t="shared" si="43"/>
        <v>20888.2</v>
      </c>
      <c r="AS77" s="558">
        <f t="shared" si="43"/>
        <v>95.46534798266941</v>
      </c>
      <c r="AT77" s="560">
        <f t="shared" si="43"/>
        <v>158554.9</v>
      </c>
      <c r="AU77" s="557">
        <f t="shared" si="43"/>
        <v>145636.70000000004</v>
      </c>
      <c r="AV77" s="557">
        <f t="shared" si="43"/>
        <v>0</v>
      </c>
      <c r="AW77" s="557">
        <f t="shared" si="43"/>
        <v>63473.8</v>
      </c>
      <c r="AX77" s="559">
        <f t="shared" si="43"/>
        <v>63473.8</v>
      </c>
      <c r="AY77" s="556">
        <f t="shared" si="43"/>
        <v>19828.5</v>
      </c>
      <c r="AZ77" s="557">
        <f t="shared" si="43"/>
        <v>22673.199999999997</v>
      </c>
      <c r="BA77" s="558">
        <f t="shared" si="43"/>
        <v>114.34652142118667</v>
      </c>
      <c r="BB77" s="556">
        <f t="shared" si="43"/>
        <v>13081.473</v>
      </c>
      <c r="BC77" s="557">
        <f t="shared" si="43"/>
        <v>12736.6</v>
      </c>
      <c r="BD77" s="557">
        <f t="shared" si="43"/>
        <v>0</v>
      </c>
      <c r="BE77" s="558">
        <f>BC77/BB77*100</f>
        <v>97.36365316046596</v>
      </c>
      <c r="BF77" s="556">
        <f t="shared" si="40"/>
        <v>23965.8</v>
      </c>
      <c r="BG77" s="557">
        <f t="shared" si="40"/>
        <v>28487.7</v>
      </c>
      <c r="BH77" s="558">
        <f t="shared" si="40"/>
        <v>118.86813709536091</v>
      </c>
      <c r="BI77" s="565">
        <f t="shared" si="40"/>
        <v>102245.70000000001</v>
      </c>
      <c r="BJ77" s="566">
        <f t="shared" si="40"/>
        <v>99018.20000000004</v>
      </c>
      <c r="BK77" s="566">
        <f t="shared" si="40"/>
        <v>56875.77300000001</v>
      </c>
      <c r="BL77" s="567">
        <f t="shared" si="40"/>
        <v>54820.473000000005</v>
      </c>
      <c r="BM77" s="823"/>
      <c r="BN77" s="683"/>
    </row>
    <row r="78" spans="1:66" ht="26.25" thickBot="1">
      <c r="A78" s="847"/>
      <c r="B78" s="848"/>
      <c r="C78" s="848"/>
      <c r="D78" s="849"/>
      <c r="E78" s="568" t="s">
        <v>149</v>
      </c>
      <c r="F78" s="569">
        <v>0</v>
      </c>
      <c r="G78" s="570">
        <v>0</v>
      </c>
      <c r="H78" s="571">
        <v>0</v>
      </c>
      <c r="I78" s="569">
        <v>0</v>
      </c>
      <c r="J78" s="570">
        <v>0</v>
      </c>
      <c r="K78" s="572">
        <v>0</v>
      </c>
      <c r="L78" s="569">
        <v>0</v>
      </c>
      <c r="M78" s="570">
        <v>0</v>
      </c>
      <c r="N78" s="571">
        <v>0</v>
      </c>
      <c r="O78" s="569">
        <v>0</v>
      </c>
      <c r="P78" s="570">
        <v>0</v>
      </c>
      <c r="Q78" s="571">
        <v>0</v>
      </c>
      <c r="R78" s="573"/>
      <c r="S78" s="570"/>
      <c r="T78" s="570"/>
      <c r="U78" s="570"/>
      <c r="V78" s="572"/>
      <c r="W78" s="569">
        <v>0</v>
      </c>
      <c r="X78" s="570">
        <v>0</v>
      </c>
      <c r="Y78" s="571">
        <v>0</v>
      </c>
      <c r="Z78" s="569">
        <v>0</v>
      </c>
      <c r="AA78" s="570">
        <v>0</v>
      </c>
      <c r="AB78" s="571">
        <v>0</v>
      </c>
      <c r="AC78" s="569">
        <v>0</v>
      </c>
      <c r="AD78" s="570">
        <v>0</v>
      </c>
      <c r="AE78" s="571">
        <v>0</v>
      </c>
      <c r="AF78" s="573"/>
      <c r="AG78" s="570"/>
      <c r="AH78" s="570"/>
      <c r="AI78" s="570"/>
      <c r="AJ78" s="572"/>
      <c r="AK78" s="569">
        <v>0</v>
      </c>
      <c r="AL78" s="570">
        <v>0</v>
      </c>
      <c r="AM78" s="571">
        <v>0</v>
      </c>
      <c r="AN78" s="569">
        <v>0</v>
      </c>
      <c r="AO78" s="570">
        <v>0</v>
      </c>
      <c r="AP78" s="571">
        <v>0</v>
      </c>
      <c r="AQ78" s="569">
        <v>0</v>
      </c>
      <c r="AR78" s="570">
        <v>0</v>
      </c>
      <c r="AS78" s="571">
        <v>0</v>
      </c>
      <c r="AT78" s="573"/>
      <c r="AU78" s="570"/>
      <c r="AV78" s="570"/>
      <c r="AW78" s="570"/>
      <c r="AX78" s="572"/>
      <c r="AY78" s="569">
        <v>0</v>
      </c>
      <c r="AZ78" s="570">
        <v>0</v>
      </c>
      <c r="BA78" s="571">
        <v>0</v>
      </c>
      <c r="BB78" s="569">
        <v>0</v>
      </c>
      <c r="BC78" s="570">
        <v>0</v>
      </c>
      <c r="BD78" s="570"/>
      <c r="BE78" s="571">
        <v>0</v>
      </c>
      <c r="BF78" s="569">
        <v>0</v>
      </c>
      <c r="BG78" s="570">
        <v>0</v>
      </c>
      <c r="BH78" s="571">
        <v>0</v>
      </c>
      <c r="BI78" s="574"/>
      <c r="BJ78" s="575"/>
      <c r="BK78" s="575"/>
      <c r="BL78" s="576"/>
      <c r="BM78" s="823"/>
      <c r="BN78" s="683"/>
    </row>
    <row r="79" spans="1:66" ht="39" thickBot="1">
      <c r="A79" s="847"/>
      <c r="B79" s="848"/>
      <c r="C79" s="848"/>
      <c r="D79" s="850"/>
      <c r="E79" s="577" t="s">
        <v>90</v>
      </c>
      <c r="F79" s="569">
        <f>F20</f>
        <v>3315.8999999999996</v>
      </c>
      <c r="G79" s="570">
        <f aca="true" t="shared" si="44" ref="G79:BL79">G20</f>
        <v>3315.8999999999996</v>
      </c>
      <c r="H79" s="571">
        <f t="shared" si="44"/>
        <v>100</v>
      </c>
      <c r="I79" s="569">
        <f t="shared" si="44"/>
        <v>0</v>
      </c>
      <c r="J79" s="570">
        <f>J20</f>
        <v>0</v>
      </c>
      <c r="K79" s="572">
        <f t="shared" si="44"/>
        <v>0</v>
      </c>
      <c r="L79" s="569">
        <f t="shared" si="44"/>
        <v>0</v>
      </c>
      <c r="M79" s="570">
        <f t="shared" si="44"/>
        <v>0</v>
      </c>
      <c r="N79" s="571">
        <f t="shared" si="44"/>
        <v>0</v>
      </c>
      <c r="O79" s="569">
        <f t="shared" si="44"/>
        <v>2786.8999999999996</v>
      </c>
      <c r="P79" s="570">
        <f t="shared" si="44"/>
        <v>2786.8999999999996</v>
      </c>
      <c r="Q79" s="571">
        <f t="shared" si="44"/>
        <v>100</v>
      </c>
      <c r="R79" s="573">
        <f t="shared" si="44"/>
        <v>0</v>
      </c>
      <c r="S79" s="570">
        <f t="shared" si="44"/>
        <v>0</v>
      </c>
      <c r="T79" s="570">
        <f t="shared" si="44"/>
        <v>0</v>
      </c>
      <c r="U79" s="570">
        <f t="shared" si="44"/>
        <v>419.2</v>
      </c>
      <c r="V79" s="572">
        <f t="shared" si="44"/>
        <v>0</v>
      </c>
      <c r="W79" s="569">
        <f t="shared" si="44"/>
        <v>529</v>
      </c>
      <c r="X79" s="570">
        <f t="shared" si="44"/>
        <v>529</v>
      </c>
      <c r="Y79" s="571">
        <f t="shared" si="44"/>
        <v>100</v>
      </c>
      <c r="Z79" s="569">
        <f t="shared" si="44"/>
        <v>0</v>
      </c>
      <c r="AA79" s="570">
        <f t="shared" si="44"/>
        <v>0</v>
      </c>
      <c r="AB79" s="571">
        <f t="shared" si="44"/>
        <v>0</v>
      </c>
      <c r="AC79" s="569">
        <f t="shared" si="44"/>
        <v>0</v>
      </c>
      <c r="AD79" s="570">
        <f t="shared" si="44"/>
        <v>0</v>
      </c>
      <c r="AE79" s="571">
        <f t="shared" si="44"/>
        <v>0</v>
      </c>
      <c r="AF79" s="573">
        <f t="shared" si="44"/>
        <v>0</v>
      </c>
      <c r="AG79" s="570">
        <f t="shared" si="44"/>
        <v>0</v>
      </c>
      <c r="AH79" s="570">
        <f t="shared" si="44"/>
        <v>0</v>
      </c>
      <c r="AI79" s="570">
        <f t="shared" si="44"/>
        <v>0</v>
      </c>
      <c r="AJ79" s="572">
        <f t="shared" si="44"/>
        <v>0</v>
      </c>
      <c r="AK79" s="569">
        <f t="shared" si="44"/>
        <v>0</v>
      </c>
      <c r="AL79" s="570">
        <f t="shared" si="44"/>
        <v>0</v>
      </c>
      <c r="AM79" s="571">
        <f t="shared" si="44"/>
        <v>0</v>
      </c>
      <c r="AN79" s="569">
        <f t="shared" si="44"/>
        <v>0</v>
      </c>
      <c r="AO79" s="570">
        <f t="shared" si="44"/>
        <v>0</v>
      </c>
      <c r="AP79" s="571">
        <f t="shared" si="44"/>
        <v>0</v>
      </c>
      <c r="AQ79" s="569">
        <f t="shared" si="44"/>
        <v>0</v>
      </c>
      <c r="AR79" s="570">
        <f t="shared" si="44"/>
        <v>0</v>
      </c>
      <c r="AS79" s="571">
        <f t="shared" si="44"/>
        <v>0</v>
      </c>
      <c r="AT79" s="573">
        <f t="shared" si="44"/>
        <v>0</v>
      </c>
      <c r="AU79" s="570">
        <f t="shared" si="44"/>
        <v>0</v>
      </c>
      <c r="AV79" s="570">
        <f t="shared" si="44"/>
        <v>0</v>
      </c>
      <c r="AW79" s="570">
        <f t="shared" si="44"/>
        <v>0</v>
      </c>
      <c r="AX79" s="572">
        <f t="shared" si="44"/>
        <v>0</v>
      </c>
      <c r="AY79" s="569">
        <f t="shared" si="44"/>
        <v>0</v>
      </c>
      <c r="AZ79" s="570">
        <f t="shared" si="44"/>
        <v>0</v>
      </c>
      <c r="BA79" s="571">
        <f t="shared" si="44"/>
        <v>0</v>
      </c>
      <c r="BB79" s="569">
        <f t="shared" si="44"/>
        <v>0</v>
      </c>
      <c r="BC79" s="570">
        <f t="shared" si="44"/>
        <v>0</v>
      </c>
      <c r="BD79" s="570">
        <f t="shared" si="44"/>
        <v>0</v>
      </c>
      <c r="BE79" s="571">
        <f t="shared" si="44"/>
        <v>0</v>
      </c>
      <c r="BF79" s="569">
        <f t="shared" si="44"/>
        <v>0</v>
      </c>
      <c r="BG79" s="570">
        <f t="shared" si="44"/>
        <v>0</v>
      </c>
      <c r="BH79" s="571">
        <f t="shared" si="44"/>
        <v>0</v>
      </c>
      <c r="BI79" s="578">
        <f t="shared" si="44"/>
        <v>0</v>
      </c>
      <c r="BJ79" s="579">
        <f t="shared" si="44"/>
        <v>0</v>
      </c>
      <c r="BK79" s="579">
        <f t="shared" si="44"/>
        <v>0</v>
      </c>
      <c r="BL79" s="579">
        <f t="shared" si="44"/>
        <v>0</v>
      </c>
      <c r="BM79" s="824"/>
      <c r="BN79" s="684"/>
    </row>
    <row r="80" spans="1:66" ht="16.5" customHeight="1">
      <c r="A80" s="828" t="s">
        <v>127</v>
      </c>
      <c r="B80" s="829"/>
      <c r="C80" s="830"/>
      <c r="D80" s="182"/>
      <c r="E80" s="580" t="s">
        <v>73</v>
      </c>
      <c r="F80" s="289">
        <f>F83</f>
        <v>496</v>
      </c>
      <c r="G80" s="287">
        <f>G83</f>
        <v>271</v>
      </c>
      <c r="H80" s="306">
        <f>H83</f>
        <v>54.63709677419355</v>
      </c>
      <c r="I80" s="305">
        <v>0</v>
      </c>
      <c r="J80" s="287">
        <v>0</v>
      </c>
      <c r="K80" s="293">
        <v>0</v>
      </c>
      <c r="L80" s="305">
        <v>0</v>
      </c>
      <c r="M80" s="287">
        <v>0</v>
      </c>
      <c r="N80" s="293">
        <v>0</v>
      </c>
      <c r="O80" s="305">
        <v>0</v>
      </c>
      <c r="P80" s="287">
        <v>0</v>
      </c>
      <c r="Q80" s="293">
        <v>0</v>
      </c>
      <c r="R80" s="289">
        <v>0</v>
      </c>
      <c r="S80" s="287">
        <v>0</v>
      </c>
      <c r="T80" s="287">
        <v>0</v>
      </c>
      <c r="U80" s="287">
        <v>0</v>
      </c>
      <c r="V80" s="306">
        <v>0</v>
      </c>
      <c r="W80" s="305">
        <v>0</v>
      </c>
      <c r="X80" s="287">
        <v>0</v>
      </c>
      <c r="Y80" s="293">
        <v>0</v>
      </c>
      <c r="Z80" s="305">
        <v>0</v>
      </c>
      <c r="AA80" s="287">
        <v>0</v>
      </c>
      <c r="AB80" s="293">
        <v>0</v>
      </c>
      <c r="AC80" s="305">
        <v>0</v>
      </c>
      <c r="AD80" s="287">
        <v>0</v>
      </c>
      <c r="AE80" s="293">
        <v>0</v>
      </c>
      <c r="AF80" s="289">
        <v>0</v>
      </c>
      <c r="AG80" s="287">
        <v>0</v>
      </c>
      <c r="AH80" s="287">
        <v>0</v>
      </c>
      <c r="AI80" s="287">
        <v>0</v>
      </c>
      <c r="AJ80" s="287">
        <v>0</v>
      </c>
      <c r="AK80" s="287">
        <v>0</v>
      </c>
      <c r="AL80" s="287">
        <v>0</v>
      </c>
      <c r="AM80" s="306">
        <v>0</v>
      </c>
      <c r="AN80" s="305">
        <v>0</v>
      </c>
      <c r="AO80" s="287">
        <v>0</v>
      </c>
      <c r="AP80" s="293">
        <v>0</v>
      </c>
      <c r="AQ80" s="305">
        <v>99.9</v>
      </c>
      <c r="AR80" s="287">
        <v>0</v>
      </c>
      <c r="AS80" s="293">
        <v>0</v>
      </c>
      <c r="AT80" s="289">
        <v>0</v>
      </c>
      <c r="AU80" s="287">
        <v>0</v>
      </c>
      <c r="AV80" s="287">
        <v>0</v>
      </c>
      <c r="AW80" s="287">
        <v>0</v>
      </c>
      <c r="AX80" s="306">
        <v>0</v>
      </c>
      <c r="AY80" s="305">
        <v>0</v>
      </c>
      <c r="AZ80" s="287">
        <v>0</v>
      </c>
      <c r="BA80" s="293">
        <v>0</v>
      </c>
      <c r="BB80" s="305">
        <v>0</v>
      </c>
      <c r="BC80" s="287">
        <v>0</v>
      </c>
      <c r="BD80" s="287">
        <v>0</v>
      </c>
      <c r="BE80" s="293">
        <v>0</v>
      </c>
      <c r="BF80" s="305">
        <f>BF83</f>
        <v>396.1</v>
      </c>
      <c r="BG80" s="287">
        <f>BG83</f>
        <v>271</v>
      </c>
      <c r="BH80" s="293">
        <f>BH83</f>
        <v>68.4170663973744</v>
      </c>
      <c r="BM80" s="682"/>
      <c r="BN80" s="682"/>
    </row>
    <row r="81" spans="1:66" ht="16.5" customHeight="1" hidden="1">
      <c r="A81" s="831"/>
      <c r="B81" s="832"/>
      <c r="C81" s="833"/>
      <c r="D81" s="182"/>
      <c r="E81" s="581" t="s">
        <v>148</v>
      </c>
      <c r="F81" s="290">
        <v>0</v>
      </c>
      <c r="G81" s="286">
        <v>0</v>
      </c>
      <c r="H81" s="302">
        <v>0</v>
      </c>
      <c r="I81" s="299">
        <v>0</v>
      </c>
      <c r="J81" s="286">
        <v>0</v>
      </c>
      <c r="K81" s="297">
        <v>0</v>
      </c>
      <c r="L81" s="299">
        <v>0</v>
      </c>
      <c r="M81" s="286">
        <v>0</v>
      </c>
      <c r="N81" s="297">
        <v>0</v>
      </c>
      <c r="O81" s="299">
        <v>0</v>
      </c>
      <c r="P81" s="286">
        <v>0</v>
      </c>
      <c r="Q81" s="297">
        <v>0</v>
      </c>
      <c r="R81" s="290"/>
      <c r="S81" s="286"/>
      <c r="T81" s="286"/>
      <c r="U81" s="286"/>
      <c r="V81" s="302"/>
      <c r="W81" s="299">
        <v>0</v>
      </c>
      <c r="X81" s="286">
        <v>0</v>
      </c>
      <c r="Y81" s="297">
        <v>0</v>
      </c>
      <c r="Z81" s="299">
        <v>0</v>
      </c>
      <c r="AA81" s="286">
        <v>0</v>
      </c>
      <c r="AB81" s="297">
        <v>0</v>
      </c>
      <c r="AC81" s="299">
        <v>0</v>
      </c>
      <c r="AD81" s="286">
        <v>0</v>
      </c>
      <c r="AE81" s="297">
        <v>0</v>
      </c>
      <c r="AF81" s="290"/>
      <c r="AG81" s="286"/>
      <c r="AH81" s="286"/>
      <c r="AI81" s="286"/>
      <c r="AJ81" s="286"/>
      <c r="AK81" s="286">
        <v>0</v>
      </c>
      <c r="AL81" s="286">
        <v>0</v>
      </c>
      <c r="AM81" s="302">
        <v>0</v>
      </c>
      <c r="AN81" s="299">
        <v>0</v>
      </c>
      <c r="AO81" s="286">
        <v>0</v>
      </c>
      <c r="AP81" s="297">
        <v>0</v>
      </c>
      <c r="AQ81" s="299">
        <v>0</v>
      </c>
      <c r="AR81" s="286">
        <v>0</v>
      </c>
      <c r="AS81" s="297">
        <v>0</v>
      </c>
      <c r="AT81" s="290"/>
      <c r="AU81" s="286"/>
      <c r="AV81" s="286"/>
      <c r="AW81" s="286"/>
      <c r="AX81" s="302"/>
      <c r="AY81" s="299">
        <v>0</v>
      </c>
      <c r="AZ81" s="286">
        <v>0</v>
      </c>
      <c r="BA81" s="297">
        <v>0</v>
      </c>
      <c r="BB81" s="299">
        <v>0</v>
      </c>
      <c r="BC81" s="286">
        <v>0</v>
      </c>
      <c r="BD81" s="286"/>
      <c r="BE81" s="297">
        <v>0</v>
      </c>
      <c r="BF81" s="299">
        <v>0</v>
      </c>
      <c r="BG81" s="286">
        <v>0</v>
      </c>
      <c r="BH81" s="297">
        <v>0</v>
      </c>
      <c r="BM81" s="683"/>
      <c r="BN81" s="683"/>
    </row>
    <row r="82" spans="1:66" ht="25.5">
      <c r="A82" s="831"/>
      <c r="B82" s="832"/>
      <c r="C82" s="833"/>
      <c r="D82" s="182"/>
      <c r="E82" s="581" t="s">
        <v>74</v>
      </c>
      <c r="F82" s="290">
        <v>0</v>
      </c>
      <c r="G82" s="286">
        <v>0</v>
      </c>
      <c r="H82" s="302">
        <v>0</v>
      </c>
      <c r="I82" s="299">
        <v>0</v>
      </c>
      <c r="J82" s="286">
        <v>0</v>
      </c>
      <c r="K82" s="297">
        <v>0</v>
      </c>
      <c r="L82" s="299">
        <v>0</v>
      </c>
      <c r="M82" s="286">
        <v>0</v>
      </c>
      <c r="N82" s="297">
        <v>0</v>
      </c>
      <c r="O82" s="299">
        <v>0</v>
      </c>
      <c r="P82" s="286">
        <v>0</v>
      </c>
      <c r="Q82" s="297">
        <v>0</v>
      </c>
      <c r="R82" s="290">
        <v>0</v>
      </c>
      <c r="S82" s="286">
        <v>0</v>
      </c>
      <c r="T82" s="286">
        <v>0</v>
      </c>
      <c r="U82" s="286">
        <v>0</v>
      </c>
      <c r="V82" s="302">
        <v>0</v>
      </c>
      <c r="W82" s="299">
        <v>0</v>
      </c>
      <c r="X82" s="286">
        <v>0</v>
      </c>
      <c r="Y82" s="297">
        <v>0</v>
      </c>
      <c r="Z82" s="299">
        <v>0</v>
      </c>
      <c r="AA82" s="286">
        <v>0</v>
      </c>
      <c r="AB82" s="297">
        <v>0</v>
      </c>
      <c r="AC82" s="299">
        <v>0</v>
      </c>
      <c r="AD82" s="286">
        <v>0</v>
      </c>
      <c r="AE82" s="297">
        <v>0</v>
      </c>
      <c r="AF82" s="290">
        <v>0</v>
      </c>
      <c r="AG82" s="286">
        <v>0</v>
      </c>
      <c r="AH82" s="286">
        <v>0</v>
      </c>
      <c r="AI82" s="286">
        <v>0</v>
      </c>
      <c r="AJ82" s="286">
        <v>0</v>
      </c>
      <c r="AK82" s="286">
        <v>0</v>
      </c>
      <c r="AL82" s="286">
        <v>0</v>
      </c>
      <c r="AM82" s="302">
        <v>0</v>
      </c>
      <c r="AN82" s="299">
        <v>0</v>
      </c>
      <c r="AO82" s="286">
        <v>0</v>
      </c>
      <c r="AP82" s="297">
        <v>0</v>
      </c>
      <c r="AQ82" s="299">
        <v>0</v>
      </c>
      <c r="AR82" s="286">
        <v>0</v>
      </c>
      <c r="AS82" s="297">
        <v>0</v>
      </c>
      <c r="AT82" s="290">
        <v>0</v>
      </c>
      <c r="AU82" s="286">
        <v>0</v>
      </c>
      <c r="AV82" s="286">
        <v>0</v>
      </c>
      <c r="AW82" s="286">
        <v>0</v>
      </c>
      <c r="AX82" s="302">
        <v>0</v>
      </c>
      <c r="AY82" s="299">
        <v>0</v>
      </c>
      <c r="AZ82" s="286">
        <v>0</v>
      </c>
      <c r="BA82" s="297">
        <v>0</v>
      </c>
      <c r="BB82" s="299">
        <v>0</v>
      </c>
      <c r="BC82" s="286">
        <v>0</v>
      </c>
      <c r="BD82" s="286">
        <v>0</v>
      </c>
      <c r="BE82" s="297">
        <v>0</v>
      </c>
      <c r="BF82" s="299">
        <v>0</v>
      </c>
      <c r="BG82" s="286">
        <v>0</v>
      </c>
      <c r="BH82" s="297">
        <v>0</v>
      </c>
      <c r="BM82" s="683"/>
      <c r="BN82" s="683"/>
    </row>
    <row r="83" spans="1:66" ht="13.5" thickBot="1">
      <c r="A83" s="831"/>
      <c r="B83" s="832"/>
      <c r="C83" s="833"/>
      <c r="D83" s="182"/>
      <c r="E83" s="581" t="s">
        <v>27</v>
      </c>
      <c r="F83" s="290">
        <v>496</v>
      </c>
      <c r="G83" s="286">
        <v>271</v>
      </c>
      <c r="H83" s="302">
        <f>G83/F83*100</f>
        <v>54.63709677419355</v>
      </c>
      <c r="I83" s="299">
        <v>0</v>
      </c>
      <c r="J83" s="286">
        <v>0</v>
      </c>
      <c r="K83" s="297">
        <v>0</v>
      </c>
      <c r="L83" s="299">
        <v>0</v>
      </c>
      <c r="M83" s="286">
        <v>0</v>
      </c>
      <c r="N83" s="297">
        <v>0</v>
      </c>
      <c r="O83" s="299">
        <v>0</v>
      </c>
      <c r="P83" s="286">
        <v>0</v>
      </c>
      <c r="Q83" s="297">
        <v>0</v>
      </c>
      <c r="R83" s="290">
        <v>0</v>
      </c>
      <c r="S83" s="286">
        <v>0</v>
      </c>
      <c r="T83" s="286">
        <v>0</v>
      </c>
      <c r="U83" s="286">
        <v>0</v>
      </c>
      <c r="V83" s="302">
        <v>0</v>
      </c>
      <c r="W83" s="299">
        <v>0</v>
      </c>
      <c r="X83" s="286">
        <v>0</v>
      </c>
      <c r="Y83" s="297">
        <v>0</v>
      </c>
      <c r="Z83" s="299">
        <v>0</v>
      </c>
      <c r="AA83" s="286">
        <v>0</v>
      </c>
      <c r="AB83" s="297">
        <v>0</v>
      </c>
      <c r="AC83" s="299">
        <v>0</v>
      </c>
      <c r="AD83" s="286">
        <v>0</v>
      </c>
      <c r="AE83" s="297">
        <v>0</v>
      </c>
      <c r="AF83" s="290">
        <v>0</v>
      </c>
      <c r="AG83" s="286">
        <v>0</v>
      </c>
      <c r="AH83" s="286">
        <v>0</v>
      </c>
      <c r="AI83" s="286">
        <v>0</v>
      </c>
      <c r="AJ83" s="286">
        <v>0</v>
      </c>
      <c r="AK83" s="286">
        <v>0</v>
      </c>
      <c r="AL83" s="286">
        <v>0</v>
      </c>
      <c r="AM83" s="302">
        <v>0</v>
      </c>
      <c r="AN83" s="299">
        <v>0</v>
      </c>
      <c r="AO83" s="286">
        <v>0</v>
      </c>
      <c r="AP83" s="297">
        <v>0</v>
      </c>
      <c r="AQ83" s="299">
        <v>99.9</v>
      </c>
      <c r="AR83" s="286">
        <v>0</v>
      </c>
      <c r="AS83" s="297">
        <v>0</v>
      </c>
      <c r="AT83" s="290">
        <v>0</v>
      </c>
      <c r="AU83" s="286">
        <v>0</v>
      </c>
      <c r="AV83" s="286">
        <v>0</v>
      </c>
      <c r="AW83" s="286">
        <v>0</v>
      </c>
      <c r="AX83" s="302">
        <v>0</v>
      </c>
      <c r="AY83" s="299">
        <v>0</v>
      </c>
      <c r="AZ83" s="286">
        <v>0</v>
      </c>
      <c r="BA83" s="297">
        <v>0</v>
      </c>
      <c r="BB83" s="299">
        <v>0</v>
      </c>
      <c r="BC83" s="286">
        <v>0</v>
      </c>
      <c r="BD83" s="286">
        <v>0</v>
      </c>
      <c r="BE83" s="297">
        <v>0</v>
      </c>
      <c r="BF83" s="299">
        <v>396.1</v>
      </c>
      <c r="BG83" s="286">
        <v>271</v>
      </c>
      <c r="BH83" s="297">
        <f>BG83/BF83*100</f>
        <v>68.4170663973744</v>
      </c>
      <c r="BM83" s="684"/>
      <c r="BN83" s="684"/>
    </row>
    <row r="84" spans="1:66" ht="31.5" customHeight="1" hidden="1" thickBot="1">
      <c r="A84" s="834"/>
      <c r="B84" s="835"/>
      <c r="C84" s="836"/>
      <c r="D84" s="182"/>
      <c r="E84" s="598" t="s">
        <v>149</v>
      </c>
      <c r="F84" s="599">
        <v>0</v>
      </c>
      <c r="G84" s="600">
        <v>0</v>
      </c>
      <c r="H84" s="601">
        <v>0</v>
      </c>
      <c r="I84" s="602">
        <v>0</v>
      </c>
      <c r="J84" s="600">
        <v>0</v>
      </c>
      <c r="K84" s="603">
        <v>0</v>
      </c>
      <c r="L84" s="602">
        <v>0</v>
      </c>
      <c r="M84" s="600">
        <v>0</v>
      </c>
      <c r="N84" s="603">
        <v>0</v>
      </c>
      <c r="O84" s="602">
        <v>0</v>
      </c>
      <c r="P84" s="600">
        <v>0</v>
      </c>
      <c r="Q84" s="603">
        <v>0</v>
      </c>
      <c r="R84" s="599"/>
      <c r="S84" s="600"/>
      <c r="T84" s="600"/>
      <c r="U84" s="600"/>
      <c r="V84" s="601"/>
      <c r="W84" s="602">
        <v>0</v>
      </c>
      <c r="X84" s="600">
        <v>0</v>
      </c>
      <c r="Y84" s="603">
        <v>0</v>
      </c>
      <c r="Z84" s="602">
        <v>0</v>
      </c>
      <c r="AA84" s="600">
        <v>0</v>
      </c>
      <c r="AB84" s="603">
        <v>0</v>
      </c>
      <c r="AC84" s="602">
        <v>0</v>
      </c>
      <c r="AD84" s="600">
        <v>0</v>
      </c>
      <c r="AE84" s="603">
        <v>0</v>
      </c>
      <c r="AF84" s="599"/>
      <c r="AG84" s="600"/>
      <c r="AH84" s="600"/>
      <c r="AI84" s="600"/>
      <c r="AJ84" s="600"/>
      <c r="AK84" s="600">
        <v>0</v>
      </c>
      <c r="AL84" s="600">
        <v>0</v>
      </c>
      <c r="AM84" s="601">
        <v>0</v>
      </c>
      <c r="AN84" s="602">
        <v>0</v>
      </c>
      <c r="AO84" s="600">
        <v>0</v>
      </c>
      <c r="AP84" s="603">
        <v>0</v>
      </c>
      <c r="AQ84" s="602">
        <v>0</v>
      </c>
      <c r="AR84" s="600">
        <v>0</v>
      </c>
      <c r="AS84" s="603">
        <v>0</v>
      </c>
      <c r="AT84" s="599"/>
      <c r="AU84" s="600"/>
      <c r="AV84" s="600"/>
      <c r="AW84" s="600"/>
      <c r="AX84" s="601"/>
      <c r="AY84" s="602">
        <v>0</v>
      </c>
      <c r="AZ84" s="600">
        <v>0</v>
      </c>
      <c r="BA84" s="603">
        <v>0</v>
      </c>
      <c r="BB84" s="602">
        <v>0</v>
      </c>
      <c r="BC84" s="600">
        <v>0</v>
      </c>
      <c r="BD84" s="600"/>
      <c r="BE84" s="603">
        <v>0</v>
      </c>
      <c r="BF84" s="602">
        <v>0</v>
      </c>
      <c r="BG84" s="600">
        <v>0</v>
      </c>
      <c r="BH84" s="603">
        <v>0</v>
      </c>
      <c r="BM84" s="312"/>
      <c r="BN84" s="312"/>
    </row>
    <row r="85" spans="1:66" ht="15" customHeight="1" thickBot="1">
      <c r="A85" s="670" t="s">
        <v>128</v>
      </c>
      <c r="B85" s="719"/>
      <c r="C85" s="720"/>
      <c r="D85" s="182"/>
      <c r="E85" s="583" t="s">
        <v>73</v>
      </c>
      <c r="F85" s="305">
        <f>F74-496</f>
        <v>225789.17300000004</v>
      </c>
      <c r="G85" s="287">
        <f>G74-G80</f>
        <v>218719.70000000004</v>
      </c>
      <c r="H85" s="293">
        <f aca="true" t="shared" si="45" ref="H85:BH85">H74</f>
        <v>96.77642467542493</v>
      </c>
      <c r="I85" s="305">
        <f t="shared" si="45"/>
        <v>1775</v>
      </c>
      <c r="J85" s="287">
        <f t="shared" si="45"/>
        <v>1771.8</v>
      </c>
      <c r="K85" s="293">
        <f t="shared" si="45"/>
        <v>99.81971830985916</v>
      </c>
      <c r="L85" s="305">
        <f t="shared" si="45"/>
        <v>17228.5</v>
      </c>
      <c r="M85" s="287">
        <f t="shared" si="45"/>
        <v>16629.6</v>
      </c>
      <c r="N85" s="293">
        <f t="shared" si="45"/>
        <v>96.52378326609977</v>
      </c>
      <c r="O85" s="305">
        <f t="shared" si="45"/>
        <v>19048.8</v>
      </c>
      <c r="P85" s="287">
        <f t="shared" si="45"/>
        <v>18186.200000000004</v>
      </c>
      <c r="Q85" s="293">
        <f t="shared" si="45"/>
        <v>95.47163075889299</v>
      </c>
      <c r="R85" s="289">
        <f t="shared" si="45"/>
        <v>38052.3</v>
      </c>
      <c r="S85" s="287">
        <f t="shared" si="45"/>
        <v>36587.6</v>
      </c>
      <c r="T85" s="287" t="e">
        <f t="shared" si="45"/>
        <v>#DIV/0!</v>
      </c>
      <c r="U85" s="287">
        <f t="shared" si="45"/>
        <v>38052.3</v>
      </c>
      <c r="V85" s="306">
        <f t="shared" si="45"/>
        <v>38052.3</v>
      </c>
      <c r="W85" s="305">
        <f t="shared" si="45"/>
        <v>17110.1</v>
      </c>
      <c r="X85" s="287">
        <f t="shared" si="45"/>
        <v>16333</v>
      </c>
      <c r="Y85" s="293">
        <f t="shared" si="45"/>
        <v>95.45823811666794</v>
      </c>
      <c r="Z85" s="305">
        <f t="shared" si="45"/>
        <v>12523.4</v>
      </c>
      <c r="AA85" s="287">
        <f t="shared" si="45"/>
        <v>12969.600000000002</v>
      </c>
      <c r="AB85" s="293">
        <f t="shared" si="45"/>
        <v>103.5629301946756</v>
      </c>
      <c r="AC85" s="305">
        <f t="shared" si="45"/>
        <v>27163.2</v>
      </c>
      <c r="AD85" s="287">
        <f t="shared" si="45"/>
        <v>16579.5</v>
      </c>
      <c r="AE85" s="293">
        <f t="shared" si="45"/>
        <v>61.03662307828238</v>
      </c>
      <c r="AF85" s="289">
        <f t="shared" si="45"/>
        <v>94849.00000000001</v>
      </c>
      <c r="AG85" s="287">
        <f t="shared" si="45"/>
        <v>82469.70000000003</v>
      </c>
      <c r="AH85" s="287">
        <f t="shared" si="45"/>
        <v>0</v>
      </c>
      <c r="AI85" s="287">
        <f t="shared" si="45"/>
        <v>56796.700000000004</v>
      </c>
      <c r="AJ85" s="306">
        <f t="shared" si="45"/>
        <v>56796.700000000004</v>
      </c>
      <c r="AK85" s="305">
        <f t="shared" si="45"/>
        <v>19693.8</v>
      </c>
      <c r="AL85" s="287">
        <f t="shared" si="45"/>
        <v>19605.800000000003</v>
      </c>
      <c r="AM85" s="293">
        <f>AL85/AK85*100</f>
        <v>99.55315886218</v>
      </c>
      <c r="AN85" s="305">
        <f t="shared" si="45"/>
        <v>24260.5</v>
      </c>
      <c r="AO85" s="287">
        <f t="shared" si="45"/>
        <v>25656.699999999997</v>
      </c>
      <c r="AP85" s="293">
        <f t="shared" si="45"/>
        <v>105.75503390284618</v>
      </c>
      <c r="AQ85" s="289">
        <f>AQ74-AQ80</f>
        <v>23330.5</v>
      </c>
      <c r="AR85" s="287">
        <f t="shared" si="45"/>
        <v>20888.2</v>
      </c>
      <c r="AS85" s="287">
        <f t="shared" si="45"/>
        <v>89.14999317126467</v>
      </c>
      <c r="AT85" s="287">
        <f t="shared" si="45"/>
        <v>160769.2</v>
      </c>
      <c r="AU85" s="287">
        <f t="shared" si="45"/>
        <v>147466.10000000003</v>
      </c>
      <c r="AV85" s="287">
        <f t="shared" si="45"/>
        <v>0</v>
      </c>
      <c r="AW85" s="287">
        <f t="shared" si="45"/>
        <v>67074.5</v>
      </c>
      <c r="AX85" s="306">
        <f t="shared" si="45"/>
        <v>67384.7</v>
      </c>
      <c r="AY85" s="305">
        <f t="shared" si="45"/>
        <v>19828.5</v>
      </c>
      <c r="AZ85" s="287">
        <f t="shared" si="45"/>
        <v>22815.1</v>
      </c>
      <c r="BA85" s="293">
        <f t="shared" si="45"/>
        <v>115.06215800489194</v>
      </c>
      <c r="BB85" s="305">
        <f t="shared" si="45"/>
        <v>13081.473</v>
      </c>
      <c r="BC85" s="287">
        <f t="shared" si="45"/>
        <v>13331.5</v>
      </c>
      <c r="BD85" s="287">
        <f t="shared" si="45"/>
        <v>0</v>
      </c>
      <c r="BE85" s="293">
        <f t="shared" si="45"/>
        <v>101.91130616559772</v>
      </c>
      <c r="BF85" s="289">
        <f>BF74-396.1</f>
        <v>30745.4</v>
      </c>
      <c r="BG85" s="287">
        <f>BG74-BG80</f>
        <v>33952.7</v>
      </c>
      <c r="BH85" s="293">
        <f t="shared" si="45"/>
        <v>109.89740378594479</v>
      </c>
      <c r="BI85" s="307"/>
      <c r="BJ85" s="307"/>
      <c r="BK85" s="307"/>
      <c r="BL85" s="307"/>
      <c r="BM85" s="682"/>
      <c r="BN85" s="682"/>
    </row>
    <row r="86" spans="1:66" ht="27.75" customHeight="1" thickBot="1">
      <c r="A86" s="721"/>
      <c r="B86" s="722"/>
      <c r="C86" s="723"/>
      <c r="D86" s="182"/>
      <c r="E86" s="583" t="s">
        <v>74</v>
      </c>
      <c r="F86" s="299">
        <f>F76</f>
        <v>11991.9</v>
      </c>
      <c r="G86" s="286">
        <f aca="true" t="shared" si="46" ref="G86:BH86">G76</f>
        <v>8924.499999999998</v>
      </c>
      <c r="H86" s="297">
        <f t="shared" si="46"/>
        <v>74.42106755393223</v>
      </c>
      <c r="I86" s="299">
        <f t="shared" si="46"/>
        <v>0</v>
      </c>
      <c r="J86" s="286">
        <f t="shared" si="46"/>
        <v>0</v>
      </c>
      <c r="K86" s="297">
        <f t="shared" si="46"/>
        <v>0</v>
      </c>
      <c r="L86" s="299">
        <f t="shared" si="46"/>
        <v>99.9</v>
      </c>
      <c r="M86" s="286">
        <f t="shared" si="46"/>
        <v>0</v>
      </c>
      <c r="N86" s="297">
        <f t="shared" si="46"/>
        <v>0</v>
      </c>
      <c r="O86" s="299">
        <f t="shared" si="46"/>
        <v>99.9</v>
      </c>
      <c r="P86" s="286">
        <f t="shared" si="46"/>
        <v>31.5</v>
      </c>
      <c r="Q86" s="297">
        <f>Q76</f>
        <v>31.53153153153153</v>
      </c>
      <c r="R86" s="290">
        <f t="shared" si="46"/>
        <v>1673</v>
      </c>
      <c r="S86" s="286">
        <f t="shared" si="46"/>
        <v>1568.1</v>
      </c>
      <c r="T86" s="286">
        <f t="shared" si="46"/>
        <v>188.95938710067762</v>
      </c>
      <c r="U86" s="286">
        <f t="shared" si="46"/>
        <v>199.8</v>
      </c>
      <c r="V86" s="302">
        <f t="shared" si="46"/>
        <v>199.8</v>
      </c>
      <c r="W86" s="299">
        <f t="shared" si="46"/>
        <v>996.3</v>
      </c>
      <c r="X86" s="286">
        <f t="shared" si="46"/>
        <v>523.8</v>
      </c>
      <c r="Y86" s="297">
        <f t="shared" si="46"/>
        <v>52.574525745257446</v>
      </c>
      <c r="Z86" s="299">
        <f t="shared" si="46"/>
        <v>19.4</v>
      </c>
      <c r="AA86" s="286">
        <f t="shared" si="46"/>
        <v>184.8</v>
      </c>
      <c r="AB86" s="297">
        <f t="shared" si="46"/>
        <v>952.5773195876291</v>
      </c>
      <c r="AC86" s="299">
        <f t="shared" si="46"/>
        <v>0</v>
      </c>
      <c r="AD86" s="286">
        <f t="shared" si="46"/>
        <v>15.5</v>
      </c>
      <c r="AE86" s="297">
        <f t="shared" si="46"/>
        <v>0</v>
      </c>
      <c r="AF86" s="290">
        <f t="shared" si="46"/>
        <v>3228.1</v>
      </c>
      <c r="AG86" s="286">
        <f t="shared" si="46"/>
        <v>3163.2</v>
      </c>
      <c r="AH86" s="286">
        <f t="shared" si="46"/>
        <v>0</v>
      </c>
      <c r="AI86" s="286">
        <f t="shared" si="46"/>
        <v>1015.7</v>
      </c>
      <c r="AJ86" s="302">
        <f t="shared" si="46"/>
        <v>1015.7</v>
      </c>
      <c r="AK86" s="299">
        <f t="shared" si="46"/>
        <v>896.4</v>
      </c>
      <c r="AL86" s="286">
        <f t="shared" si="46"/>
        <v>483.5</v>
      </c>
      <c r="AM86" s="297">
        <f t="shared" si="46"/>
        <v>53.93797411869701</v>
      </c>
      <c r="AN86" s="299">
        <f t="shared" si="46"/>
        <v>1154.3</v>
      </c>
      <c r="AO86" s="286">
        <f t="shared" si="46"/>
        <v>1212.6</v>
      </c>
      <c r="AP86" s="297">
        <f t="shared" si="46"/>
        <v>105.05068006584078</v>
      </c>
      <c r="AQ86" s="290">
        <f t="shared" si="46"/>
        <v>1550</v>
      </c>
      <c r="AR86" s="286">
        <f t="shared" si="46"/>
        <v>0</v>
      </c>
      <c r="AS86" s="286">
        <f t="shared" si="46"/>
        <v>0</v>
      </c>
      <c r="AT86" s="286">
        <f t="shared" si="46"/>
        <v>5711.9</v>
      </c>
      <c r="AU86" s="286">
        <f t="shared" si="46"/>
        <v>5687.599999999999</v>
      </c>
      <c r="AV86" s="286">
        <f t="shared" si="46"/>
        <v>0</v>
      </c>
      <c r="AW86" s="286">
        <f t="shared" si="46"/>
        <v>3600.7</v>
      </c>
      <c r="AX86" s="302">
        <f t="shared" si="46"/>
        <v>3600.7</v>
      </c>
      <c r="AY86" s="299">
        <f t="shared" si="46"/>
        <v>0</v>
      </c>
      <c r="AZ86" s="286">
        <f t="shared" si="46"/>
        <v>141.9</v>
      </c>
      <c r="BA86" s="297">
        <f t="shared" si="46"/>
        <v>0</v>
      </c>
      <c r="BB86" s="299">
        <f t="shared" si="46"/>
        <v>0</v>
      </c>
      <c r="BC86" s="286">
        <f t="shared" si="46"/>
        <v>594.9</v>
      </c>
      <c r="BD86" s="286">
        <f t="shared" si="46"/>
        <v>0</v>
      </c>
      <c r="BE86" s="297">
        <f t="shared" si="46"/>
        <v>0</v>
      </c>
      <c r="BF86" s="290">
        <f t="shared" si="46"/>
        <v>7175.7</v>
      </c>
      <c r="BG86" s="286">
        <f>BG76</f>
        <v>5736</v>
      </c>
      <c r="BH86" s="297">
        <f t="shared" si="46"/>
        <v>79.93645219281743</v>
      </c>
      <c r="BM86" s="683"/>
      <c r="BN86" s="683"/>
    </row>
    <row r="87" spans="1:66" ht="14.25" customHeight="1" thickBot="1">
      <c r="A87" s="721"/>
      <c r="B87" s="722"/>
      <c r="C87" s="723"/>
      <c r="D87" s="182"/>
      <c r="E87" s="582" t="s">
        <v>27</v>
      </c>
      <c r="F87" s="299">
        <f>F77-F83</f>
        <v>213797.27300000004</v>
      </c>
      <c r="G87" s="286">
        <f>G77-G83</f>
        <v>209795.20000000004</v>
      </c>
      <c r="H87" s="297">
        <f aca="true" t="shared" si="47" ref="H87:BH87">H77</f>
        <v>98.02743551357302</v>
      </c>
      <c r="I87" s="299">
        <f t="shared" si="47"/>
        <v>1775</v>
      </c>
      <c r="J87" s="286">
        <f t="shared" si="47"/>
        <v>1771.8</v>
      </c>
      <c r="K87" s="297">
        <f t="shared" si="47"/>
        <v>99.81971830985916</v>
      </c>
      <c r="L87" s="299">
        <f t="shared" si="47"/>
        <v>17128.600000000002</v>
      </c>
      <c r="M87" s="286">
        <f t="shared" si="47"/>
        <v>16629.6</v>
      </c>
      <c r="N87" s="297">
        <f t="shared" si="47"/>
        <v>97.0867438086008</v>
      </c>
      <c r="O87" s="299">
        <f t="shared" si="47"/>
        <v>18948.899999999998</v>
      </c>
      <c r="P87" s="286">
        <f t="shared" si="47"/>
        <v>18154.700000000004</v>
      </c>
      <c r="Q87" s="297">
        <f t="shared" si="47"/>
        <v>95.80872768340119</v>
      </c>
      <c r="R87" s="290">
        <f t="shared" si="47"/>
        <v>38052.3</v>
      </c>
      <c r="S87" s="286">
        <f t="shared" si="47"/>
        <v>36587.6</v>
      </c>
      <c r="T87" s="286" t="e">
        <f t="shared" si="47"/>
        <v>#DIV/0!</v>
      </c>
      <c r="U87" s="286">
        <f t="shared" si="47"/>
        <v>37852.5</v>
      </c>
      <c r="V87" s="302">
        <f t="shared" si="47"/>
        <v>37852.5</v>
      </c>
      <c r="W87" s="299">
        <f t="shared" si="47"/>
        <v>16113.8</v>
      </c>
      <c r="X87" s="286">
        <f t="shared" si="47"/>
        <v>15809.2</v>
      </c>
      <c r="Y87" s="297">
        <f t="shared" si="47"/>
        <v>98.10969479576514</v>
      </c>
      <c r="Z87" s="299">
        <f t="shared" si="47"/>
        <v>12504</v>
      </c>
      <c r="AA87" s="286">
        <f t="shared" si="47"/>
        <v>12784.800000000003</v>
      </c>
      <c r="AB87" s="297">
        <f t="shared" si="47"/>
        <v>102.2456813819578</v>
      </c>
      <c r="AC87" s="299">
        <f t="shared" si="47"/>
        <v>27163.2</v>
      </c>
      <c r="AD87" s="286">
        <f t="shared" si="47"/>
        <v>16564</v>
      </c>
      <c r="AE87" s="297">
        <f t="shared" si="47"/>
        <v>60.97956058196383</v>
      </c>
      <c r="AF87" s="290">
        <f t="shared" si="47"/>
        <v>92732.2</v>
      </c>
      <c r="AG87" s="286">
        <f t="shared" si="47"/>
        <v>82378.80000000002</v>
      </c>
      <c r="AH87" s="286">
        <f t="shared" si="47"/>
        <v>0</v>
      </c>
      <c r="AI87" s="286">
        <f t="shared" si="47"/>
        <v>55781</v>
      </c>
      <c r="AJ87" s="302">
        <f t="shared" si="47"/>
        <v>55781</v>
      </c>
      <c r="AK87" s="299">
        <f t="shared" si="47"/>
        <v>18797.399999999998</v>
      </c>
      <c r="AL87" s="286">
        <f t="shared" si="47"/>
        <v>19122.300000000003</v>
      </c>
      <c r="AM87" s="297">
        <f>AL87/AK87*100</f>
        <v>101.72843052762619</v>
      </c>
      <c r="AN87" s="299">
        <f t="shared" si="47"/>
        <v>23106.2</v>
      </c>
      <c r="AO87" s="286">
        <f t="shared" si="47"/>
        <v>24444.099999999995</v>
      </c>
      <c r="AP87" s="297">
        <f t="shared" si="47"/>
        <v>105.79022080653675</v>
      </c>
      <c r="AQ87" s="290">
        <f>AQ77-99.9</f>
        <v>21780.5</v>
      </c>
      <c r="AR87" s="286">
        <f t="shared" si="47"/>
        <v>20888.2</v>
      </c>
      <c r="AS87" s="286">
        <f t="shared" si="47"/>
        <v>95.46534798266941</v>
      </c>
      <c r="AT87" s="286">
        <f t="shared" si="47"/>
        <v>158554.9</v>
      </c>
      <c r="AU87" s="286">
        <f t="shared" si="47"/>
        <v>145636.70000000004</v>
      </c>
      <c r="AV87" s="286">
        <f t="shared" si="47"/>
        <v>0</v>
      </c>
      <c r="AW87" s="286">
        <f t="shared" si="47"/>
        <v>63473.8</v>
      </c>
      <c r="AX87" s="302">
        <f t="shared" si="47"/>
        <v>63473.8</v>
      </c>
      <c r="AY87" s="299">
        <f t="shared" si="47"/>
        <v>19828.5</v>
      </c>
      <c r="AZ87" s="286">
        <f t="shared" si="47"/>
        <v>22673.199999999997</v>
      </c>
      <c r="BA87" s="297">
        <f t="shared" si="47"/>
        <v>114.34652142118667</v>
      </c>
      <c r="BB87" s="299">
        <f t="shared" si="47"/>
        <v>13081.473</v>
      </c>
      <c r="BC87" s="286">
        <f t="shared" si="47"/>
        <v>12736.6</v>
      </c>
      <c r="BD87" s="286">
        <f t="shared" si="47"/>
        <v>0</v>
      </c>
      <c r="BE87" s="297">
        <f t="shared" si="47"/>
        <v>97.36365316046596</v>
      </c>
      <c r="BF87" s="290">
        <f>BF77-396.1</f>
        <v>23569.7</v>
      </c>
      <c r="BG87" s="286">
        <f>BG77-BG83</f>
        <v>28216.7</v>
      </c>
      <c r="BH87" s="297">
        <f t="shared" si="47"/>
        <v>118.86813709536091</v>
      </c>
      <c r="BM87" s="683"/>
      <c r="BN87" s="683"/>
    </row>
    <row r="88" spans="1:66" ht="41.25" customHeight="1" thickBot="1">
      <c r="A88" s="721"/>
      <c r="B88" s="722"/>
      <c r="C88" s="723"/>
      <c r="D88" s="182"/>
      <c r="E88" s="583" t="s">
        <v>90</v>
      </c>
      <c r="F88" s="300">
        <f>F79</f>
        <v>3315.8999999999996</v>
      </c>
      <c r="G88" s="288">
        <f aca="true" t="shared" si="48" ref="G88:BH88">G79</f>
        <v>3315.8999999999996</v>
      </c>
      <c r="H88" s="301">
        <f t="shared" si="48"/>
        <v>100</v>
      </c>
      <c r="I88" s="300">
        <f t="shared" si="48"/>
        <v>0</v>
      </c>
      <c r="J88" s="288">
        <f t="shared" si="48"/>
        <v>0</v>
      </c>
      <c r="K88" s="301">
        <f t="shared" si="48"/>
        <v>0</v>
      </c>
      <c r="L88" s="300">
        <f t="shared" si="48"/>
        <v>0</v>
      </c>
      <c r="M88" s="288">
        <f t="shared" si="48"/>
        <v>0</v>
      </c>
      <c r="N88" s="301">
        <f t="shared" si="48"/>
        <v>0</v>
      </c>
      <c r="O88" s="300">
        <f t="shared" si="48"/>
        <v>2786.8999999999996</v>
      </c>
      <c r="P88" s="288">
        <f t="shared" si="48"/>
        <v>2786.8999999999996</v>
      </c>
      <c r="Q88" s="301">
        <f t="shared" si="48"/>
        <v>100</v>
      </c>
      <c r="R88" s="298">
        <f t="shared" si="48"/>
        <v>0</v>
      </c>
      <c r="S88" s="288">
        <f t="shared" si="48"/>
        <v>0</v>
      </c>
      <c r="T88" s="288">
        <f t="shared" si="48"/>
        <v>0</v>
      </c>
      <c r="U88" s="288">
        <f t="shared" si="48"/>
        <v>419.2</v>
      </c>
      <c r="V88" s="303">
        <f t="shared" si="48"/>
        <v>0</v>
      </c>
      <c r="W88" s="300">
        <f t="shared" si="48"/>
        <v>529</v>
      </c>
      <c r="X88" s="288">
        <f t="shared" si="48"/>
        <v>529</v>
      </c>
      <c r="Y88" s="301">
        <f t="shared" si="48"/>
        <v>100</v>
      </c>
      <c r="Z88" s="300">
        <f t="shared" si="48"/>
        <v>0</v>
      </c>
      <c r="AA88" s="288">
        <f t="shared" si="48"/>
        <v>0</v>
      </c>
      <c r="AB88" s="301">
        <f t="shared" si="48"/>
        <v>0</v>
      </c>
      <c r="AC88" s="300">
        <f t="shared" si="48"/>
        <v>0</v>
      </c>
      <c r="AD88" s="288">
        <f t="shared" si="48"/>
        <v>0</v>
      </c>
      <c r="AE88" s="301">
        <f t="shared" si="48"/>
        <v>0</v>
      </c>
      <c r="AF88" s="298">
        <f t="shared" si="48"/>
        <v>0</v>
      </c>
      <c r="AG88" s="288">
        <f t="shared" si="48"/>
        <v>0</v>
      </c>
      <c r="AH88" s="288">
        <f t="shared" si="48"/>
        <v>0</v>
      </c>
      <c r="AI88" s="288">
        <f t="shared" si="48"/>
        <v>0</v>
      </c>
      <c r="AJ88" s="303">
        <f t="shared" si="48"/>
        <v>0</v>
      </c>
      <c r="AK88" s="300">
        <f t="shared" si="48"/>
        <v>0</v>
      </c>
      <c r="AL88" s="288">
        <f t="shared" si="48"/>
        <v>0</v>
      </c>
      <c r="AM88" s="301">
        <f t="shared" si="48"/>
        <v>0</v>
      </c>
      <c r="AN88" s="300">
        <f t="shared" si="48"/>
        <v>0</v>
      </c>
      <c r="AO88" s="288">
        <f t="shared" si="48"/>
        <v>0</v>
      </c>
      <c r="AP88" s="301">
        <f t="shared" si="48"/>
        <v>0</v>
      </c>
      <c r="AQ88" s="298">
        <f t="shared" si="48"/>
        <v>0</v>
      </c>
      <c r="AR88" s="288">
        <f t="shared" si="48"/>
        <v>0</v>
      </c>
      <c r="AS88" s="288">
        <f t="shared" si="48"/>
        <v>0</v>
      </c>
      <c r="AT88" s="288">
        <f t="shared" si="48"/>
        <v>0</v>
      </c>
      <c r="AU88" s="288">
        <f t="shared" si="48"/>
        <v>0</v>
      </c>
      <c r="AV88" s="288">
        <f t="shared" si="48"/>
        <v>0</v>
      </c>
      <c r="AW88" s="288">
        <f t="shared" si="48"/>
        <v>0</v>
      </c>
      <c r="AX88" s="303">
        <f t="shared" si="48"/>
        <v>0</v>
      </c>
      <c r="AY88" s="300">
        <f t="shared" si="48"/>
        <v>0</v>
      </c>
      <c r="AZ88" s="288">
        <f t="shared" si="48"/>
        <v>0</v>
      </c>
      <c r="BA88" s="301">
        <f t="shared" si="48"/>
        <v>0</v>
      </c>
      <c r="BB88" s="300">
        <f t="shared" si="48"/>
        <v>0</v>
      </c>
      <c r="BC88" s="288">
        <f t="shared" si="48"/>
        <v>0</v>
      </c>
      <c r="BD88" s="288">
        <f t="shared" si="48"/>
        <v>0</v>
      </c>
      <c r="BE88" s="301">
        <f t="shared" si="48"/>
        <v>0</v>
      </c>
      <c r="BF88" s="298">
        <f t="shared" si="48"/>
        <v>0</v>
      </c>
      <c r="BG88" s="288">
        <f t="shared" si="48"/>
        <v>0</v>
      </c>
      <c r="BH88" s="301">
        <f t="shared" si="48"/>
        <v>0</v>
      </c>
      <c r="BI88" s="309"/>
      <c r="BJ88" s="309"/>
      <c r="BK88" s="309"/>
      <c r="BL88" s="309"/>
      <c r="BM88" s="684"/>
      <c r="BN88" s="684"/>
    </row>
    <row r="89" spans="1:66" ht="13.5" thickBot="1">
      <c r="A89" s="667" t="s">
        <v>133</v>
      </c>
      <c r="B89" s="668"/>
      <c r="C89" s="669"/>
      <c r="D89" s="304"/>
      <c r="E89" s="604"/>
      <c r="F89" s="605"/>
      <c r="G89" s="606"/>
      <c r="H89" s="607"/>
      <c r="I89" s="605"/>
      <c r="J89" s="606"/>
      <c r="K89" s="607"/>
      <c r="L89" s="605"/>
      <c r="M89" s="606"/>
      <c r="N89" s="607"/>
      <c r="O89" s="605"/>
      <c r="P89" s="606"/>
      <c r="Q89" s="607"/>
      <c r="R89" s="608"/>
      <c r="S89" s="606"/>
      <c r="T89" s="606"/>
      <c r="U89" s="606"/>
      <c r="V89" s="609"/>
      <c r="W89" s="605"/>
      <c r="X89" s="610"/>
      <c r="Y89" s="611"/>
      <c r="Z89" s="612"/>
      <c r="AA89" s="610"/>
      <c r="AB89" s="611"/>
      <c r="AC89" s="612"/>
      <c r="AD89" s="610"/>
      <c r="AE89" s="611"/>
      <c r="AF89" s="613"/>
      <c r="AG89" s="610"/>
      <c r="AH89" s="610"/>
      <c r="AI89" s="610"/>
      <c r="AJ89" s="614"/>
      <c r="AK89" s="612"/>
      <c r="AL89" s="610"/>
      <c r="AM89" s="611"/>
      <c r="AN89" s="612"/>
      <c r="AO89" s="610"/>
      <c r="AP89" s="611"/>
      <c r="AQ89" s="613"/>
      <c r="AR89" s="610"/>
      <c r="AS89" s="610"/>
      <c r="AT89" s="610"/>
      <c r="AU89" s="610"/>
      <c r="AV89" s="610"/>
      <c r="AW89" s="610"/>
      <c r="AX89" s="614"/>
      <c r="AY89" s="612"/>
      <c r="AZ89" s="610"/>
      <c r="BA89" s="611"/>
      <c r="BB89" s="612"/>
      <c r="BC89" s="610"/>
      <c r="BD89" s="610"/>
      <c r="BE89" s="611"/>
      <c r="BF89" s="613"/>
      <c r="BG89" s="615"/>
      <c r="BH89" s="616"/>
      <c r="BM89" s="617"/>
      <c r="BN89" s="310"/>
    </row>
    <row r="90" spans="1:66" ht="13.5" thickBot="1">
      <c r="A90" s="670" t="s">
        <v>134</v>
      </c>
      <c r="B90" s="671"/>
      <c r="C90" s="672"/>
      <c r="D90" s="304"/>
      <c r="E90" s="584" t="s">
        <v>73</v>
      </c>
      <c r="F90" s="305">
        <f>F91+F92</f>
        <v>225789.17300000004</v>
      </c>
      <c r="G90" s="305">
        <f>G91+G92</f>
        <v>218719.70000000004</v>
      </c>
      <c r="H90" s="293">
        <f>G90/F90*100</f>
        <v>96.86899380246192</v>
      </c>
      <c r="I90" s="305">
        <f>I91+I92</f>
        <v>1775</v>
      </c>
      <c r="J90" s="305">
        <f>J91+J92</f>
        <v>1771.8</v>
      </c>
      <c r="K90" s="293">
        <f>J90/I90*100</f>
        <v>99.81971830985916</v>
      </c>
      <c r="L90" s="305">
        <f>L91+L92</f>
        <v>17228.500000000004</v>
      </c>
      <c r="M90" s="305">
        <f>M91+M92</f>
        <v>16629.6</v>
      </c>
      <c r="N90" s="293">
        <f>M90/L90*100</f>
        <v>96.52378326609976</v>
      </c>
      <c r="O90" s="305">
        <f>O91+O92</f>
        <v>19048.8</v>
      </c>
      <c r="P90" s="305">
        <f>P91+P92</f>
        <v>18186.200000000004</v>
      </c>
      <c r="Q90" s="293">
        <f>P90/O90*100</f>
        <v>95.47163075889299</v>
      </c>
      <c r="R90" s="305">
        <f>R91+R92</f>
        <v>39725.3</v>
      </c>
      <c r="S90" s="305">
        <f>S91+S92</f>
        <v>38155.7</v>
      </c>
      <c r="T90" s="293">
        <f>S90/R90*100</f>
        <v>96.04886558440086</v>
      </c>
      <c r="U90" s="305">
        <f>U91+U92</f>
        <v>38052.3</v>
      </c>
      <c r="V90" s="305">
        <f>V91+V92</f>
        <v>38052.3</v>
      </c>
      <c r="W90" s="293">
        <f>V90/U90*100</f>
        <v>100</v>
      </c>
      <c r="X90" s="305">
        <f>X91+X92</f>
        <v>16333</v>
      </c>
      <c r="Y90" s="305">
        <f>Y91+Y92</f>
        <v>150.68422054102257</v>
      </c>
      <c r="Z90" s="293">
        <f>Y90/X90*100</f>
        <v>0.9225752803589209</v>
      </c>
      <c r="AA90" s="305">
        <f>AA91+AA92</f>
        <v>12969.600000000002</v>
      </c>
      <c r="AB90" s="305">
        <f>AB91+AB92</f>
        <v>1054.823000969587</v>
      </c>
      <c r="AC90" s="293">
        <f>AB90/AA90*100</f>
        <v>8.133041890031972</v>
      </c>
      <c r="AD90" s="305">
        <f>AD91+AD92</f>
        <v>16579.5</v>
      </c>
      <c r="AE90" s="305">
        <f>AE91+AE92</f>
        <v>60.97956058196383</v>
      </c>
      <c r="AF90" s="305">
        <f>AF91+AF92</f>
        <v>95960.3</v>
      </c>
      <c r="AG90" s="305">
        <f>AG91+AG92</f>
        <v>85542.00000000001</v>
      </c>
      <c r="AH90" s="293">
        <f>AG90/AF90*100</f>
        <v>89.14311439209757</v>
      </c>
      <c r="AI90" s="305">
        <f>AI91+AI92</f>
        <v>56796.7</v>
      </c>
      <c r="AJ90" s="305">
        <f>AJ91+AJ92</f>
        <v>56796.7</v>
      </c>
      <c r="AK90" s="293">
        <f>AJ90/AI90*100</f>
        <v>100</v>
      </c>
      <c r="AL90" s="305">
        <f>AL91+AL92</f>
        <v>19605.800000000003</v>
      </c>
      <c r="AM90" s="305">
        <f>AM91+AM92</f>
        <v>155.6664046463232</v>
      </c>
      <c r="AN90" s="293">
        <f>AM90/AL90*100</f>
        <v>0.7939813965577694</v>
      </c>
      <c r="AO90" s="305">
        <f>AO91+AO92</f>
        <v>25656.699999999993</v>
      </c>
      <c r="AP90" s="305">
        <f>AP91+AP92</f>
        <v>210.84090087237752</v>
      </c>
      <c r="AQ90" s="293">
        <f>AP90/AO90*100</f>
        <v>0.8217771610237388</v>
      </c>
      <c r="AR90" s="305">
        <f>AR91+AR92</f>
        <v>20888.2</v>
      </c>
      <c r="AS90" s="305">
        <f>AS91+AS92</f>
        <v>95.90321617961021</v>
      </c>
      <c r="AT90" s="293">
        <f>AS90/AR90*100</f>
        <v>0.45912628268405226</v>
      </c>
      <c r="AU90" s="305">
        <f>AU91+AU92</f>
        <v>151324.30000000005</v>
      </c>
      <c r="AV90" s="305">
        <f>AV91+AV92</f>
        <v>0</v>
      </c>
      <c r="AW90" s="293">
        <f>AV90/AU90*100</f>
        <v>0</v>
      </c>
      <c r="AX90" s="305">
        <f>AX91+AX92</f>
        <v>67074.5</v>
      </c>
      <c r="AY90" s="305">
        <f>AY91+AY92</f>
        <v>19828.5</v>
      </c>
      <c r="AZ90" s="293">
        <f>AY90/AX90*100</f>
        <v>29.56190504588182</v>
      </c>
      <c r="BA90" s="305">
        <f>BA91+BA92</f>
        <v>114.34652142118667</v>
      </c>
      <c r="BB90" s="305">
        <f>BB91+BB92</f>
        <v>13081.473</v>
      </c>
      <c r="BC90" s="293">
        <f>BB90/BA90*100</f>
        <v>11440.20197327682</v>
      </c>
      <c r="BD90" s="305">
        <f>BD91+BD92</f>
        <v>97.36365316046596</v>
      </c>
      <c r="BE90" s="305">
        <f>BE91+BE92</f>
        <v>97.36365316046596</v>
      </c>
      <c r="BF90" s="305">
        <f>BF91+BF92</f>
        <v>30745.4</v>
      </c>
      <c r="BG90" s="305">
        <f>BG91+BG92</f>
        <v>33952.7</v>
      </c>
      <c r="BH90" s="293">
        <f>BG90/BF90*100</f>
        <v>110.43180443253297</v>
      </c>
      <c r="BI90" s="585">
        <f>BI85-BI97</f>
        <v>0</v>
      </c>
      <c r="BJ90" s="586">
        <f>BJ85-BJ97</f>
        <v>0</v>
      </c>
      <c r="BK90" s="586">
        <f>BK85-BK97</f>
        <v>0</v>
      </c>
      <c r="BL90" s="586">
        <f>BL85-BL97</f>
        <v>0</v>
      </c>
      <c r="BM90" s="679"/>
      <c r="BN90" s="682"/>
    </row>
    <row r="91" spans="1:66" ht="27" customHeight="1" thickBot="1">
      <c r="A91" s="673"/>
      <c r="B91" s="674"/>
      <c r="C91" s="675"/>
      <c r="D91" s="182"/>
      <c r="E91" s="584" t="s">
        <v>74</v>
      </c>
      <c r="F91" s="299">
        <f>F86-F98</f>
        <v>11991.9</v>
      </c>
      <c r="G91" s="286">
        <f aca="true" t="shared" si="49" ref="G91:BH91">G86-G98</f>
        <v>8924.499999999998</v>
      </c>
      <c r="H91" s="297">
        <f t="shared" si="49"/>
        <v>74.42106755393223</v>
      </c>
      <c r="I91" s="299">
        <f t="shared" si="49"/>
        <v>0</v>
      </c>
      <c r="J91" s="286">
        <f t="shared" si="49"/>
        <v>0</v>
      </c>
      <c r="K91" s="297">
        <f t="shared" si="49"/>
        <v>0</v>
      </c>
      <c r="L91" s="299">
        <f t="shared" si="49"/>
        <v>99.9</v>
      </c>
      <c r="M91" s="286">
        <f t="shared" si="49"/>
        <v>0</v>
      </c>
      <c r="N91" s="297">
        <f t="shared" si="49"/>
        <v>0</v>
      </c>
      <c r="O91" s="299">
        <f t="shared" si="49"/>
        <v>99.9</v>
      </c>
      <c r="P91" s="286">
        <f t="shared" si="49"/>
        <v>31.5</v>
      </c>
      <c r="Q91" s="297">
        <f t="shared" si="49"/>
        <v>31.53153153153153</v>
      </c>
      <c r="R91" s="290">
        <f t="shared" si="49"/>
        <v>1673</v>
      </c>
      <c r="S91" s="286">
        <f t="shared" si="49"/>
        <v>1568.1</v>
      </c>
      <c r="T91" s="286">
        <f t="shared" si="49"/>
        <v>188.95938710067762</v>
      </c>
      <c r="U91" s="286">
        <f t="shared" si="49"/>
        <v>199.8</v>
      </c>
      <c r="V91" s="302">
        <f t="shared" si="49"/>
        <v>199.8</v>
      </c>
      <c r="W91" s="299">
        <f t="shared" si="49"/>
        <v>996.3</v>
      </c>
      <c r="X91" s="286">
        <f t="shared" si="49"/>
        <v>523.8</v>
      </c>
      <c r="Y91" s="297">
        <f t="shared" si="49"/>
        <v>52.574525745257446</v>
      </c>
      <c r="Z91" s="299">
        <f t="shared" si="49"/>
        <v>19.4</v>
      </c>
      <c r="AA91" s="286">
        <f t="shared" si="49"/>
        <v>184.8</v>
      </c>
      <c r="AB91" s="297">
        <f t="shared" si="49"/>
        <v>952.5773195876291</v>
      </c>
      <c r="AC91" s="299">
        <f t="shared" si="49"/>
        <v>0</v>
      </c>
      <c r="AD91" s="286">
        <f t="shared" si="49"/>
        <v>15.5</v>
      </c>
      <c r="AE91" s="297">
        <f t="shared" si="49"/>
        <v>0</v>
      </c>
      <c r="AF91" s="290">
        <f t="shared" si="49"/>
        <v>3228.1</v>
      </c>
      <c r="AG91" s="286">
        <f t="shared" si="49"/>
        <v>3163.2</v>
      </c>
      <c r="AH91" s="286">
        <f t="shared" si="49"/>
        <v>0</v>
      </c>
      <c r="AI91" s="286">
        <f t="shared" si="49"/>
        <v>1015.7</v>
      </c>
      <c r="AJ91" s="302">
        <f t="shared" si="49"/>
        <v>1015.7</v>
      </c>
      <c r="AK91" s="299">
        <f t="shared" si="49"/>
        <v>896.4</v>
      </c>
      <c r="AL91" s="286">
        <f t="shared" si="49"/>
        <v>483.5</v>
      </c>
      <c r="AM91" s="297">
        <f t="shared" si="49"/>
        <v>53.93797411869701</v>
      </c>
      <c r="AN91" s="299">
        <f t="shared" si="49"/>
        <v>1154.3</v>
      </c>
      <c r="AO91" s="286">
        <f t="shared" si="49"/>
        <v>1212.6</v>
      </c>
      <c r="AP91" s="297">
        <f t="shared" si="49"/>
        <v>105.05068006584078</v>
      </c>
      <c r="AQ91" s="290">
        <f t="shared" si="49"/>
        <v>1550</v>
      </c>
      <c r="AR91" s="286">
        <f t="shared" si="49"/>
        <v>0</v>
      </c>
      <c r="AS91" s="286">
        <f t="shared" si="49"/>
        <v>0</v>
      </c>
      <c r="AT91" s="286">
        <f t="shared" si="49"/>
        <v>5711.9</v>
      </c>
      <c r="AU91" s="286">
        <f t="shared" si="49"/>
        <v>5687.599999999999</v>
      </c>
      <c r="AV91" s="286">
        <f t="shared" si="49"/>
        <v>0</v>
      </c>
      <c r="AW91" s="286">
        <f t="shared" si="49"/>
        <v>3600.7</v>
      </c>
      <c r="AX91" s="302">
        <f t="shared" si="49"/>
        <v>3600.7</v>
      </c>
      <c r="AY91" s="299">
        <f t="shared" si="49"/>
        <v>0</v>
      </c>
      <c r="AZ91" s="286">
        <f t="shared" si="49"/>
        <v>141.9</v>
      </c>
      <c r="BA91" s="297">
        <f t="shared" si="49"/>
        <v>0</v>
      </c>
      <c r="BB91" s="299">
        <f t="shared" si="49"/>
        <v>0</v>
      </c>
      <c r="BC91" s="286">
        <f t="shared" si="49"/>
        <v>594.9</v>
      </c>
      <c r="BD91" s="286">
        <f t="shared" si="49"/>
        <v>0</v>
      </c>
      <c r="BE91" s="297">
        <f t="shared" si="49"/>
        <v>0</v>
      </c>
      <c r="BF91" s="290">
        <f t="shared" si="49"/>
        <v>7175.7</v>
      </c>
      <c r="BG91" s="286">
        <f t="shared" si="49"/>
        <v>5736</v>
      </c>
      <c r="BH91" s="297">
        <f t="shared" si="49"/>
        <v>79.93645219281743</v>
      </c>
      <c r="BM91" s="680"/>
      <c r="BN91" s="683"/>
    </row>
    <row r="92" spans="1:66" ht="13.5" customHeight="1" thickBot="1">
      <c r="A92" s="673"/>
      <c r="B92" s="674"/>
      <c r="C92" s="675"/>
      <c r="D92" s="182"/>
      <c r="E92" s="587" t="s">
        <v>27</v>
      </c>
      <c r="F92" s="299">
        <f>F87</f>
        <v>213797.27300000004</v>
      </c>
      <c r="G92" s="299">
        <f>G87</f>
        <v>209795.20000000004</v>
      </c>
      <c r="H92" s="297">
        <f>G92/F92*100</f>
        <v>98.12809913623173</v>
      </c>
      <c r="I92" s="299">
        <f>I87</f>
        <v>1775</v>
      </c>
      <c r="J92" s="299">
        <f>J87</f>
        <v>1771.8</v>
      </c>
      <c r="K92" s="297">
        <f>J92/I92*100</f>
        <v>99.81971830985916</v>
      </c>
      <c r="L92" s="299">
        <f>L87</f>
        <v>17128.600000000002</v>
      </c>
      <c r="M92" s="299">
        <f>M87</f>
        <v>16629.6</v>
      </c>
      <c r="N92" s="297">
        <f>M92/L92*100</f>
        <v>97.0867438086008</v>
      </c>
      <c r="O92" s="299">
        <f>O87</f>
        <v>18948.899999999998</v>
      </c>
      <c r="P92" s="299">
        <f>P87</f>
        <v>18154.700000000004</v>
      </c>
      <c r="Q92" s="297">
        <f>P92/O92*100</f>
        <v>95.80872768340119</v>
      </c>
      <c r="R92" s="290">
        <f>R87-R97</f>
        <v>38052.3</v>
      </c>
      <c r="S92" s="286">
        <f>S87-S97</f>
        <v>36587.6</v>
      </c>
      <c r="T92" s="286" t="e">
        <f>T87-T97</f>
        <v>#DIV/0!</v>
      </c>
      <c r="U92" s="286">
        <f>U87-U97</f>
        <v>37852.5</v>
      </c>
      <c r="V92" s="302">
        <f>V87-V97</f>
        <v>37852.5</v>
      </c>
      <c r="W92" s="299">
        <f>W87</f>
        <v>16113.8</v>
      </c>
      <c r="X92" s="299">
        <f>X87</f>
        <v>15809.2</v>
      </c>
      <c r="Y92" s="297">
        <f>X92/W92*100</f>
        <v>98.10969479576514</v>
      </c>
      <c r="Z92" s="299">
        <f>Z87</f>
        <v>12504</v>
      </c>
      <c r="AA92" s="299">
        <f>AA87</f>
        <v>12784.800000000003</v>
      </c>
      <c r="AB92" s="297">
        <f>AA92/Z92*100</f>
        <v>102.2456813819578</v>
      </c>
      <c r="AC92" s="299">
        <f>AC87</f>
        <v>27163.2</v>
      </c>
      <c r="AD92" s="299">
        <f>AD87</f>
        <v>16564</v>
      </c>
      <c r="AE92" s="297">
        <f>AD92/AC92*100</f>
        <v>60.97956058196383</v>
      </c>
      <c r="AF92" s="290">
        <f>AF87-AF97</f>
        <v>92732.2</v>
      </c>
      <c r="AG92" s="286">
        <f>AG87-AG97</f>
        <v>82378.80000000002</v>
      </c>
      <c r="AH92" s="286">
        <f>AH87-AH97</f>
        <v>0</v>
      </c>
      <c r="AI92" s="286">
        <f>AI87-AI97</f>
        <v>55781</v>
      </c>
      <c r="AJ92" s="302">
        <f>AJ87-AJ97</f>
        <v>55781</v>
      </c>
      <c r="AK92" s="299">
        <f>AK87</f>
        <v>18797.399999999998</v>
      </c>
      <c r="AL92" s="299">
        <f>AL87</f>
        <v>19122.300000000003</v>
      </c>
      <c r="AM92" s="297">
        <f>AL92/AK92*100</f>
        <v>101.72843052762619</v>
      </c>
      <c r="AN92" s="299">
        <f>AN87</f>
        <v>23106.2</v>
      </c>
      <c r="AO92" s="299">
        <f>AO87</f>
        <v>24444.099999999995</v>
      </c>
      <c r="AP92" s="297">
        <f>AO92/AN92*100</f>
        <v>105.79022080653675</v>
      </c>
      <c r="AQ92" s="299">
        <f>AQ87</f>
        <v>21780.5</v>
      </c>
      <c r="AR92" s="299">
        <f>AR87</f>
        <v>20888.2</v>
      </c>
      <c r="AS92" s="297">
        <f>AR92/AQ92*100</f>
        <v>95.90321617961021</v>
      </c>
      <c r="AT92" s="286">
        <f>AT87-AT97</f>
        <v>158554.9</v>
      </c>
      <c r="AU92" s="286">
        <f>AU87-AU97</f>
        <v>145636.70000000004</v>
      </c>
      <c r="AV92" s="286">
        <f>AV87-AV97</f>
        <v>0</v>
      </c>
      <c r="AW92" s="286">
        <f>AW87-AW97</f>
        <v>63473.8</v>
      </c>
      <c r="AX92" s="302">
        <f>AX87-AX97</f>
        <v>63473.8</v>
      </c>
      <c r="AY92" s="299">
        <f>AY87</f>
        <v>19828.5</v>
      </c>
      <c r="AZ92" s="299">
        <f>AZ87</f>
        <v>22673.199999999997</v>
      </c>
      <c r="BA92" s="297">
        <f>AZ92/AY92*100</f>
        <v>114.34652142118667</v>
      </c>
      <c r="BB92" s="299">
        <f>BB87</f>
        <v>13081.473</v>
      </c>
      <c r="BC92" s="299">
        <f>BC87</f>
        <v>12736.6</v>
      </c>
      <c r="BD92" s="297">
        <f>BC92/BB92*100</f>
        <v>97.36365316046596</v>
      </c>
      <c r="BE92" s="297">
        <f>BC92/BB92*100</f>
        <v>97.36365316046596</v>
      </c>
      <c r="BF92" s="299">
        <f>BF87</f>
        <v>23569.7</v>
      </c>
      <c r="BG92" s="299">
        <f>BG87</f>
        <v>28216.7</v>
      </c>
      <c r="BH92" s="297">
        <f>BG92/BF92*100</f>
        <v>119.715991293907</v>
      </c>
      <c r="BI92" s="297">
        <f>BG92/BF92*100</f>
        <v>119.715991293907</v>
      </c>
      <c r="BM92" s="680"/>
      <c r="BN92" s="683"/>
    </row>
    <row r="93" spans="1:66" ht="40.5" customHeight="1" thickBot="1">
      <c r="A93" s="676"/>
      <c r="B93" s="677"/>
      <c r="C93" s="678"/>
      <c r="D93" s="308"/>
      <c r="E93" s="584" t="s">
        <v>90</v>
      </c>
      <c r="F93" s="300">
        <f>F88</f>
        <v>3315.8999999999996</v>
      </c>
      <c r="G93" s="288">
        <f aca="true" t="shared" si="50" ref="G93:BH93">G88</f>
        <v>3315.8999999999996</v>
      </c>
      <c r="H93" s="301">
        <f t="shared" si="50"/>
        <v>100</v>
      </c>
      <c r="I93" s="300">
        <f t="shared" si="50"/>
        <v>0</v>
      </c>
      <c r="J93" s="288">
        <f t="shared" si="50"/>
        <v>0</v>
      </c>
      <c r="K93" s="301">
        <f t="shared" si="50"/>
        <v>0</v>
      </c>
      <c r="L93" s="300">
        <f t="shared" si="50"/>
        <v>0</v>
      </c>
      <c r="M93" s="288">
        <f t="shared" si="50"/>
        <v>0</v>
      </c>
      <c r="N93" s="301">
        <f t="shared" si="50"/>
        <v>0</v>
      </c>
      <c r="O93" s="300">
        <f t="shared" si="50"/>
        <v>2786.8999999999996</v>
      </c>
      <c r="P93" s="288">
        <f t="shared" si="50"/>
        <v>2786.8999999999996</v>
      </c>
      <c r="Q93" s="301">
        <f t="shared" si="50"/>
        <v>100</v>
      </c>
      <c r="R93" s="298">
        <f t="shared" si="50"/>
        <v>0</v>
      </c>
      <c r="S93" s="288">
        <f t="shared" si="50"/>
        <v>0</v>
      </c>
      <c r="T93" s="288">
        <f t="shared" si="50"/>
        <v>0</v>
      </c>
      <c r="U93" s="288">
        <f t="shared" si="50"/>
        <v>419.2</v>
      </c>
      <c r="V93" s="303">
        <f t="shared" si="50"/>
        <v>0</v>
      </c>
      <c r="W93" s="300">
        <f t="shared" si="50"/>
        <v>529</v>
      </c>
      <c r="X93" s="288">
        <f t="shared" si="50"/>
        <v>529</v>
      </c>
      <c r="Y93" s="301">
        <f t="shared" si="50"/>
        <v>100</v>
      </c>
      <c r="Z93" s="300">
        <f t="shared" si="50"/>
        <v>0</v>
      </c>
      <c r="AA93" s="288">
        <f t="shared" si="50"/>
        <v>0</v>
      </c>
      <c r="AB93" s="301">
        <f t="shared" si="50"/>
        <v>0</v>
      </c>
      <c r="AC93" s="300">
        <f t="shared" si="50"/>
        <v>0</v>
      </c>
      <c r="AD93" s="288">
        <f t="shared" si="50"/>
        <v>0</v>
      </c>
      <c r="AE93" s="301">
        <f t="shared" si="50"/>
        <v>0</v>
      </c>
      <c r="AF93" s="298">
        <f t="shared" si="50"/>
        <v>0</v>
      </c>
      <c r="AG93" s="288">
        <f t="shared" si="50"/>
        <v>0</v>
      </c>
      <c r="AH93" s="288">
        <f t="shared" si="50"/>
        <v>0</v>
      </c>
      <c r="AI93" s="288">
        <f t="shared" si="50"/>
        <v>0</v>
      </c>
      <c r="AJ93" s="303">
        <f t="shared" si="50"/>
        <v>0</v>
      </c>
      <c r="AK93" s="300">
        <f t="shared" si="50"/>
        <v>0</v>
      </c>
      <c r="AL93" s="288">
        <f t="shared" si="50"/>
        <v>0</v>
      </c>
      <c r="AM93" s="301">
        <f t="shared" si="50"/>
        <v>0</v>
      </c>
      <c r="AN93" s="300">
        <f t="shared" si="50"/>
        <v>0</v>
      </c>
      <c r="AO93" s="288">
        <f t="shared" si="50"/>
        <v>0</v>
      </c>
      <c r="AP93" s="301">
        <f t="shared" si="50"/>
        <v>0</v>
      </c>
      <c r="AQ93" s="298">
        <f t="shared" si="50"/>
        <v>0</v>
      </c>
      <c r="AR93" s="288">
        <f t="shared" si="50"/>
        <v>0</v>
      </c>
      <c r="AS93" s="288">
        <f t="shared" si="50"/>
        <v>0</v>
      </c>
      <c r="AT93" s="288">
        <f t="shared" si="50"/>
        <v>0</v>
      </c>
      <c r="AU93" s="288">
        <f t="shared" si="50"/>
        <v>0</v>
      </c>
      <c r="AV93" s="288">
        <f t="shared" si="50"/>
        <v>0</v>
      </c>
      <c r="AW93" s="288">
        <f t="shared" si="50"/>
        <v>0</v>
      </c>
      <c r="AX93" s="303">
        <f t="shared" si="50"/>
        <v>0</v>
      </c>
      <c r="AY93" s="300">
        <f t="shared" si="50"/>
        <v>0</v>
      </c>
      <c r="AZ93" s="288">
        <f t="shared" si="50"/>
        <v>0</v>
      </c>
      <c r="BA93" s="301">
        <f t="shared" si="50"/>
        <v>0</v>
      </c>
      <c r="BB93" s="300">
        <f t="shared" si="50"/>
        <v>0</v>
      </c>
      <c r="BC93" s="288">
        <f t="shared" si="50"/>
        <v>0</v>
      </c>
      <c r="BD93" s="288">
        <f t="shared" si="50"/>
        <v>0</v>
      </c>
      <c r="BE93" s="301">
        <f t="shared" si="50"/>
        <v>0</v>
      </c>
      <c r="BF93" s="298">
        <f t="shared" si="50"/>
        <v>0</v>
      </c>
      <c r="BG93" s="288">
        <f t="shared" si="50"/>
        <v>0</v>
      </c>
      <c r="BH93" s="301">
        <f t="shared" si="50"/>
        <v>0</v>
      </c>
      <c r="BI93" s="309"/>
      <c r="BJ93" s="309"/>
      <c r="BK93" s="309"/>
      <c r="BL93" s="309"/>
      <c r="BM93" s="681"/>
      <c r="BN93" s="684"/>
    </row>
    <row r="94" spans="1:66" ht="13.5" thickBot="1">
      <c r="A94" s="670" t="s">
        <v>135</v>
      </c>
      <c r="B94" s="719"/>
      <c r="C94" s="720"/>
      <c r="D94" s="304"/>
      <c r="E94" s="584" t="s">
        <v>73</v>
      </c>
      <c r="F94" s="305">
        <v>0</v>
      </c>
      <c r="G94" s="287">
        <v>0</v>
      </c>
      <c r="H94" s="293">
        <v>0</v>
      </c>
      <c r="I94" s="305">
        <v>0</v>
      </c>
      <c r="J94" s="287">
        <v>0</v>
      </c>
      <c r="K94" s="293">
        <v>0</v>
      </c>
      <c r="L94" s="305">
        <v>0</v>
      </c>
      <c r="M94" s="287">
        <v>0</v>
      </c>
      <c r="N94" s="293">
        <v>0</v>
      </c>
      <c r="O94" s="305">
        <v>0</v>
      </c>
      <c r="P94" s="287">
        <v>0</v>
      </c>
      <c r="Q94" s="293">
        <v>0</v>
      </c>
      <c r="R94" s="289">
        <v>0</v>
      </c>
      <c r="S94" s="287">
        <v>0</v>
      </c>
      <c r="T94" s="287">
        <v>0</v>
      </c>
      <c r="U94" s="287">
        <v>0</v>
      </c>
      <c r="V94" s="306">
        <v>0</v>
      </c>
      <c r="W94" s="305">
        <v>0</v>
      </c>
      <c r="X94" s="287">
        <v>0</v>
      </c>
      <c r="Y94" s="293">
        <v>0</v>
      </c>
      <c r="Z94" s="305">
        <v>0</v>
      </c>
      <c r="AA94" s="287">
        <v>0</v>
      </c>
      <c r="AB94" s="293">
        <v>0</v>
      </c>
      <c r="AC94" s="305">
        <v>0</v>
      </c>
      <c r="AD94" s="287">
        <v>0</v>
      </c>
      <c r="AE94" s="293">
        <v>0</v>
      </c>
      <c r="AF94" s="289">
        <v>0</v>
      </c>
      <c r="AG94" s="287">
        <v>0</v>
      </c>
      <c r="AH94" s="287">
        <v>0</v>
      </c>
      <c r="AI94" s="287">
        <v>0</v>
      </c>
      <c r="AJ94" s="306">
        <v>0</v>
      </c>
      <c r="AK94" s="305">
        <v>0</v>
      </c>
      <c r="AL94" s="287">
        <v>0</v>
      </c>
      <c r="AM94" s="293">
        <v>0</v>
      </c>
      <c r="AN94" s="305">
        <v>0</v>
      </c>
      <c r="AO94" s="287">
        <v>0</v>
      </c>
      <c r="AP94" s="293">
        <v>0</v>
      </c>
      <c r="AQ94" s="289">
        <v>0</v>
      </c>
      <c r="AR94" s="287">
        <v>0</v>
      </c>
      <c r="AS94" s="287">
        <v>0</v>
      </c>
      <c r="AT94" s="287">
        <v>0</v>
      </c>
      <c r="AU94" s="287">
        <v>0</v>
      </c>
      <c r="AV94" s="287">
        <v>0</v>
      </c>
      <c r="AW94" s="287">
        <v>0</v>
      </c>
      <c r="AX94" s="306">
        <v>0</v>
      </c>
      <c r="AY94" s="305">
        <v>0</v>
      </c>
      <c r="AZ94" s="287">
        <v>0</v>
      </c>
      <c r="BA94" s="293">
        <v>0</v>
      </c>
      <c r="BB94" s="305">
        <v>0</v>
      </c>
      <c r="BC94" s="287">
        <v>0</v>
      </c>
      <c r="BD94" s="287">
        <v>0</v>
      </c>
      <c r="BE94" s="293">
        <v>0</v>
      </c>
      <c r="BF94" s="289">
        <v>0</v>
      </c>
      <c r="BG94" s="287">
        <v>0</v>
      </c>
      <c r="BH94" s="293">
        <v>0</v>
      </c>
      <c r="BI94" s="307"/>
      <c r="BJ94" s="307"/>
      <c r="BK94" s="307"/>
      <c r="BL94" s="307"/>
      <c r="BM94" s="679"/>
      <c r="BN94" s="682"/>
    </row>
    <row r="95" spans="1:66" ht="26.25" thickBot="1">
      <c r="A95" s="721"/>
      <c r="B95" s="722"/>
      <c r="C95" s="723"/>
      <c r="D95" s="182"/>
      <c r="E95" s="584" t="s">
        <v>74</v>
      </c>
      <c r="F95" s="299">
        <v>0</v>
      </c>
      <c r="G95" s="286">
        <v>0</v>
      </c>
      <c r="H95" s="297">
        <v>0</v>
      </c>
      <c r="I95" s="299">
        <v>0</v>
      </c>
      <c r="J95" s="286">
        <v>0</v>
      </c>
      <c r="K95" s="297">
        <v>0</v>
      </c>
      <c r="L95" s="299">
        <v>0</v>
      </c>
      <c r="M95" s="286">
        <v>0</v>
      </c>
      <c r="N95" s="297">
        <v>0</v>
      </c>
      <c r="O95" s="299">
        <v>0</v>
      </c>
      <c r="P95" s="286">
        <v>0</v>
      </c>
      <c r="Q95" s="297">
        <v>0</v>
      </c>
      <c r="R95" s="290">
        <v>0</v>
      </c>
      <c r="S95" s="286">
        <v>0</v>
      </c>
      <c r="T95" s="286">
        <v>0</v>
      </c>
      <c r="U95" s="286">
        <v>0</v>
      </c>
      <c r="V95" s="302">
        <v>0</v>
      </c>
      <c r="W95" s="299">
        <v>0</v>
      </c>
      <c r="X95" s="286">
        <v>0</v>
      </c>
      <c r="Y95" s="297">
        <v>0</v>
      </c>
      <c r="Z95" s="299">
        <v>0</v>
      </c>
      <c r="AA95" s="286">
        <v>0</v>
      </c>
      <c r="AB95" s="297">
        <v>0</v>
      </c>
      <c r="AC95" s="299">
        <v>0</v>
      </c>
      <c r="AD95" s="286">
        <v>0</v>
      </c>
      <c r="AE95" s="297">
        <v>0</v>
      </c>
      <c r="AF95" s="290">
        <v>0</v>
      </c>
      <c r="AG95" s="286">
        <v>0</v>
      </c>
      <c r="AH95" s="286">
        <v>0</v>
      </c>
      <c r="AI95" s="286">
        <v>0</v>
      </c>
      <c r="AJ95" s="302">
        <v>0</v>
      </c>
      <c r="AK95" s="299">
        <v>0</v>
      </c>
      <c r="AL95" s="286">
        <v>0</v>
      </c>
      <c r="AM95" s="297">
        <v>0</v>
      </c>
      <c r="AN95" s="299">
        <v>0</v>
      </c>
      <c r="AO95" s="286">
        <v>0</v>
      </c>
      <c r="AP95" s="297">
        <v>0</v>
      </c>
      <c r="AQ95" s="290">
        <v>0</v>
      </c>
      <c r="AR95" s="286">
        <v>0</v>
      </c>
      <c r="AS95" s="286">
        <v>0</v>
      </c>
      <c r="AT95" s="286">
        <v>0</v>
      </c>
      <c r="AU95" s="286">
        <v>0</v>
      </c>
      <c r="AV95" s="286">
        <v>0</v>
      </c>
      <c r="AW95" s="286">
        <v>0</v>
      </c>
      <c r="AX95" s="302">
        <v>0</v>
      </c>
      <c r="AY95" s="299">
        <v>0</v>
      </c>
      <c r="AZ95" s="286">
        <v>0</v>
      </c>
      <c r="BA95" s="297">
        <v>0</v>
      </c>
      <c r="BB95" s="299">
        <v>0</v>
      </c>
      <c r="BC95" s="286">
        <v>0</v>
      </c>
      <c r="BD95" s="286">
        <v>0</v>
      </c>
      <c r="BE95" s="297">
        <v>0</v>
      </c>
      <c r="BF95" s="290">
        <v>0</v>
      </c>
      <c r="BG95" s="286">
        <v>0</v>
      </c>
      <c r="BH95" s="297">
        <v>0</v>
      </c>
      <c r="BM95" s="680"/>
      <c r="BN95" s="683"/>
    </row>
    <row r="96" spans="1:66" ht="13.5" thickBot="1">
      <c r="A96" s="735"/>
      <c r="B96" s="736"/>
      <c r="C96" s="737"/>
      <c r="D96" s="308"/>
      <c r="E96" s="587" t="s">
        <v>27</v>
      </c>
      <c r="F96" s="300">
        <v>0</v>
      </c>
      <c r="G96" s="288">
        <v>0</v>
      </c>
      <c r="H96" s="301">
        <v>0</v>
      </c>
      <c r="I96" s="300">
        <v>0</v>
      </c>
      <c r="J96" s="288">
        <v>0</v>
      </c>
      <c r="K96" s="301">
        <v>0</v>
      </c>
      <c r="L96" s="300">
        <v>0</v>
      </c>
      <c r="M96" s="288">
        <v>0</v>
      </c>
      <c r="N96" s="301">
        <v>0</v>
      </c>
      <c r="O96" s="300">
        <v>0</v>
      </c>
      <c r="P96" s="288">
        <v>0</v>
      </c>
      <c r="Q96" s="301">
        <v>0</v>
      </c>
      <c r="R96" s="298">
        <v>0</v>
      </c>
      <c r="S96" s="288">
        <v>0</v>
      </c>
      <c r="T96" s="288">
        <v>0</v>
      </c>
      <c r="U96" s="288">
        <v>0</v>
      </c>
      <c r="V96" s="303">
        <v>0</v>
      </c>
      <c r="W96" s="300">
        <v>0</v>
      </c>
      <c r="X96" s="288">
        <v>0</v>
      </c>
      <c r="Y96" s="301">
        <v>0</v>
      </c>
      <c r="Z96" s="300">
        <v>0</v>
      </c>
      <c r="AA96" s="288">
        <v>0</v>
      </c>
      <c r="AB96" s="301">
        <v>0</v>
      </c>
      <c r="AC96" s="300">
        <v>0</v>
      </c>
      <c r="AD96" s="288">
        <v>0</v>
      </c>
      <c r="AE96" s="301">
        <v>0</v>
      </c>
      <c r="AF96" s="298">
        <v>0</v>
      </c>
      <c r="AG96" s="288">
        <v>0</v>
      </c>
      <c r="AH96" s="288">
        <v>0</v>
      </c>
      <c r="AI96" s="288">
        <v>0</v>
      </c>
      <c r="AJ96" s="303">
        <v>0</v>
      </c>
      <c r="AK96" s="300">
        <v>0</v>
      </c>
      <c r="AL96" s="288">
        <v>0</v>
      </c>
      <c r="AM96" s="301">
        <v>0</v>
      </c>
      <c r="AN96" s="300">
        <v>0</v>
      </c>
      <c r="AO96" s="288">
        <v>0</v>
      </c>
      <c r="AP96" s="301">
        <v>0</v>
      </c>
      <c r="AQ96" s="298">
        <v>0</v>
      </c>
      <c r="AR96" s="288">
        <v>0</v>
      </c>
      <c r="AS96" s="288">
        <v>0</v>
      </c>
      <c r="AT96" s="288">
        <v>0</v>
      </c>
      <c r="AU96" s="288">
        <v>0</v>
      </c>
      <c r="AV96" s="288">
        <v>0</v>
      </c>
      <c r="AW96" s="288">
        <v>0</v>
      </c>
      <c r="AX96" s="303">
        <v>0</v>
      </c>
      <c r="AY96" s="300">
        <v>0</v>
      </c>
      <c r="AZ96" s="288">
        <v>0</v>
      </c>
      <c r="BA96" s="301">
        <v>0</v>
      </c>
      <c r="BB96" s="300">
        <v>0</v>
      </c>
      <c r="BC96" s="288">
        <v>0</v>
      </c>
      <c r="BD96" s="288">
        <v>0</v>
      </c>
      <c r="BE96" s="301">
        <v>0</v>
      </c>
      <c r="BF96" s="298">
        <v>0</v>
      </c>
      <c r="BG96" s="288">
        <v>0</v>
      </c>
      <c r="BH96" s="301">
        <v>0</v>
      </c>
      <c r="BI96" s="309"/>
      <c r="BJ96" s="309"/>
      <c r="BK96" s="309"/>
      <c r="BL96" s="309"/>
      <c r="BM96" s="681"/>
      <c r="BN96" s="684"/>
    </row>
    <row r="97" spans="1:66" ht="13.5" thickBot="1">
      <c r="A97" s="718" t="s">
        <v>136</v>
      </c>
      <c r="B97" s="671"/>
      <c r="C97" s="672"/>
      <c r="D97" s="304"/>
      <c r="E97" s="584" t="s">
        <v>73</v>
      </c>
      <c r="F97" s="305">
        <f>AQ97+BF97</f>
        <v>496</v>
      </c>
      <c r="G97" s="287">
        <f>BG97</f>
        <v>271</v>
      </c>
      <c r="H97" s="293">
        <f>G97/F97*100</f>
        <v>54.63709677419355</v>
      </c>
      <c r="I97" s="305">
        <v>0</v>
      </c>
      <c r="J97" s="287">
        <v>0</v>
      </c>
      <c r="K97" s="293">
        <v>0</v>
      </c>
      <c r="L97" s="305">
        <v>0</v>
      </c>
      <c r="M97" s="287">
        <v>0</v>
      </c>
      <c r="N97" s="293">
        <v>0</v>
      </c>
      <c r="O97" s="305">
        <v>0</v>
      </c>
      <c r="P97" s="287">
        <v>0</v>
      </c>
      <c r="Q97" s="293">
        <v>0</v>
      </c>
      <c r="R97" s="289">
        <v>0</v>
      </c>
      <c r="S97" s="287">
        <v>0</v>
      </c>
      <c r="T97" s="287">
        <v>0</v>
      </c>
      <c r="U97" s="287">
        <v>0</v>
      </c>
      <c r="V97" s="306">
        <v>0</v>
      </c>
      <c r="W97" s="305">
        <v>0</v>
      </c>
      <c r="X97" s="287">
        <v>0</v>
      </c>
      <c r="Y97" s="293">
        <v>0</v>
      </c>
      <c r="Z97" s="305">
        <v>0</v>
      </c>
      <c r="AA97" s="287">
        <v>0</v>
      </c>
      <c r="AB97" s="293">
        <v>0</v>
      </c>
      <c r="AC97" s="305">
        <v>0</v>
      </c>
      <c r="AD97" s="287">
        <v>0</v>
      </c>
      <c r="AE97" s="293">
        <v>0</v>
      </c>
      <c r="AF97" s="289">
        <v>0</v>
      </c>
      <c r="AG97" s="287">
        <v>0</v>
      </c>
      <c r="AH97" s="287">
        <v>0</v>
      </c>
      <c r="AI97" s="287">
        <v>0</v>
      </c>
      <c r="AJ97" s="306">
        <v>0</v>
      </c>
      <c r="AK97" s="305">
        <v>0</v>
      </c>
      <c r="AL97" s="287">
        <v>0</v>
      </c>
      <c r="AM97" s="293">
        <v>0</v>
      </c>
      <c r="AN97" s="305">
        <v>0</v>
      </c>
      <c r="AO97" s="287">
        <v>0</v>
      </c>
      <c r="AP97" s="293">
        <v>0</v>
      </c>
      <c r="AQ97" s="289">
        <v>99.9</v>
      </c>
      <c r="AR97" s="287">
        <v>0</v>
      </c>
      <c r="AS97" s="287">
        <v>0</v>
      </c>
      <c r="AT97" s="287"/>
      <c r="AU97" s="287"/>
      <c r="AV97" s="287"/>
      <c r="AW97" s="287"/>
      <c r="AX97" s="306"/>
      <c r="AY97" s="305">
        <v>0</v>
      </c>
      <c r="AZ97" s="287">
        <v>0</v>
      </c>
      <c r="BA97" s="293">
        <v>0</v>
      </c>
      <c r="BB97" s="305">
        <v>0</v>
      </c>
      <c r="BC97" s="287">
        <v>0</v>
      </c>
      <c r="BD97" s="287"/>
      <c r="BE97" s="293">
        <v>0</v>
      </c>
      <c r="BF97" s="289">
        <v>396.1</v>
      </c>
      <c r="BG97" s="292">
        <v>271</v>
      </c>
      <c r="BH97" s="293">
        <f>BG97/BF97*100</f>
        <v>68.4170663973744</v>
      </c>
      <c r="BI97" s="307"/>
      <c r="BJ97" s="307"/>
      <c r="BK97" s="307"/>
      <c r="BL97" s="307"/>
      <c r="BM97" s="679"/>
      <c r="BN97" s="682"/>
    </row>
    <row r="98" spans="1:66" ht="26.25" thickBot="1">
      <c r="A98" s="673"/>
      <c r="B98" s="674"/>
      <c r="C98" s="675"/>
      <c r="D98" s="182"/>
      <c r="E98" s="584" t="s">
        <v>74</v>
      </c>
      <c r="F98" s="299">
        <v>0</v>
      </c>
      <c r="G98" s="286">
        <v>0</v>
      </c>
      <c r="H98" s="297">
        <v>0</v>
      </c>
      <c r="I98" s="299">
        <v>0</v>
      </c>
      <c r="J98" s="286">
        <v>0</v>
      </c>
      <c r="K98" s="297">
        <v>0</v>
      </c>
      <c r="L98" s="299">
        <v>0</v>
      </c>
      <c r="M98" s="286">
        <v>0</v>
      </c>
      <c r="N98" s="297">
        <v>0</v>
      </c>
      <c r="O98" s="299">
        <v>0</v>
      </c>
      <c r="P98" s="286">
        <v>0</v>
      </c>
      <c r="Q98" s="297">
        <v>0</v>
      </c>
      <c r="R98" s="290">
        <v>0</v>
      </c>
      <c r="S98" s="286">
        <v>0</v>
      </c>
      <c r="T98" s="286">
        <v>0</v>
      </c>
      <c r="U98" s="286">
        <v>0</v>
      </c>
      <c r="V98" s="302">
        <v>0</v>
      </c>
      <c r="W98" s="299">
        <v>0</v>
      </c>
      <c r="X98" s="286">
        <v>0</v>
      </c>
      <c r="Y98" s="297">
        <v>0</v>
      </c>
      <c r="Z98" s="299">
        <v>0</v>
      </c>
      <c r="AA98" s="286">
        <v>0</v>
      </c>
      <c r="AB98" s="297">
        <v>0</v>
      </c>
      <c r="AC98" s="299">
        <v>0</v>
      </c>
      <c r="AD98" s="286">
        <v>0</v>
      </c>
      <c r="AE98" s="297">
        <v>0</v>
      </c>
      <c r="AF98" s="290">
        <v>0</v>
      </c>
      <c r="AG98" s="286">
        <v>0</v>
      </c>
      <c r="AH98" s="286">
        <v>0</v>
      </c>
      <c r="AI98" s="286">
        <v>0</v>
      </c>
      <c r="AJ98" s="302">
        <v>0</v>
      </c>
      <c r="AK98" s="299">
        <v>0</v>
      </c>
      <c r="AL98" s="286">
        <v>0</v>
      </c>
      <c r="AM98" s="297">
        <v>0</v>
      </c>
      <c r="AN98" s="299">
        <v>0</v>
      </c>
      <c r="AO98" s="286">
        <v>0</v>
      </c>
      <c r="AP98" s="297">
        <v>0</v>
      </c>
      <c r="AQ98" s="290">
        <v>0</v>
      </c>
      <c r="AR98" s="286">
        <v>0</v>
      </c>
      <c r="AS98" s="286">
        <v>0</v>
      </c>
      <c r="AT98" s="286"/>
      <c r="AU98" s="286"/>
      <c r="AV98" s="286"/>
      <c r="AW98" s="286"/>
      <c r="AX98" s="302"/>
      <c r="AY98" s="299">
        <v>0</v>
      </c>
      <c r="AZ98" s="286">
        <v>0</v>
      </c>
      <c r="BA98" s="297">
        <v>0</v>
      </c>
      <c r="BB98" s="299">
        <v>0</v>
      </c>
      <c r="BC98" s="286">
        <v>0</v>
      </c>
      <c r="BD98" s="286"/>
      <c r="BE98" s="297">
        <v>0</v>
      </c>
      <c r="BF98" s="290">
        <v>0</v>
      </c>
      <c r="BG98" s="291">
        <v>0</v>
      </c>
      <c r="BH98" s="294">
        <v>0</v>
      </c>
      <c r="BM98" s="680"/>
      <c r="BN98" s="683"/>
    </row>
    <row r="99" spans="1:66" ht="13.5" thickBot="1">
      <c r="A99" s="676"/>
      <c r="B99" s="677"/>
      <c r="C99" s="678"/>
      <c r="D99" s="308"/>
      <c r="E99" s="587" t="s">
        <v>27</v>
      </c>
      <c r="F99" s="300">
        <f>F97</f>
        <v>496</v>
      </c>
      <c r="G99" s="288">
        <f>BG99</f>
        <v>271</v>
      </c>
      <c r="H99" s="301">
        <f>H97</f>
        <v>54.63709677419355</v>
      </c>
      <c r="I99" s="300">
        <v>0</v>
      </c>
      <c r="J99" s="288">
        <v>0</v>
      </c>
      <c r="K99" s="301">
        <v>0</v>
      </c>
      <c r="L99" s="300">
        <v>0</v>
      </c>
      <c r="M99" s="288">
        <v>0</v>
      </c>
      <c r="N99" s="301">
        <v>0</v>
      </c>
      <c r="O99" s="300">
        <v>0</v>
      </c>
      <c r="P99" s="288">
        <v>0</v>
      </c>
      <c r="Q99" s="301">
        <v>0</v>
      </c>
      <c r="R99" s="298">
        <v>0</v>
      </c>
      <c r="S99" s="288">
        <v>0</v>
      </c>
      <c r="T99" s="288">
        <v>0</v>
      </c>
      <c r="U99" s="288">
        <v>0</v>
      </c>
      <c r="V99" s="303">
        <v>0</v>
      </c>
      <c r="W99" s="300">
        <v>0</v>
      </c>
      <c r="X99" s="288">
        <v>0</v>
      </c>
      <c r="Y99" s="301">
        <v>0</v>
      </c>
      <c r="Z99" s="300">
        <v>0</v>
      </c>
      <c r="AA99" s="288">
        <v>0</v>
      </c>
      <c r="AB99" s="301">
        <v>0</v>
      </c>
      <c r="AC99" s="300">
        <v>0</v>
      </c>
      <c r="AD99" s="288">
        <v>0</v>
      </c>
      <c r="AE99" s="301">
        <v>0</v>
      </c>
      <c r="AF99" s="298">
        <v>0</v>
      </c>
      <c r="AG99" s="288">
        <v>0</v>
      </c>
      <c r="AH99" s="288">
        <v>0</v>
      </c>
      <c r="AI99" s="288">
        <v>0</v>
      </c>
      <c r="AJ99" s="303">
        <v>0</v>
      </c>
      <c r="AK99" s="300">
        <v>0</v>
      </c>
      <c r="AL99" s="288">
        <v>0</v>
      </c>
      <c r="AM99" s="301">
        <v>0</v>
      </c>
      <c r="AN99" s="300">
        <v>0</v>
      </c>
      <c r="AO99" s="288">
        <v>0</v>
      </c>
      <c r="AP99" s="301">
        <v>0</v>
      </c>
      <c r="AQ99" s="298">
        <v>99.9</v>
      </c>
      <c r="AR99" s="288">
        <v>0</v>
      </c>
      <c r="AS99" s="288">
        <v>0</v>
      </c>
      <c r="AT99" s="288"/>
      <c r="AU99" s="288"/>
      <c r="AV99" s="288"/>
      <c r="AW99" s="288"/>
      <c r="AX99" s="303"/>
      <c r="AY99" s="300">
        <v>0</v>
      </c>
      <c r="AZ99" s="288">
        <v>0</v>
      </c>
      <c r="BA99" s="301">
        <v>0</v>
      </c>
      <c r="BB99" s="300">
        <v>0</v>
      </c>
      <c r="BC99" s="288">
        <v>0</v>
      </c>
      <c r="BD99" s="288"/>
      <c r="BE99" s="301">
        <v>0</v>
      </c>
      <c r="BF99" s="298">
        <v>396.1</v>
      </c>
      <c r="BG99" s="295">
        <v>271</v>
      </c>
      <c r="BH99" s="296">
        <v>68.4</v>
      </c>
      <c r="BI99" s="309"/>
      <c r="BJ99" s="309"/>
      <c r="BK99" s="309"/>
      <c r="BL99" s="309"/>
      <c r="BM99" s="681"/>
      <c r="BN99" s="684"/>
    </row>
    <row r="100" spans="1:66" ht="12.75">
      <c r="A100" s="154"/>
      <c r="B100" s="182"/>
      <c r="C100" s="182"/>
      <c r="D100" s="182"/>
      <c r="E100" s="182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  <c r="V100" s="245"/>
      <c r="W100" s="245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H100" s="154"/>
      <c r="BM100" s="243"/>
      <c r="BN100" s="243"/>
    </row>
    <row r="101" spans="1:66" ht="15">
      <c r="A101" s="154"/>
      <c r="B101" s="588" t="s">
        <v>59</v>
      </c>
      <c r="C101" s="313"/>
      <c r="D101" s="182"/>
      <c r="E101" s="182"/>
      <c r="F101" s="589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  <c r="V101" s="245"/>
      <c r="W101" s="852" t="s">
        <v>129</v>
      </c>
      <c r="X101" s="852"/>
      <c r="Y101" s="852"/>
      <c r="Z101" s="852"/>
      <c r="AA101" s="852"/>
      <c r="AB101" s="852"/>
      <c r="AC101" s="852"/>
      <c r="AD101" s="852"/>
      <c r="AE101" s="245"/>
      <c r="AF101" s="245"/>
      <c r="AG101" s="245"/>
      <c r="AH101" s="245"/>
      <c r="AI101" s="245"/>
      <c r="AJ101" s="245"/>
      <c r="AK101" s="245"/>
      <c r="AL101" s="245"/>
      <c r="AM101" s="245"/>
      <c r="AN101" s="245"/>
      <c r="AO101" s="245"/>
      <c r="AP101" s="245"/>
      <c r="AQ101" s="245"/>
      <c r="AR101" s="245"/>
      <c r="AS101" s="245"/>
      <c r="AT101" s="245"/>
      <c r="AU101" s="245"/>
      <c r="AV101" s="245"/>
      <c r="AW101" s="245"/>
      <c r="AX101" s="245"/>
      <c r="AY101" s="245"/>
      <c r="AZ101" s="245"/>
      <c r="BA101" s="245"/>
      <c r="BB101" s="245"/>
      <c r="BC101" s="245"/>
      <c r="BD101" s="245"/>
      <c r="BE101" s="245"/>
      <c r="BF101" s="245"/>
      <c r="BG101" s="245"/>
      <c r="BH101" s="245"/>
      <c r="BM101" s="243"/>
      <c r="BN101" s="243"/>
    </row>
    <row r="102" spans="1:66" ht="15">
      <c r="A102" s="154"/>
      <c r="B102" s="588" t="s">
        <v>56</v>
      </c>
      <c r="C102" s="590"/>
      <c r="D102" s="591"/>
      <c r="E102" s="592"/>
      <c r="F102" s="589"/>
      <c r="G102" s="245"/>
      <c r="H102" s="245"/>
      <c r="I102" s="709"/>
      <c r="J102" s="709"/>
      <c r="K102" s="709"/>
      <c r="L102" s="709"/>
      <c r="M102" s="709"/>
      <c r="N102" s="709"/>
      <c r="O102" s="709"/>
      <c r="P102" s="853" t="s">
        <v>130</v>
      </c>
      <c r="Q102" s="853"/>
      <c r="R102" s="853"/>
      <c r="S102" s="853"/>
      <c r="T102" s="853"/>
      <c r="U102" s="853"/>
      <c r="V102" s="853"/>
      <c r="W102" s="853"/>
      <c r="X102" s="853"/>
      <c r="Y102" s="853"/>
      <c r="Z102" s="853"/>
      <c r="AA102" s="853"/>
      <c r="AB102" s="853"/>
      <c r="AC102" s="853"/>
      <c r="AD102" s="853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H102" s="154"/>
      <c r="BM102" s="243"/>
      <c r="BN102" s="243"/>
    </row>
    <row r="103" spans="1:66" ht="15">
      <c r="A103" s="154"/>
      <c r="B103" s="588" t="s">
        <v>152</v>
      </c>
      <c r="C103" s="590"/>
      <c r="D103" s="591"/>
      <c r="E103" s="418"/>
      <c r="F103" s="589"/>
      <c r="G103" s="245"/>
      <c r="H103" s="245"/>
      <c r="I103" s="709"/>
      <c r="J103" s="709"/>
      <c r="K103" s="709"/>
      <c r="L103" s="709"/>
      <c r="M103" s="709"/>
      <c r="N103" s="709"/>
      <c r="O103" s="709"/>
      <c r="P103" s="245"/>
      <c r="Q103" s="245"/>
      <c r="R103" s="245"/>
      <c r="S103" s="245"/>
      <c r="T103" s="245"/>
      <c r="U103" s="245"/>
      <c r="V103" s="245"/>
      <c r="W103" s="245"/>
      <c r="X103" s="311"/>
      <c r="Y103" s="853" t="s">
        <v>131</v>
      </c>
      <c r="Z103" s="853"/>
      <c r="AA103" s="853"/>
      <c r="AB103" s="853"/>
      <c r="AC103" s="853"/>
      <c r="AD103" s="853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H103" s="154"/>
      <c r="BM103" s="243"/>
      <c r="BN103" s="243"/>
    </row>
    <row r="104" spans="1:66" ht="15">
      <c r="A104" s="154"/>
      <c r="B104" s="588"/>
      <c r="C104" s="590"/>
      <c r="D104" s="591"/>
      <c r="E104" s="591"/>
      <c r="F104" s="245"/>
      <c r="G104" s="245"/>
      <c r="H104" s="245"/>
      <c r="I104" s="314"/>
      <c r="J104" s="314"/>
      <c r="K104" s="314"/>
      <c r="L104" s="314"/>
      <c r="M104" s="314"/>
      <c r="N104" s="314"/>
      <c r="O104" s="314"/>
      <c r="P104" s="854"/>
      <c r="Q104" s="854"/>
      <c r="R104" s="854"/>
      <c r="S104" s="854"/>
      <c r="T104" s="854"/>
      <c r="U104" s="854"/>
      <c r="V104" s="854"/>
      <c r="W104" s="854"/>
      <c r="X104" s="854"/>
      <c r="Y104" s="854"/>
      <c r="Z104" s="854"/>
      <c r="AA104" s="854"/>
      <c r="AB104" s="854"/>
      <c r="AC104" s="854"/>
      <c r="AD104" s="85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H104" s="154"/>
      <c r="BM104" s="243"/>
      <c r="BN104" s="243"/>
    </row>
    <row r="105" spans="1:66" ht="15">
      <c r="A105" s="154"/>
      <c r="B105" s="588" t="s">
        <v>153</v>
      </c>
      <c r="C105" s="590"/>
      <c r="D105" s="591"/>
      <c r="E105" s="591"/>
      <c r="F105" s="245"/>
      <c r="G105" s="245"/>
      <c r="H105" s="245"/>
      <c r="I105" s="314"/>
      <c r="J105" s="314"/>
      <c r="K105" s="314"/>
      <c r="L105" s="314"/>
      <c r="M105" s="314"/>
      <c r="N105" s="314"/>
      <c r="O105" s="314"/>
      <c r="P105" s="593"/>
      <c r="Q105" s="593"/>
      <c r="R105" s="593"/>
      <c r="S105" s="593"/>
      <c r="T105" s="593"/>
      <c r="U105" s="593"/>
      <c r="V105" s="593"/>
      <c r="W105" s="593"/>
      <c r="X105" s="593"/>
      <c r="Y105" s="854" t="s">
        <v>155</v>
      </c>
      <c r="Z105" s="854"/>
      <c r="AA105" s="854"/>
      <c r="AB105" s="854"/>
      <c r="AC105" s="854"/>
      <c r="AD105" s="85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H105" s="154"/>
      <c r="BM105" s="243"/>
      <c r="BN105" s="243"/>
    </row>
    <row r="106" spans="1:66" ht="15">
      <c r="A106" s="154"/>
      <c r="B106" s="588" t="s">
        <v>154</v>
      </c>
      <c r="C106" s="590"/>
      <c r="D106" s="591"/>
      <c r="E106" s="591"/>
      <c r="F106" s="245"/>
      <c r="G106" s="245"/>
      <c r="H106" s="245"/>
      <c r="I106" s="314"/>
      <c r="J106" s="314"/>
      <c r="K106" s="314"/>
      <c r="L106" s="314"/>
      <c r="M106" s="314"/>
      <c r="N106" s="314"/>
      <c r="O106" s="314"/>
      <c r="P106" s="314"/>
      <c r="Q106" s="245"/>
      <c r="R106" s="245"/>
      <c r="S106" s="245"/>
      <c r="T106" s="245"/>
      <c r="U106" s="245"/>
      <c r="V106" s="245"/>
      <c r="W106" s="245"/>
      <c r="X106" s="311"/>
      <c r="Y106" s="311"/>
      <c r="Z106" s="853" t="s">
        <v>112</v>
      </c>
      <c r="AA106" s="853"/>
      <c r="AB106" s="853"/>
      <c r="AC106" s="853"/>
      <c r="AD106" s="853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H106" s="154"/>
      <c r="BM106" s="243"/>
      <c r="BN106" s="243"/>
    </row>
    <row r="107" spans="1:66" ht="14.25" customHeight="1">
      <c r="A107" s="154"/>
      <c r="B107" s="594" t="s">
        <v>151</v>
      </c>
      <c r="C107" s="595"/>
      <c r="D107" s="591"/>
      <c r="E107" s="591"/>
      <c r="F107" s="245"/>
      <c r="G107" s="245"/>
      <c r="H107" s="245"/>
      <c r="I107" s="596"/>
      <c r="J107" s="595"/>
      <c r="K107" s="596"/>
      <c r="L107" s="595"/>
      <c r="M107" s="596"/>
      <c r="N107" s="595"/>
      <c r="O107" s="246"/>
      <c r="P107" s="244"/>
      <c r="Q107" s="245"/>
      <c r="R107" s="245"/>
      <c r="S107" s="245"/>
      <c r="T107" s="245"/>
      <c r="U107" s="245"/>
      <c r="V107" s="245"/>
      <c r="W107" s="245"/>
      <c r="X107" s="851"/>
      <c r="Y107" s="851"/>
      <c r="Z107" s="851"/>
      <c r="AA107" s="851"/>
      <c r="AB107" s="851"/>
      <c r="AC107" s="851"/>
      <c r="AD107" s="851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H107" s="154"/>
      <c r="BM107" s="243"/>
      <c r="BN107" s="243"/>
    </row>
    <row r="108" spans="1:66" ht="12.75">
      <c r="A108" s="154"/>
      <c r="C108" s="154"/>
      <c r="D108" s="154"/>
      <c r="E108" s="154"/>
      <c r="F108" s="154"/>
      <c r="G108" s="154"/>
      <c r="H108" s="154"/>
      <c r="I108" s="154"/>
      <c r="L108" s="154"/>
      <c r="O108" s="154"/>
      <c r="Q108" s="154"/>
      <c r="R108" s="154"/>
      <c r="S108" s="154"/>
      <c r="T108" s="154"/>
      <c r="U108" s="154"/>
      <c r="V108" s="154"/>
      <c r="W108" s="154"/>
      <c r="Z108" s="154"/>
      <c r="AC108" s="154"/>
      <c r="AE108" s="154"/>
      <c r="AK108" s="154"/>
      <c r="AN108" s="154"/>
      <c r="AQ108" s="154"/>
      <c r="AS108" s="154"/>
      <c r="AY108" s="154"/>
      <c r="BB108" s="154"/>
      <c r="BE108" s="154"/>
      <c r="BF108" s="154"/>
      <c r="BH108" s="154"/>
      <c r="BM108" s="154"/>
      <c r="BN108" s="154"/>
    </row>
  </sheetData>
  <sheetProtection/>
  <mergeCells count="156">
    <mergeCell ref="X107:AD107"/>
    <mergeCell ref="W101:AD101"/>
    <mergeCell ref="P102:AD102"/>
    <mergeCell ref="P104:AD104"/>
    <mergeCell ref="Y103:AD103"/>
    <mergeCell ref="Y105:AD105"/>
    <mergeCell ref="Z106:AD106"/>
    <mergeCell ref="A80:C84"/>
    <mergeCell ref="BN65:BN67"/>
    <mergeCell ref="A65:A67"/>
    <mergeCell ref="B65:B67"/>
    <mergeCell ref="C65:C67"/>
    <mergeCell ref="BN74:BN79"/>
    <mergeCell ref="BM68:BM71"/>
    <mergeCell ref="BN68:BN71"/>
    <mergeCell ref="BM65:BM67"/>
    <mergeCell ref="A74:D79"/>
    <mergeCell ref="BM74:BM79"/>
    <mergeCell ref="A31:A34"/>
    <mergeCell ref="B31:B34"/>
    <mergeCell ref="C31:C34"/>
    <mergeCell ref="C58:C60"/>
    <mergeCell ref="C68:C71"/>
    <mergeCell ref="D58:D60"/>
    <mergeCell ref="B55:B57"/>
    <mergeCell ref="B45:B47"/>
    <mergeCell ref="A48:A50"/>
    <mergeCell ref="B15:B20"/>
    <mergeCell ref="A15:A20"/>
    <mergeCell ref="C15:C20"/>
    <mergeCell ref="D15:D20"/>
    <mergeCell ref="A45:A47"/>
    <mergeCell ref="B48:B50"/>
    <mergeCell ref="B25:B27"/>
    <mergeCell ref="B68:B71"/>
    <mergeCell ref="B35:B37"/>
    <mergeCell ref="B42:B44"/>
    <mergeCell ref="C51:C53"/>
    <mergeCell ref="A39:A41"/>
    <mergeCell ref="C55:C57"/>
    <mergeCell ref="B58:B60"/>
    <mergeCell ref="A61:A63"/>
    <mergeCell ref="B61:B63"/>
    <mergeCell ref="C61:C63"/>
    <mergeCell ref="D61:D63"/>
    <mergeCell ref="C35:C37"/>
    <mergeCell ref="C42:C44"/>
    <mergeCell ref="C39:C41"/>
    <mergeCell ref="A35:A38"/>
    <mergeCell ref="A58:A60"/>
    <mergeCell ref="A55:A57"/>
    <mergeCell ref="I10:K10"/>
    <mergeCell ref="C14:BH14"/>
    <mergeCell ref="AK10:AM10"/>
    <mergeCell ref="AN10:AP10"/>
    <mergeCell ref="D39:D41"/>
    <mergeCell ref="D42:D44"/>
    <mergeCell ref="AT10:AV10"/>
    <mergeCell ref="AQ10:AS10"/>
    <mergeCell ref="Z10:AB10"/>
    <mergeCell ref="E9:E11"/>
    <mergeCell ref="BN15:BN18"/>
    <mergeCell ref="BM4:BN4"/>
    <mergeCell ref="C13:BH13"/>
    <mergeCell ref="BF10:BH10"/>
    <mergeCell ref="C25:C27"/>
    <mergeCell ref="BN21:BN23"/>
    <mergeCell ref="BM15:BM18"/>
    <mergeCell ref="BM21:BM23"/>
    <mergeCell ref="O10:Q10"/>
    <mergeCell ref="A5:BH5"/>
    <mergeCell ref="BM9:BM11"/>
    <mergeCell ref="BN9:BN11"/>
    <mergeCell ref="AF10:AH10"/>
    <mergeCell ref="R10:T10"/>
    <mergeCell ref="W10:Y10"/>
    <mergeCell ref="BM3:BN3"/>
    <mergeCell ref="BM1:BN1"/>
    <mergeCell ref="AY10:BA10"/>
    <mergeCell ref="L10:N10"/>
    <mergeCell ref="BB10:BE10"/>
    <mergeCell ref="B6:AC6"/>
    <mergeCell ref="B7:AD7"/>
    <mergeCell ref="BM2:BN2"/>
    <mergeCell ref="BM5:BN5"/>
    <mergeCell ref="BM6:BN6"/>
    <mergeCell ref="BI10:BJ10"/>
    <mergeCell ref="BN45:BN47"/>
    <mergeCell ref="BM45:BM47"/>
    <mergeCell ref="BM39:BM41"/>
    <mergeCell ref="D21:D24"/>
    <mergeCell ref="D28:D30"/>
    <mergeCell ref="D55:D57"/>
    <mergeCell ref="BM55:BM57"/>
    <mergeCell ref="BM31:BM33"/>
    <mergeCell ref="D35:D38"/>
    <mergeCell ref="D51:D53"/>
    <mergeCell ref="BM25:BM27"/>
    <mergeCell ref="BN25:BN27"/>
    <mergeCell ref="BN39:BN41"/>
    <mergeCell ref="BM42:BM44"/>
    <mergeCell ref="BN42:BN44"/>
    <mergeCell ref="BN35:BN37"/>
    <mergeCell ref="BM28:BM30"/>
    <mergeCell ref="BN31:BN33"/>
    <mergeCell ref="BM35:BM37"/>
    <mergeCell ref="BN28:BN30"/>
    <mergeCell ref="BM61:BM63"/>
    <mergeCell ref="BN61:BN63"/>
    <mergeCell ref="BN48:BN50"/>
    <mergeCell ref="BM58:BM60"/>
    <mergeCell ref="BN58:BN60"/>
    <mergeCell ref="BM48:BM50"/>
    <mergeCell ref="BN55:BN57"/>
    <mergeCell ref="F9:H10"/>
    <mergeCell ref="AC10:AE10"/>
    <mergeCell ref="C48:C50"/>
    <mergeCell ref="D48:D50"/>
    <mergeCell ref="A94:C96"/>
    <mergeCell ref="I9:BL9"/>
    <mergeCell ref="D31:D34"/>
    <mergeCell ref="A25:A27"/>
    <mergeCell ref="A28:A30"/>
    <mergeCell ref="B39:B41"/>
    <mergeCell ref="I103:O103"/>
    <mergeCell ref="C64:BH64"/>
    <mergeCell ref="D68:D71"/>
    <mergeCell ref="I102:O102"/>
    <mergeCell ref="B28:B30"/>
    <mergeCell ref="C28:C30"/>
    <mergeCell ref="A97:C99"/>
    <mergeCell ref="A85:C88"/>
    <mergeCell ref="A68:A71"/>
    <mergeCell ref="A42:A44"/>
    <mergeCell ref="A9:A11"/>
    <mergeCell ref="B9:B11"/>
    <mergeCell ref="C9:C11"/>
    <mergeCell ref="D9:D11"/>
    <mergeCell ref="C45:C47"/>
    <mergeCell ref="D45:D47"/>
    <mergeCell ref="B21:B24"/>
    <mergeCell ref="A21:A24"/>
    <mergeCell ref="C21:C24"/>
    <mergeCell ref="D25:D27"/>
    <mergeCell ref="BM80:BM83"/>
    <mergeCell ref="BN80:BN83"/>
    <mergeCell ref="BM85:BM88"/>
    <mergeCell ref="BN85:BN88"/>
    <mergeCell ref="BM90:BM93"/>
    <mergeCell ref="BN90:BN93"/>
    <mergeCell ref="A89:C89"/>
    <mergeCell ref="A90:C93"/>
    <mergeCell ref="BM94:BM96"/>
    <mergeCell ref="BN94:BN96"/>
    <mergeCell ref="BM97:BM99"/>
    <mergeCell ref="BN97:BN99"/>
  </mergeCells>
  <printOptions/>
  <pageMargins left="0" right="0" top="0.07874015748031496" bottom="0" header="0" footer="0"/>
  <pageSetup horizontalDpi="600" verticalDpi="600" orientation="landscape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123</cp:lastModifiedBy>
  <cp:lastPrinted>2020-04-21T11:06:32Z</cp:lastPrinted>
  <dcterms:created xsi:type="dcterms:W3CDTF">2013-05-08T10:07:11Z</dcterms:created>
  <dcterms:modified xsi:type="dcterms:W3CDTF">2023-06-30T02:51:04Z</dcterms:modified>
  <cp:category/>
  <cp:version/>
  <cp:contentType/>
  <cp:contentStatus/>
</cp:coreProperties>
</file>