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0" windowWidth="23895" windowHeight="12840"/>
  </bookViews>
  <sheets>
    <sheet name="9 мес" sheetId="14" r:id="rId1"/>
  </sheets>
  <definedNames>
    <definedName name="_xlnm.Print_Area" localSheetId="0">'9 мес'!$A$1:$AS$346</definedName>
  </definedNames>
  <calcPr calcId="144525"/>
</workbook>
</file>

<file path=xl/calcChain.xml><?xml version="1.0" encoding="utf-8"?>
<calcChain xmlns="http://schemas.openxmlformats.org/spreadsheetml/2006/main">
  <c r="F335" i="14" l="1"/>
  <c r="E335" i="14"/>
  <c r="AN334" i="14"/>
  <c r="AK334" i="14"/>
  <c r="F334" i="14"/>
  <c r="E334" i="14"/>
  <c r="AO333" i="14"/>
  <c r="AL333" i="14"/>
  <c r="AN333" i="14" s="1"/>
  <c r="AK333" i="14"/>
  <c r="AF333" i="14"/>
  <c r="AH333" i="14" s="1"/>
  <c r="AE333" i="14"/>
  <c r="AB333" i="14"/>
  <c r="Y333" i="14"/>
  <c r="V333" i="14"/>
  <c r="S333" i="14"/>
  <c r="P333" i="14"/>
  <c r="N333" i="14"/>
  <c r="M333" i="14"/>
  <c r="J333" i="14"/>
  <c r="F333" i="14"/>
  <c r="G333" i="14" s="1"/>
  <c r="E333" i="14"/>
  <c r="F332" i="14"/>
  <c r="E332" i="14"/>
  <c r="AO331" i="14"/>
  <c r="AM331" i="14"/>
  <c r="AL331" i="14"/>
  <c r="AJ331" i="14"/>
  <c r="AK331" i="14" s="1"/>
  <c r="AI331" i="14"/>
  <c r="AG331" i="14"/>
  <c r="AH331" i="14" s="1"/>
  <c r="AF331" i="14"/>
  <c r="AD331" i="14"/>
  <c r="AE331" i="14" s="1"/>
  <c r="AC331" i="14"/>
  <c r="AA331" i="14"/>
  <c r="Z331" i="14"/>
  <c r="X331" i="14"/>
  <c r="Y331" i="14" s="1"/>
  <c r="W331" i="14"/>
  <c r="U331" i="14"/>
  <c r="V331" i="14" s="1"/>
  <c r="T331" i="14"/>
  <c r="R331" i="14"/>
  <c r="S331" i="14" s="1"/>
  <c r="Q331" i="14"/>
  <c r="O331" i="14"/>
  <c r="N331" i="14"/>
  <c r="L331" i="14"/>
  <c r="M331" i="14" s="1"/>
  <c r="K331" i="14"/>
  <c r="I331" i="14"/>
  <c r="H331" i="14"/>
  <c r="E331" i="14" s="1"/>
  <c r="F331" i="14"/>
  <c r="F330" i="14"/>
  <c r="E330" i="14"/>
  <c r="AK329" i="14"/>
  <c r="AN328" i="14"/>
  <c r="AL328" i="14"/>
  <c r="AK328" i="14"/>
  <c r="Z328" i="14"/>
  <c r="AB328" i="14" s="1"/>
  <c r="W328" i="14"/>
  <c r="Y328" i="14" s="1"/>
  <c r="S328" i="14"/>
  <c r="F328" i="14"/>
  <c r="G328" i="14" s="1"/>
  <c r="E328" i="14"/>
  <c r="F327" i="14"/>
  <c r="E327" i="14"/>
  <c r="X326" i="14"/>
  <c r="U326" i="14"/>
  <c r="R326" i="14"/>
  <c r="O326" i="14"/>
  <c r="AM325" i="14"/>
  <c r="AJ325" i="14"/>
  <c r="AG325" i="14"/>
  <c r="AD325" i="14"/>
  <c r="AA325" i="14"/>
  <c r="X325" i="14"/>
  <c r="U325" i="14"/>
  <c r="R325" i="14"/>
  <c r="O325" i="14"/>
  <c r="F325" i="14"/>
  <c r="AD324" i="14"/>
  <c r="L324" i="14"/>
  <c r="K324" i="14"/>
  <c r="AP323" i="14"/>
  <c r="AM323" i="14"/>
  <c r="AJ323" i="14"/>
  <c r="AG323" i="14"/>
  <c r="J323" i="14"/>
  <c r="AM322" i="14"/>
  <c r="AJ322" i="14"/>
  <c r="AG322" i="14"/>
  <c r="J322" i="14"/>
  <c r="AM320" i="14"/>
  <c r="AJ320" i="14"/>
  <c r="AG320" i="14"/>
  <c r="AM319" i="14"/>
  <c r="AG319" i="14"/>
  <c r="AD319" i="14"/>
  <c r="AA319" i="14"/>
  <c r="X319" i="14"/>
  <c r="U319" i="14"/>
  <c r="R319" i="14"/>
  <c r="O319" i="14"/>
  <c r="AK318" i="14"/>
  <c r="AH318" i="14"/>
  <c r="AE318" i="14"/>
  <c r="AB318" i="14"/>
  <c r="Y318" i="14"/>
  <c r="V318" i="14"/>
  <c r="S318" i="14"/>
  <c r="P318" i="14"/>
  <c r="M318" i="14"/>
  <c r="J318" i="14"/>
  <c r="AG312" i="14"/>
  <c r="AD312" i="14"/>
  <c r="AA312" i="14"/>
  <c r="X312" i="14"/>
  <c r="U312" i="14"/>
  <c r="R312" i="14"/>
  <c r="O312" i="14"/>
  <c r="AM306" i="14"/>
  <c r="AJ306" i="14"/>
  <c r="AG306" i="14"/>
  <c r="X306" i="14"/>
  <c r="U306" i="14"/>
  <c r="R306" i="14"/>
  <c r="O306" i="14"/>
  <c r="F306" i="14"/>
  <c r="AP305" i="14"/>
  <c r="AP311" i="14" s="1"/>
  <c r="AM305" i="14"/>
  <c r="AJ305" i="14"/>
  <c r="AG305" i="14"/>
  <c r="AD305" i="14"/>
  <c r="L305" i="14"/>
  <c r="K305" i="14"/>
  <c r="AP304" i="14"/>
  <c r="AP310" i="14" s="1"/>
  <c r="AM304" i="14"/>
  <c r="AJ304" i="14"/>
  <c r="AP303" i="14"/>
  <c r="AP309" i="14" s="1"/>
  <c r="AM303" i="14"/>
  <c r="AJ303" i="14"/>
  <c r="AG303" i="14"/>
  <c r="AP302" i="14"/>
  <c r="AP308" i="14" s="1"/>
  <c r="AM302" i="14"/>
  <c r="AJ302" i="14"/>
  <c r="AG302" i="14"/>
  <c r="AP301" i="14"/>
  <c r="AM301" i="14"/>
  <c r="AJ301" i="14"/>
  <c r="AM300" i="14"/>
  <c r="AJ300" i="14"/>
  <c r="AG300" i="14"/>
  <c r="AD300" i="14"/>
  <c r="AA300" i="14"/>
  <c r="X300" i="14"/>
  <c r="U300" i="14"/>
  <c r="R300" i="14"/>
  <c r="O300" i="14"/>
  <c r="F300" i="14"/>
  <c r="AO294" i="14"/>
  <c r="AM294" i="14"/>
  <c r="AL294" i="14"/>
  <c r="AJ294" i="14"/>
  <c r="AI294" i="14"/>
  <c r="AG294" i="14"/>
  <c r="AF294" i="14"/>
  <c r="AD294" i="14"/>
  <c r="AC294" i="14"/>
  <c r="AA294" i="14"/>
  <c r="Z294" i="14"/>
  <c r="X294" i="14"/>
  <c r="W294" i="14"/>
  <c r="U294" i="14"/>
  <c r="T294" i="14"/>
  <c r="R294" i="14"/>
  <c r="Q294" i="14"/>
  <c r="O294" i="14"/>
  <c r="N294" i="14"/>
  <c r="L294" i="14"/>
  <c r="K294" i="14"/>
  <c r="I294" i="14"/>
  <c r="H294" i="14"/>
  <c r="F294" i="14"/>
  <c r="E294" i="14"/>
  <c r="AO293" i="14"/>
  <c r="AM293" i="14"/>
  <c r="AJ293" i="14"/>
  <c r="AG293" i="14"/>
  <c r="AF293" i="14"/>
  <c r="AD293" i="14"/>
  <c r="X293" i="14"/>
  <c r="U293" i="14"/>
  <c r="T293" i="14"/>
  <c r="R293" i="14"/>
  <c r="O293" i="14"/>
  <c r="L293" i="14"/>
  <c r="K293" i="14"/>
  <c r="I293" i="14"/>
  <c r="H293" i="14"/>
  <c r="AO292" i="14"/>
  <c r="AQ292" i="14" s="1"/>
  <c r="AM292" i="14"/>
  <c r="AJ292" i="14"/>
  <c r="AK292" i="14" s="1"/>
  <c r="AI292" i="14"/>
  <c r="AG292" i="14"/>
  <c r="AF292" i="14"/>
  <c r="AD292" i="14"/>
  <c r="AE292" i="14" s="1"/>
  <c r="AC292" i="14"/>
  <c r="AA292" i="14"/>
  <c r="X292" i="14"/>
  <c r="U292" i="14"/>
  <c r="V292" i="14" s="1"/>
  <c r="T292" i="14"/>
  <c r="R292" i="14"/>
  <c r="S292" i="14" s="1"/>
  <c r="Q292" i="14"/>
  <c r="O292" i="14"/>
  <c r="N292" i="14"/>
  <c r="L292" i="14"/>
  <c r="K292" i="14"/>
  <c r="I292" i="14"/>
  <c r="H292" i="14"/>
  <c r="F292" i="14"/>
  <c r="AO291" i="14"/>
  <c r="AM291" i="14"/>
  <c r="AL291" i="14"/>
  <c r="AJ291" i="14"/>
  <c r="AI291" i="14"/>
  <c r="AG291" i="14"/>
  <c r="AF291" i="14"/>
  <c r="AD291" i="14"/>
  <c r="AC291" i="14"/>
  <c r="AA291" i="14"/>
  <c r="Z291" i="14"/>
  <c r="X291" i="14"/>
  <c r="W291" i="14"/>
  <c r="U291" i="14"/>
  <c r="T291" i="14"/>
  <c r="R291" i="14"/>
  <c r="Q291" i="14"/>
  <c r="O291" i="14"/>
  <c r="N291" i="14"/>
  <c r="L291" i="14"/>
  <c r="K291" i="14"/>
  <c r="I291" i="14"/>
  <c r="H291" i="14"/>
  <c r="F291" i="14"/>
  <c r="E291" i="14"/>
  <c r="AQ290" i="14"/>
  <c r="AO290" i="14"/>
  <c r="AM290" i="14"/>
  <c r="AJ290" i="14"/>
  <c r="AG290" i="14"/>
  <c r="AF290" i="14"/>
  <c r="AD290" i="14"/>
  <c r="X290" i="14"/>
  <c r="U290" i="14"/>
  <c r="T290" i="14"/>
  <c r="V290" i="14" s="1"/>
  <c r="R290" i="14"/>
  <c r="O290" i="14"/>
  <c r="L290" i="14"/>
  <c r="K290" i="14"/>
  <c r="I290" i="14"/>
  <c r="H290" i="14"/>
  <c r="F289" i="14"/>
  <c r="E289" i="14"/>
  <c r="F288" i="14"/>
  <c r="E288" i="14"/>
  <c r="F287" i="14"/>
  <c r="E287" i="14"/>
  <c r="F286" i="14"/>
  <c r="E286" i="14"/>
  <c r="AO285" i="14"/>
  <c r="AL285" i="14"/>
  <c r="AI285" i="14"/>
  <c r="AF285" i="14"/>
  <c r="AC285" i="14"/>
  <c r="Z285" i="14"/>
  <c r="W285" i="14"/>
  <c r="T285" i="14"/>
  <c r="Q285" i="14"/>
  <c r="N285" i="14"/>
  <c r="K285" i="14"/>
  <c r="E285" i="14" s="1"/>
  <c r="H285" i="14"/>
  <c r="F285" i="14"/>
  <c r="F284" i="14"/>
  <c r="E284" i="14"/>
  <c r="AN283" i="14"/>
  <c r="AA283" i="14"/>
  <c r="AA293" i="14" s="1"/>
  <c r="Y283" i="14"/>
  <c r="E283" i="14"/>
  <c r="AE282" i="14"/>
  <c r="AB282" i="14"/>
  <c r="Y282" i="14"/>
  <c r="V282" i="14"/>
  <c r="F282" i="14"/>
  <c r="E282" i="14"/>
  <c r="F281" i="14"/>
  <c r="E281" i="14"/>
  <c r="AO280" i="14"/>
  <c r="AM280" i="14"/>
  <c r="AN280" i="14" s="1"/>
  <c r="AL280" i="14"/>
  <c r="AJ280" i="14"/>
  <c r="AI280" i="14"/>
  <c r="AG280" i="14"/>
  <c r="AF280" i="14"/>
  <c r="AD280" i="14"/>
  <c r="AC280" i="14"/>
  <c r="AA280" i="14"/>
  <c r="AB280" i="14" s="1"/>
  <c r="Z280" i="14"/>
  <c r="X280" i="14"/>
  <c r="W280" i="14"/>
  <c r="U280" i="14"/>
  <c r="V280" i="14" s="1"/>
  <c r="T280" i="14"/>
  <c r="R280" i="14"/>
  <c r="F280" i="14" s="1"/>
  <c r="Q280" i="14"/>
  <c r="N280" i="14"/>
  <c r="K280" i="14"/>
  <c r="H280" i="14"/>
  <c r="E280" i="14" s="1"/>
  <c r="F279" i="14"/>
  <c r="E279" i="14"/>
  <c r="AN278" i="14"/>
  <c r="AL278" i="14"/>
  <c r="AL293" i="14" s="1"/>
  <c r="AK278" i="14"/>
  <c r="AI278" i="14"/>
  <c r="AI293" i="14" s="1"/>
  <c r="AH278" i="14"/>
  <c r="AC278" i="14"/>
  <c r="AC293" i="14" s="1"/>
  <c r="AC290" i="14" s="1"/>
  <c r="Z278" i="14"/>
  <c r="AB278" i="14" s="1"/>
  <c r="W278" i="14"/>
  <c r="W293" i="14" s="1"/>
  <c r="Q278" i="14"/>
  <c r="S278" i="14" s="1"/>
  <c r="N278" i="14"/>
  <c r="N293" i="14" s="1"/>
  <c r="F278" i="14"/>
  <c r="AQ277" i="14"/>
  <c r="AL277" i="14"/>
  <c r="AL292" i="14" s="1"/>
  <c r="AL290" i="14" s="1"/>
  <c r="AN290" i="14" s="1"/>
  <c r="AK277" i="14"/>
  <c r="AE277" i="14"/>
  <c r="Z277" i="14"/>
  <c r="AB277" i="14" s="1"/>
  <c r="W277" i="14"/>
  <c r="W292" i="14" s="1"/>
  <c r="S277" i="14"/>
  <c r="F277" i="14"/>
  <c r="F276" i="14"/>
  <c r="E276" i="14"/>
  <c r="AO275" i="14"/>
  <c r="AQ275" i="14" s="1"/>
  <c r="AM275" i="14"/>
  <c r="AL275" i="14"/>
  <c r="AJ275" i="14"/>
  <c r="AI275" i="14"/>
  <c r="AK275" i="14" s="1"/>
  <c r="AG275" i="14"/>
  <c r="AF275" i="14"/>
  <c r="AD275" i="14"/>
  <c r="AC275" i="14"/>
  <c r="AE275" i="14" s="1"/>
  <c r="AA275" i="14"/>
  <c r="Z275" i="14"/>
  <c r="X275" i="14"/>
  <c r="W275" i="14"/>
  <c r="Y275" i="14" s="1"/>
  <c r="U275" i="14"/>
  <c r="T275" i="14"/>
  <c r="R275" i="14"/>
  <c r="Q275" i="14"/>
  <c r="O275" i="14"/>
  <c r="N275" i="14"/>
  <c r="P275" i="14" s="1"/>
  <c r="L275" i="14"/>
  <c r="K275" i="14"/>
  <c r="H275" i="14"/>
  <c r="E275" i="14"/>
  <c r="AO272" i="14"/>
  <c r="AM272" i="14"/>
  <c r="AL272" i="14"/>
  <c r="AJ272" i="14"/>
  <c r="AI272" i="14"/>
  <c r="AG272" i="14"/>
  <c r="AF272" i="14"/>
  <c r="AD272" i="14"/>
  <c r="AC272" i="14"/>
  <c r="AA272" i="14"/>
  <c r="Z272" i="14"/>
  <c r="X272" i="14"/>
  <c r="W272" i="14"/>
  <c r="U272" i="14"/>
  <c r="T272" i="14"/>
  <c r="R272" i="14"/>
  <c r="Q272" i="14"/>
  <c r="O272" i="14"/>
  <c r="N272" i="14"/>
  <c r="L272" i="14"/>
  <c r="K272" i="14"/>
  <c r="I272" i="14"/>
  <c r="H272" i="14"/>
  <c r="F272" i="14"/>
  <c r="E272" i="14"/>
  <c r="AM271" i="14"/>
  <c r="AM329" i="14" s="1"/>
  <c r="AL271" i="14"/>
  <c r="AL329" i="14" s="1"/>
  <c r="AL326" i="14" s="1"/>
  <c r="AJ271" i="14"/>
  <c r="AJ329" i="14" s="1"/>
  <c r="AJ326" i="14" s="1"/>
  <c r="AG271" i="14"/>
  <c r="AG329" i="14" s="1"/>
  <c r="AG326" i="14" s="1"/>
  <c r="AD271" i="14"/>
  <c r="AD329" i="14" s="1"/>
  <c r="AD326" i="14" s="1"/>
  <c r="AA271" i="14"/>
  <c r="AA329" i="14" s="1"/>
  <c r="X271" i="14"/>
  <c r="U271" i="14"/>
  <c r="V271" i="14" s="1"/>
  <c r="T271" i="14"/>
  <c r="T329" i="14" s="1"/>
  <c r="R271" i="14"/>
  <c r="S271" i="14" s="1"/>
  <c r="Q271" i="14"/>
  <c r="Q329" i="14" s="1"/>
  <c r="O271" i="14"/>
  <c r="L271" i="14"/>
  <c r="L329" i="14" s="1"/>
  <c r="K271" i="14"/>
  <c r="K329" i="14" s="1"/>
  <c r="K326" i="14" s="1"/>
  <c r="I271" i="14"/>
  <c r="AO270" i="14"/>
  <c r="AM270" i="14"/>
  <c r="AL270" i="14"/>
  <c r="AJ270" i="14"/>
  <c r="AI270" i="14"/>
  <c r="AG270" i="14"/>
  <c r="AF270" i="14"/>
  <c r="AD270" i="14"/>
  <c r="AC270" i="14"/>
  <c r="AA270" i="14"/>
  <c r="Z270" i="14"/>
  <c r="X270" i="14"/>
  <c r="U270" i="14"/>
  <c r="T270" i="14"/>
  <c r="R270" i="14"/>
  <c r="Q270" i="14"/>
  <c r="O270" i="14"/>
  <c r="N270" i="14"/>
  <c r="L270" i="14"/>
  <c r="K270" i="14"/>
  <c r="I270" i="14"/>
  <c r="H270" i="14"/>
  <c r="F270" i="14"/>
  <c r="AO269" i="14"/>
  <c r="AM269" i="14"/>
  <c r="AL269" i="14"/>
  <c r="AJ269" i="14"/>
  <c r="AI269" i="14"/>
  <c r="AG269" i="14"/>
  <c r="AF269" i="14"/>
  <c r="AD269" i="14"/>
  <c r="AC269" i="14"/>
  <c r="AA269" i="14"/>
  <c r="Z269" i="14"/>
  <c r="X269" i="14"/>
  <c r="W269" i="14"/>
  <c r="U269" i="14"/>
  <c r="T269" i="14"/>
  <c r="R269" i="14"/>
  <c r="Q269" i="14"/>
  <c r="O269" i="14"/>
  <c r="N269" i="14"/>
  <c r="L269" i="14"/>
  <c r="K269" i="14"/>
  <c r="I269" i="14"/>
  <c r="H269" i="14"/>
  <c r="F269" i="14"/>
  <c r="E269" i="14"/>
  <c r="AM268" i="14"/>
  <c r="AN268" i="14" s="1"/>
  <c r="AL268" i="14"/>
  <c r="AJ268" i="14"/>
  <c r="AG268" i="14"/>
  <c r="AD268" i="14"/>
  <c r="AA268" i="14"/>
  <c r="X268" i="14"/>
  <c r="U268" i="14"/>
  <c r="V268" i="14" s="1"/>
  <c r="T268" i="14"/>
  <c r="R268" i="14"/>
  <c r="S268" i="14" s="1"/>
  <c r="Q268" i="14"/>
  <c r="O268" i="14"/>
  <c r="L268" i="14"/>
  <c r="K268" i="14"/>
  <c r="I268" i="14"/>
  <c r="F267" i="14"/>
  <c r="E267" i="14"/>
  <c r="AO266" i="14"/>
  <c r="AF266" i="14"/>
  <c r="AC266" i="14"/>
  <c r="AC271" i="14" s="1"/>
  <c r="AB266" i="14"/>
  <c r="Y266" i="14"/>
  <c r="V266" i="14"/>
  <c r="S266" i="14"/>
  <c r="P266" i="14"/>
  <c r="M266" i="14"/>
  <c r="H266" i="14"/>
  <c r="H271" i="14" s="1"/>
  <c r="F266" i="14"/>
  <c r="F265" i="14"/>
  <c r="E265" i="14"/>
  <c r="F264" i="14"/>
  <c r="E264" i="14"/>
  <c r="AO263" i="14"/>
  <c r="AM263" i="14"/>
  <c r="AL263" i="14"/>
  <c r="AJ263" i="14"/>
  <c r="AI263" i="14"/>
  <c r="AG263" i="14"/>
  <c r="AF263" i="14"/>
  <c r="AD263" i="14"/>
  <c r="AE263" i="14" s="1"/>
  <c r="AC263" i="14"/>
  <c r="AA263" i="14"/>
  <c r="Z263" i="14"/>
  <c r="X263" i="14"/>
  <c r="Y263" i="14" s="1"/>
  <c r="W263" i="14"/>
  <c r="U263" i="14"/>
  <c r="T263" i="14"/>
  <c r="R263" i="14"/>
  <c r="S263" i="14" s="1"/>
  <c r="Q263" i="14"/>
  <c r="O263" i="14"/>
  <c r="N263" i="14"/>
  <c r="P263" i="14" s="1"/>
  <c r="L263" i="14"/>
  <c r="M263" i="14" s="1"/>
  <c r="K263" i="14"/>
  <c r="I263" i="14"/>
  <c r="H263" i="14"/>
  <c r="F263" i="14"/>
  <c r="F262" i="14"/>
  <c r="E262" i="14"/>
  <c r="AH261" i="14"/>
  <c r="N261" i="14"/>
  <c r="F261" i="14"/>
  <c r="E261" i="14"/>
  <c r="G261" i="14" s="1"/>
  <c r="F260" i="14"/>
  <c r="E260" i="14"/>
  <c r="F259" i="14"/>
  <c r="E259" i="14"/>
  <c r="AO258" i="14"/>
  <c r="AM258" i="14"/>
  <c r="AL258" i="14"/>
  <c r="AJ258" i="14"/>
  <c r="AI258" i="14"/>
  <c r="AG258" i="14"/>
  <c r="AF258" i="14"/>
  <c r="AD258" i="14"/>
  <c r="AC258" i="14"/>
  <c r="Z258" i="14"/>
  <c r="W258" i="14"/>
  <c r="T258" i="14"/>
  <c r="R258" i="14"/>
  <c r="Q258" i="14"/>
  <c r="O258" i="14"/>
  <c r="F258" i="14" s="1"/>
  <c r="N258" i="14"/>
  <c r="K258" i="14"/>
  <c r="H258" i="14"/>
  <c r="E258" i="14"/>
  <c r="F257" i="14"/>
  <c r="F256" i="14"/>
  <c r="E256" i="14"/>
  <c r="AN255" i="14"/>
  <c r="AH255" i="14"/>
  <c r="Y255" i="14"/>
  <c r="V255" i="14"/>
  <c r="S255" i="14"/>
  <c r="P255" i="14"/>
  <c r="F255" i="14"/>
  <c r="G255" i="14" s="1"/>
  <c r="E255" i="14"/>
  <c r="F254" i="14"/>
  <c r="E254" i="14"/>
  <c r="F253" i="14"/>
  <c r="E253" i="14"/>
  <c r="AO252" i="14"/>
  <c r="AM252" i="14"/>
  <c r="AL252" i="14"/>
  <c r="AN252" i="14" s="1"/>
  <c r="AJ252" i="14"/>
  <c r="AI252" i="14"/>
  <c r="AG252" i="14"/>
  <c r="AF252" i="14"/>
  <c r="AD252" i="14"/>
  <c r="AC252" i="14"/>
  <c r="Z252" i="14"/>
  <c r="X252" i="14"/>
  <c r="Y252" i="14" s="1"/>
  <c r="W252" i="14"/>
  <c r="U252" i="14"/>
  <c r="T252" i="14"/>
  <c r="R252" i="14"/>
  <c r="S252" i="14" s="1"/>
  <c r="Q252" i="14"/>
  <c r="O252" i="14"/>
  <c r="N252" i="14"/>
  <c r="L252" i="14"/>
  <c r="K252" i="14"/>
  <c r="I252" i="14"/>
  <c r="H252" i="14"/>
  <c r="E252" i="14" s="1"/>
  <c r="F252" i="14"/>
  <c r="F251" i="14"/>
  <c r="E251" i="14"/>
  <c r="AO250" i="14"/>
  <c r="AO271" i="14" s="1"/>
  <c r="AO268" i="14" s="1"/>
  <c r="AQ268" i="14" s="1"/>
  <c r="AN250" i="14"/>
  <c r="AF250" i="14"/>
  <c r="AF271" i="14" s="1"/>
  <c r="AF329" i="14" s="1"/>
  <c r="AF326" i="14" s="1"/>
  <c r="W250" i="14"/>
  <c r="W271" i="14" s="1"/>
  <c r="N250" i="14"/>
  <c r="N271" i="14" s="1"/>
  <c r="N329" i="14" s="1"/>
  <c r="F250" i="14"/>
  <c r="E250" i="14"/>
  <c r="F249" i="14"/>
  <c r="E249" i="14"/>
  <c r="F248" i="14"/>
  <c r="E248" i="14"/>
  <c r="AO247" i="14"/>
  <c r="AM247" i="14"/>
  <c r="AL247" i="14"/>
  <c r="AJ247" i="14"/>
  <c r="AI247" i="14"/>
  <c r="AG247" i="14"/>
  <c r="AF247" i="14"/>
  <c r="AD247" i="14"/>
  <c r="AC247" i="14"/>
  <c r="Z247" i="14"/>
  <c r="W247" i="14"/>
  <c r="T247" i="14"/>
  <c r="R247" i="14"/>
  <c r="Q247" i="14"/>
  <c r="O247" i="14"/>
  <c r="N247" i="14"/>
  <c r="K247" i="14"/>
  <c r="I247" i="14"/>
  <c r="H247" i="14"/>
  <c r="E247" i="14" s="1"/>
  <c r="F246" i="14"/>
  <c r="E246" i="14"/>
  <c r="F245" i="14"/>
  <c r="E245" i="14"/>
  <c r="W244" i="14"/>
  <c r="F244" i="14"/>
  <c r="E244" i="14"/>
  <c r="F243" i="14"/>
  <c r="E243" i="14"/>
  <c r="AO242" i="14"/>
  <c r="AM242" i="14"/>
  <c r="AL242" i="14"/>
  <c r="AJ242" i="14"/>
  <c r="AI242" i="14"/>
  <c r="AG242" i="14"/>
  <c r="AF242" i="14"/>
  <c r="AD242" i="14"/>
  <c r="AC242" i="14"/>
  <c r="AA242" i="14"/>
  <c r="Z242" i="14"/>
  <c r="X242" i="14"/>
  <c r="W242" i="14"/>
  <c r="U242" i="14"/>
  <c r="T242" i="14"/>
  <c r="R242" i="14"/>
  <c r="Q242" i="14"/>
  <c r="N242" i="14"/>
  <c r="L242" i="14"/>
  <c r="F242" i="14" s="1"/>
  <c r="K242" i="14"/>
  <c r="H242" i="14"/>
  <c r="E242" i="14" s="1"/>
  <c r="F241" i="14"/>
  <c r="E241" i="14"/>
  <c r="AQ240" i="14"/>
  <c r="AN240" i="14"/>
  <c r="AI240" i="14"/>
  <c r="AI271" i="14" s="1"/>
  <c r="AI329" i="14" s="1"/>
  <c r="AI326" i="14" s="1"/>
  <c r="Z240" i="14"/>
  <c r="Z271" i="14" s="1"/>
  <c r="Z329" i="14" s="1"/>
  <c r="Z326" i="14" s="1"/>
  <c r="Y240" i="14"/>
  <c r="S240" i="14"/>
  <c r="M240" i="14"/>
  <c r="F240" i="14"/>
  <c r="E240" i="14"/>
  <c r="G240" i="14" s="1"/>
  <c r="W239" i="14"/>
  <c r="W270" i="14" s="1"/>
  <c r="F239" i="14"/>
  <c r="E239" i="14"/>
  <c r="F238" i="14"/>
  <c r="E238" i="14"/>
  <c r="AO237" i="14"/>
  <c r="AQ237" i="14" s="1"/>
  <c r="AM237" i="14"/>
  <c r="AL237" i="14"/>
  <c r="AN237" i="14" s="1"/>
  <c r="AJ237" i="14"/>
  <c r="AI237" i="14"/>
  <c r="AG237" i="14"/>
  <c r="AF237" i="14"/>
  <c r="AD237" i="14"/>
  <c r="AC237" i="14"/>
  <c r="AA237" i="14"/>
  <c r="Z237" i="14"/>
  <c r="X237" i="14"/>
  <c r="W237" i="14"/>
  <c r="U237" i="14"/>
  <c r="T237" i="14"/>
  <c r="R237" i="14"/>
  <c r="Q237" i="14"/>
  <c r="S237" i="14" s="1"/>
  <c r="N237" i="14"/>
  <c r="L237" i="14"/>
  <c r="K237" i="14"/>
  <c r="I237" i="14"/>
  <c r="H237" i="14"/>
  <c r="E237" i="14" s="1"/>
  <c r="F237" i="14"/>
  <c r="AO235" i="14"/>
  <c r="AL235" i="14"/>
  <c r="AI235" i="14"/>
  <c r="AF235" i="14"/>
  <c r="AD235" i="14"/>
  <c r="AC235" i="14"/>
  <c r="AA235" i="14"/>
  <c r="Z235" i="14"/>
  <c r="X235" i="14"/>
  <c r="W235" i="14"/>
  <c r="U235" i="14"/>
  <c r="T235" i="14"/>
  <c r="R235" i="14"/>
  <c r="Q235" i="14"/>
  <c r="O235" i="14"/>
  <c r="N235" i="14"/>
  <c r="L235" i="14"/>
  <c r="K235" i="14"/>
  <c r="I235" i="14"/>
  <c r="H235" i="14"/>
  <c r="F235" i="14"/>
  <c r="E235" i="14"/>
  <c r="AM234" i="14"/>
  <c r="AJ234" i="14"/>
  <c r="AI234" i="14"/>
  <c r="AG234" i="14"/>
  <c r="AF234" i="14"/>
  <c r="AD234" i="14"/>
  <c r="AC234" i="14"/>
  <c r="AA234" i="14"/>
  <c r="Z234" i="14"/>
  <c r="X234" i="14"/>
  <c r="Y234" i="14" s="1"/>
  <c r="W234" i="14"/>
  <c r="U234" i="14"/>
  <c r="R234" i="14"/>
  <c r="O234" i="14"/>
  <c r="L234" i="14"/>
  <c r="I234" i="14"/>
  <c r="H234" i="14"/>
  <c r="F234" i="14"/>
  <c r="AM233" i="14"/>
  <c r="AL233" i="14"/>
  <c r="AJ233" i="14"/>
  <c r="AK233" i="14" s="1"/>
  <c r="AI233" i="14"/>
  <c r="AG233" i="14"/>
  <c r="AF233" i="14"/>
  <c r="AD233" i="14"/>
  <c r="AC233" i="14"/>
  <c r="AA233" i="14"/>
  <c r="AB233" i="14" s="1"/>
  <c r="Z233" i="14"/>
  <c r="X233" i="14"/>
  <c r="Y233" i="14" s="1"/>
  <c r="W233" i="14"/>
  <c r="U233" i="14"/>
  <c r="V233" i="14" s="1"/>
  <c r="T233" i="14"/>
  <c r="R233" i="14"/>
  <c r="O233" i="14"/>
  <c r="L233" i="14"/>
  <c r="M233" i="14" s="1"/>
  <c r="K233" i="14"/>
  <c r="I233" i="14"/>
  <c r="H233" i="14"/>
  <c r="F233" i="14"/>
  <c r="AM232" i="14"/>
  <c r="AL232" i="14"/>
  <c r="AJ232" i="14"/>
  <c r="AK232" i="14" s="1"/>
  <c r="AI232" i="14"/>
  <c r="AG232" i="14"/>
  <c r="AF232" i="14"/>
  <c r="AD232" i="14"/>
  <c r="AC232" i="14"/>
  <c r="AA232" i="14"/>
  <c r="Z232" i="14"/>
  <c r="X232" i="14"/>
  <c r="Y232" i="14" s="1"/>
  <c r="W232" i="14"/>
  <c r="U232" i="14"/>
  <c r="V232" i="14" s="1"/>
  <c r="T232" i="14"/>
  <c r="R232" i="14"/>
  <c r="O232" i="14"/>
  <c r="L232" i="14"/>
  <c r="I232" i="14"/>
  <c r="F232" i="14" s="1"/>
  <c r="H232" i="14"/>
  <c r="AM231" i="14"/>
  <c r="AJ231" i="14"/>
  <c r="AI231" i="14"/>
  <c r="AG231" i="14"/>
  <c r="AF231" i="14"/>
  <c r="AD231" i="14"/>
  <c r="AC231" i="14"/>
  <c r="AA231" i="14"/>
  <c r="AB231" i="14" s="1"/>
  <c r="Z231" i="14"/>
  <c r="X231" i="14"/>
  <c r="Y231" i="14" s="1"/>
  <c r="W231" i="14"/>
  <c r="U231" i="14"/>
  <c r="R231" i="14"/>
  <c r="O231" i="14"/>
  <c r="L231" i="14"/>
  <c r="I231" i="14"/>
  <c r="H231" i="14"/>
  <c r="F231" i="14"/>
  <c r="F230" i="14"/>
  <c r="E230" i="14"/>
  <c r="AO229" i="14"/>
  <c r="AQ229" i="14" s="1"/>
  <c r="AN229" i="14"/>
  <c r="AK229" i="14"/>
  <c r="Y229" i="14"/>
  <c r="V229" i="14"/>
  <c r="Q229" i="14"/>
  <c r="S229" i="14" s="1"/>
  <c r="N229" i="14"/>
  <c r="P229" i="14" s="1"/>
  <c r="K229" i="14"/>
  <c r="M229" i="14" s="1"/>
  <c r="F229" i="14"/>
  <c r="E229" i="14"/>
  <c r="AO228" i="14"/>
  <c r="AQ228" i="14" s="1"/>
  <c r="AN228" i="14"/>
  <c r="Y228" i="14"/>
  <c r="V228" i="14"/>
  <c r="Q228" i="14"/>
  <c r="S228" i="14" s="1"/>
  <c r="N228" i="14"/>
  <c r="P228" i="14" s="1"/>
  <c r="M228" i="14"/>
  <c r="F228" i="14"/>
  <c r="E228" i="14"/>
  <c r="AQ227" i="14"/>
  <c r="AO227" i="14"/>
  <c r="AN227" i="14"/>
  <c r="AK227" i="14"/>
  <c r="Y227" i="14"/>
  <c r="V227" i="14"/>
  <c r="Q227" i="14"/>
  <c r="S227" i="14" s="1"/>
  <c r="N227" i="14"/>
  <c r="P227" i="14" s="1"/>
  <c r="K227" i="14"/>
  <c r="M227" i="14" s="1"/>
  <c r="F227" i="14"/>
  <c r="E227" i="14"/>
  <c r="AO226" i="14"/>
  <c r="AQ226" i="14" s="1"/>
  <c r="AM226" i="14"/>
  <c r="AL226" i="14"/>
  <c r="AJ226" i="14"/>
  <c r="AI226" i="14"/>
  <c r="AK226" i="14" s="1"/>
  <c r="AG226" i="14"/>
  <c r="AF226" i="14"/>
  <c r="AD226" i="14"/>
  <c r="AC226" i="14"/>
  <c r="AA226" i="14"/>
  <c r="Z226" i="14"/>
  <c r="X226" i="14"/>
  <c r="W226" i="14"/>
  <c r="U226" i="14"/>
  <c r="V226" i="14" s="1"/>
  <c r="T226" i="14"/>
  <c r="R226" i="14"/>
  <c r="Q226" i="14"/>
  <c r="O226" i="14"/>
  <c r="P226" i="14" s="1"/>
  <c r="N226" i="14"/>
  <c r="L226" i="14"/>
  <c r="M226" i="14" s="1"/>
  <c r="K226" i="14"/>
  <c r="H226" i="14"/>
  <c r="E226" i="14" s="1"/>
  <c r="F226" i="14"/>
  <c r="F225" i="14"/>
  <c r="E225" i="14"/>
  <c r="AQ224" i="14"/>
  <c r="AO224" i="14"/>
  <c r="AN224" i="14"/>
  <c r="AK224" i="14"/>
  <c r="Y224" i="14"/>
  <c r="V224" i="14"/>
  <c r="S224" i="14"/>
  <c r="Q224" i="14"/>
  <c r="Q234" i="14" s="1"/>
  <c r="P224" i="14"/>
  <c r="N224" i="14"/>
  <c r="M224" i="14"/>
  <c r="K224" i="14"/>
  <c r="F224" i="14"/>
  <c r="E224" i="14"/>
  <c r="AO223" i="14"/>
  <c r="AO233" i="14" s="1"/>
  <c r="AQ233" i="14" s="1"/>
  <c r="AN223" i="14"/>
  <c r="AK223" i="14"/>
  <c r="AB223" i="14"/>
  <c r="Y223" i="14"/>
  <c r="V223" i="14"/>
  <c r="S223" i="14"/>
  <c r="Q223" i="14"/>
  <c r="Q233" i="14" s="1"/>
  <c r="P223" i="14"/>
  <c r="N223" i="14"/>
  <c r="N233" i="14" s="1"/>
  <c r="E233" i="14" s="1"/>
  <c r="M223" i="14"/>
  <c r="F223" i="14"/>
  <c r="G223" i="14" s="1"/>
  <c r="E223" i="14"/>
  <c r="AQ222" i="14"/>
  <c r="AO222" i="14"/>
  <c r="AO232" i="14" s="1"/>
  <c r="AN222" i="14"/>
  <c r="AK222" i="14"/>
  <c r="Y222" i="14"/>
  <c r="V222" i="14"/>
  <c r="Q222" i="14"/>
  <c r="Q232" i="14" s="1"/>
  <c r="N222" i="14"/>
  <c r="N232" i="14" s="1"/>
  <c r="K222" i="14"/>
  <c r="K232" i="14" s="1"/>
  <c r="F222" i="14"/>
  <c r="E222" i="14"/>
  <c r="G222" i="14" s="1"/>
  <c r="AO221" i="14"/>
  <c r="AQ221" i="14" s="1"/>
  <c r="AM221" i="14"/>
  <c r="AN221" i="14" s="1"/>
  <c r="AL221" i="14"/>
  <c r="AJ221" i="14"/>
  <c r="AI221" i="14"/>
  <c r="AG221" i="14"/>
  <c r="AF221" i="14"/>
  <c r="AD221" i="14"/>
  <c r="AC221" i="14"/>
  <c r="AA221" i="14"/>
  <c r="AB221" i="14" s="1"/>
  <c r="Z221" i="14"/>
  <c r="X221" i="14"/>
  <c r="W221" i="14"/>
  <c r="U221" i="14"/>
  <c r="V221" i="14" s="1"/>
  <c r="T221" i="14"/>
  <c r="R221" i="14"/>
  <c r="Q221" i="14"/>
  <c r="O221" i="14"/>
  <c r="P221" i="14" s="1"/>
  <c r="N221" i="14"/>
  <c r="L221" i="14"/>
  <c r="K221" i="14"/>
  <c r="I221" i="14"/>
  <c r="H221" i="14"/>
  <c r="E221" i="14" s="1"/>
  <c r="F221" i="14"/>
  <c r="F220" i="14"/>
  <c r="E220" i="14"/>
  <c r="AO219" i="14"/>
  <c r="AO234" i="14" s="1"/>
  <c r="AQ234" i="14" s="1"/>
  <c r="AL219" i="14"/>
  <c r="AL234" i="14" s="1"/>
  <c r="AL231" i="14" s="1"/>
  <c r="N219" i="14"/>
  <c r="K219" i="14"/>
  <c r="K234" i="14" s="1"/>
  <c r="F219" i="14"/>
  <c r="F218" i="14"/>
  <c r="E218" i="14"/>
  <c r="F217" i="14"/>
  <c r="E217" i="14"/>
  <c r="AO216" i="14"/>
  <c r="AL216" i="14"/>
  <c r="AI216" i="14"/>
  <c r="AF216" i="14"/>
  <c r="AD216" i="14"/>
  <c r="AC216" i="14"/>
  <c r="Z216" i="14"/>
  <c r="X216" i="14"/>
  <c r="W216" i="14"/>
  <c r="T216" i="14"/>
  <c r="Q216" i="14"/>
  <c r="O216" i="14"/>
  <c r="N216" i="14"/>
  <c r="L216" i="14"/>
  <c r="K216" i="14"/>
  <c r="E216" i="14" s="1"/>
  <c r="H216" i="14"/>
  <c r="F216" i="14"/>
  <c r="F215" i="14"/>
  <c r="E215" i="14"/>
  <c r="F214" i="14"/>
  <c r="E214" i="14"/>
  <c r="F213" i="14"/>
  <c r="E213" i="14"/>
  <c r="F212" i="14"/>
  <c r="E212" i="14"/>
  <c r="AO211" i="14"/>
  <c r="AL211" i="14"/>
  <c r="AI211" i="14"/>
  <c r="AG211" i="14"/>
  <c r="AF211" i="14"/>
  <c r="AD211" i="14"/>
  <c r="AC211" i="14"/>
  <c r="AA211" i="14"/>
  <c r="Z211" i="14"/>
  <c r="W211" i="14"/>
  <c r="U211" i="14"/>
  <c r="T211" i="14"/>
  <c r="R211" i="14"/>
  <c r="Q211" i="14"/>
  <c r="N211" i="14"/>
  <c r="K211" i="14"/>
  <c r="H211" i="14"/>
  <c r="E211" i="14"/>
  <c r="F210" i="14"/>
  <c r="E210" i="14"/>
  <c r="F209" i="14"/>
  <c r="E209" i="14"/>
  <c r="F208" i="14"/>
  <c r="E208" i="14"/>
  <c r="F207" i="14"/>
  <c r="E207" i="14"/>
  <c r="AO206" i="14"/>
  <c r="AL206" i="14"/>
  <c r="AI206" i="14"/>
  <c r="AF206" i="14"/>
  <c r="AC206" i="14"/>
  <c r="Z206" i="14"/>
  <c r="W206" i="14"/>
  <c r="T206" i="14"/>
  <c r="Q206" i="14"/>
  <c r="N206" i="14"/>
  <c r="K206" i="14"/>
  <c r="H206" i="14"/>
  <c r="F206" i="14"/>
  <c r="E206" i="14"/>
  <c r="F205" i="14"/>
  <c r="E205" i="14"/>
  <c r="T204" i="14"/>
  <c r="T234" i="14" s="1"/>
  <c r="T231" i="14" s="1"/>
  <c r="P204" i="14"/>
  <c r="N204" i="14"/>
  <c r="N234" i="14" s="1"/>
  <c r="F204" i="14"/>
  <c r="E204" i="14"/>
  <c r="F203" i="14"/>
  <c r="E203" i="14"/>
  <c r="F202" i="14"/>
  <c r="E202" i="14"/>
  <c r="AO201" i="14"/>
  <c r="AL201" i="14"/>
  <c r="AJ201" i="14"/>
  <c r="AI201" i="14"/>
  <c r="AG201" i="14"/>
  <c r="AF201" i="14"/>
  <c r="AC201" i="14"/>
  <c r="Z201" i="14"/>
  <c r="X201" i="14"/>
  <c r="W201" i="14"/>
  <c r="U201" i="14"/>
  <c r="F201" i="14" s="1"/>
  <c r="G201" i="14" s="1"/>
  <c r="T201" i="14"/>
  <c r="Q201" i="14"/>
  <c r="O201" i="14"/>
  <c r="N201" i="14"/>
  <c r="P201" i="14" s="1"/>
  <c r="K201" i="14"/>
  <c r="H201" i="14"/>
  <c r="E201" i="14" s="1"/>
  <c r="AO199" i="14"/>
  <c r="AM199" i="14"/>
  <c r="AL199" i="14"/>
  <c r="AI199" i="14"/>
  <c r="AF199" i="14"/>
  <c r="AD199" i="14"/>
  <c r="AC199" i="14"/>
  <c r="E199" i="14" s="1"/>
  <c r="Z199" i="14"/>
  <c r="X199" i="14"/>
  <c r="W199" i="14"/>
  <c r="U199" i="14"/>
  <c r="T199" i="14"/>
  <c r="R199" i="14"/>
  <c r="Q199" i="14"/>
  <c r="O199" i="14"/>
  <c r="N199" i="14"/>
  <c r="L199" i="14"/>
  <c r="K199" i="14"/>
  <c r="I199" i="14"/>
  <c r="H199" i="14"/>
  <c r="F199" i="14"/>
  <c r="AM198" i="14"/>
  <c r="AJ198" i="14"/>
  <c r="AG198" i="14"/>
  <c r="AD198" i="14"/>
  <c r="AA198" i="14"/>
  <c r="Z198" i="14"/>
  <c r="X198" i="14"/>
  <c r="Y198" i="14" s="1"/>
  <c r="W198" i="14"/>
  <c r="U198" i="14"/>
  <c r="R198" i="14"/>
  <c r="Q198" i="14"/>
  <c r="O198" i="14"/>
  <c r="L198" i="14"/>
  <c r="M198" i="14" s="1"/>
  <c r="K198" i="14"/>
  <c r="I198" i="14"/>
  <c r="H198" i="14"/>
  <c r="F198" i="14"/>
  <c r="AM197" i="14"/>
  <c r="AJ197" i="14"/>
  <c r="AK197" i="14" s="1"/>
  <c r="AI197" i="14"/>
  <c r="AG197" i="14"/>
  <c r="AD197" i="14"/>
  <c r="AC197" i="14"/>
  <c r="AA197" i="14"/>
  <c r="Z197" i="14"/>
  <c r="Z195" i="14" s="1"/>
  <c r="X197" i="14"/>
  <c r="W197" i="14"/>
  <c r="W195" i="14" s="1"/>
  <c r="U197" i="14"/>
  <c r="T197" i="14"/>
  <c r="R197" i="14"/>
  <c r="Q197" i="14"/>
  <c r="O197" i="14"/>
  <c r="L197" i="14"/>
  <c r="M197" i="14" s="1"/>
  <c r="K197" i="14"/>
  <c r="I197" i="14"/>
  <c r="J197" i="14" s="1"/>
  <c r="H197" i="14"/>
  <c r="F197" i="14"/>
  <c r="AO196" i="14"/>
  <c r="AM196" i="14"/>
  <c r="AL196" i="14"/>
  <c r="AJ196" i="14"/>
  <c r="AJ195" i="14" s="1"/>
  <c r="AI196" i="14"/>
  <c r="AG196" i="14"/>
  <c r="AF196" i="14"/>
  <c r="AD196" i="14"/>
  <c r="AD195" i="14" s="1"/>
  <c r="AC196" i="14"/>
  <c r="AA196" i="14"/>
  <c r="Z196" i="14"/>
  <c r="X196" i="14"/>
  <c r="W196" i="14"/>
  <c r="U196" i="14"/>
  <c r="T196" i="14"/>
  <c r="R196" i="14"/>
  <c r="R195" i="14" s="1"/>
  <c r="S195" i="14" s="1"/>
  <c r="Q196" i="14"/>
  <c r="O196" i="14"/>
  <c r="O195" i="14" s="1"/>
  <c r="F195" i="14" s="1"/>
  <c r="N196" i="14"/>
  <c r="L196" i="14"/>
  <c r="K196" i="14"/>
  <c r="I196" i="14"/>
  <c r="H196" i="14"/>
  <c r="F196" i="14"/>
  <c r="E196" i="14"/>
  <c r="AM195" i="14"/>
  <c r="AG195" i="14"/>
  <c r="AA195" i="14"/>
  <c r="X195" i="14"/>
  <c r="U195" i="14"/>
  <c r="Q195" i="14"/>
  <c r="L195" i="14"/>
  <c r="M195" i="14" s="1"/>
  <c r="K195" i="14"/>
  <c r="I195" i="14"/>
  <c r="J195" i="14" s="1"/>
  <c r="H195" i="14"/>
  <c r="F194" i="14"/>
  <c r="E194" i="14"/>
  <c r="F193" i="14"/>
  <c r="E193" i="14"/>
  <c r="F192" i="14"/>
  <c r="E192" i="14"/>
  <c r="F191" i="14"/>
  <c r="E191" i="14"/>
  <c r="AO190" i="14"/>
  <c r="AL190" i="14"/>
  <c r="AI190" i="14"/>
  <c r="AF190" i="14"/>
  <c r="AC190" i="14"/>
  <c r="Z190" i="14"/>
  <c r="W190" i="14"/>
  <c r="T190" i="14"/>
  <c r="Q190" i="14"/>
  <c r="N190" i="14"/>
  <c r="K190" i="14"/>
  <c r="H190" i="14"/>
  <c r="F190" i="14"/>
  <c r="F189" i="14"/>
  <c r="E189" i="14"/>
  <c r="AQ188" i="14"/>
  <c r="AO188" i="14"/>
  <c r="AO198" i="14" s="1"/>
  <c r="AQ198" i="14" s="1"/>
  <c r="AN188" i="14"/>
  <c r="AK188" i="14"/>
  <c r="AH188" i="14"/>
  <c r="AF188" i="14"/>
  <c r="AF198" i="14" s="1"/>
  <c r="AE188" i="14"/>
  <c r="AB188" i="14"/>
  <c r="Y188" i="14"/>
  <c r="T188" i="14"/>
  <c r="T198" i="14" s="1"/>
  <c r="S188" i="14"/>
  <c r="N188" i="14"/>
  <c r="P188" i="14" s="1"/>
  <c r="M188" i="14"/>
  <c r="J188" i="14"/>
  <c r="F188" i="14"/>
  <c r="E188" i="14"/>
  <c r="G188" i="14" s="1"/>
  <c r="AO187" i="14"/>
  <c r="AQ187" i="14" s="1"/>
  <c r="AL187" i="14"/>
  <c r="AL197" i="14" s="1"/>
  <c r="AK187" i="14"/>
  <c r="AH187" i="14"/>
  <c r="AF187" i="14"/>
  <c r="AF197" i="14" s="1"/>
  <c r="AE187" i="14"/>
  <c r="AB187" i="14"/>
  <c r="Y187" i="14"/>
  <c r="V187" i="14"/>
  <c r="S187" i="14"/>
  <c r="N187" i="14"/>
  <c r="N197" i="14" s="1"/>
  <c r="M187" i="14"/>
  <c r="J187" i="14"/>
  <c r="F187" i="14"/>
  <c r="F186" i="14"/>
  <c r="E186" i="14"/>
  <c r="AO185" i="14"/>
  <c r="AQ185" i="14" s="1"/>
  <c r="AM185" i="14"/>
  <c r="AL185" i="14"/>
  <c r="AN185" i="14" s="1"/>
  <c r="AJ185" i="14"/>
  <c r="AI185" i="14"/>
  <c r="AG185" i="14"/>
  <c r="AF185" i="14"/>
  <c r="AH185" i="14" s="1"/>
  <c r="AD185" i="14"/>
  <c r="AC185" i="14"/>
  <c r="AA185" i="14"/>
  <c r="Z185" i="14"/>
  <c r="AB185" i="14" s="1"/>
  <c r="X185" i="14"/>
  <c r="W185" i="14"/>
  <c r="U185" i="14"/>
  <c r="T185" i="14"/>
  <c r="V185" i="14" s="1"/>
  <c r="R185" i="14"/>
  <c r="Q185" i="14"/>
  <c r="O185" i="14"/>
  <c r="N185" i="14"/>
  <c r="P185" i="14" s="1"/>
  <c r="L185" i="14"/>
  <c r="K185" i="14"/>
  <c r="I185" i="14"/>
  <c r="H185" i="14"/>
  <c r="E185" i="14" s="1"/>
  <c r="F185" i="14"/>
  <c r="F184" i="14"/>
  <c r="E184" i="14"/>
  <c r="AQ183" i="14"/>
  <c r="AN183" i="14"/>
  <c r="AK183" i="14"/>
  <c r="F183" i="14"/>
  <c r="E183" i="14"/>
  <c r="F182" i="14"/>
  <c r="E182" i="14"/>
  <c r="F181" i="14"/>
  <c r="E181" i="14"/>
  <c r="AO180" i="14"/>
  <c r="AQ180" i="14" s="1"/>
  <c r="AM180" i="14"/>
  <c r="AN180" i="14" s="1"/>
  <c r="AL180" i="14"/>
  <c r="AJ180" i="14"/>
  <c r="AI180" i="14"/>
  <c r="AG180" i="14"/>
  <c r="AF180" i="14"/>
  <c r="AD180" i="14"/>
  <c r="AC180" i="14"/>
  <c r="AA180" i="14"/>
  <c r="Z180" i="14"/>
  <c r="X180" i="14"/>
  <c r="W180" i="14"/>
  <c r="U180" i="14"/>
  <c r="T180" i="14"/>
  <c r="R180" i="14"/>
  <c r="Q180" i="14"/>
  <c r="O180" i="14"/>
  <c r="N180" i="14"/>
  <c r="L180" i="14"/>
  <c r="K180" i="14"/>
  <c r="I180" i="14"/>
  <c r="H180" i="14"/>
  <c r="F180" i="14"/>
  <c r="E180" i="14"/>
  <c r="F179" i="14"/>
  <c r="E179" i="14"/>
  <c r="AQ178" i="14"/>
  <c r="S178" i="14"/>
  <c r="N178" i="14"/>
  <c r="N198" i="14" s="1"/>
  <c r="P198" i="14" s="1"/>
  <c r="M178" i="14"/>
  <c r="F178" i="14"/>
  <c r="F177" i="14"/>
  <c r="E177" i="14"/>
  <c r="F176" i="14"/>
  <c r="E176" i="14"/>
  <c r="AQ175" i="14"/>
  <c r="AO175" i="14"/>
  <c r="AM175" i="14"/>
  <c r="AL175" i="14"/>
  <c r="AJ175" i="14"/>
  <c r="AI175" i="14"/>
  <c r="AG175" i="14"/>
  <c r="AF175" i="14"/>
  <c r="AC175" i="14"/>
  <c r="Z175" i="14"/>
  <c r="X175" i="14"/>
  <c r="W175" i="14"/>
  <c r="U175" i="14"/>
  <c r="T175" i="14"/>
  <c r="R175" i="14"/>
  <c r="Q175" i="14"/>
  <c r="O175" i="14"/>
  <c r="L175" i="14"/>
  <c r="M175" i="14" s="1"/>
  <c r="K175" i="14"/>
  <c r="H175" i="14"/>
  <c r="F174" i="14"/>
  <c r="E174" i="14"/>
  <c r="AN173" i="14"/>
  <c r="AC173" i="14"/>
  <c r="AE173" i="14" s="1"/>
  <c r="F173" i="14"/>
  <c r="F172" i="14"/>
  <c r="E172" i="14"/>
  <c r="F171" i="14"/>
  <c r="E171" i="14"/>
  <c r="AO170" i="14"/>
  <c r="AM170" i="14"/>
  <c r="AN170" i="14" s="1"/>
  <c r="AL170" i="14"/>
  <c r="AJ170" i="14"/>
  <c r="AI170" i="14"/>
  <c r="AG170" i="14"/>
  <c r="AF170" i="14"/>
  <c r="AD170" i="14"/>
  <c r="AC170" i="14"/>
  <c r="Z170" i="14"/>
  <c r="W170" i="14"/>
  <c r="T170" i="14"/>
  <c r="Q170" i="14"/>
  <c r="N170" i="14"/>
  <c r="K170" i="14"/>
  <c r="H170" i="14"/>
  <c r="E170" i="14" s="1"/>
  <c r="F169" i="14"/>
  <c r="E169" i="14"/>
  <c r="AL168" i="14"/>
  <c r="AL198" i="14" s="1"/>
  <c r="AN198" i="14" s="1"/>
  <c r="AI168" i="14"/>
  <c r="AI198" i="14" s="1"/>
  <c r="AI195" i="14" s="1"/>
  <c r="F168" i="14"/>
  <c r="F167" i="14"/>
  <c r="E167" i="14"/>
  <c r="F166" i="14"/>
  <c r="E166" i="14"/>
  <c r="AO165" i="14"/>
  <c r="AJ165" i="14"/>
  <c r="AI165" i="14"/>
  <c r="AG165" i="14"/>
  <c r="AF165" i="14"/>
  <c r="AC165" i="14"/>
  <c r="Z165" i="14"/>
  <c r="W165" i="14"/>
  <c r="T165" i="14"/>
  <c r="Q165" i="14"/>
  <c r="N165" i="14"/>
  <c r="L165" i="14"/>
  <c r="K165" i="14"/>
  <c r="I165" i="14"/>
  <c r="H165" i="14"/>
  <c r="F165" i="14"/>
  <c r="AO163" i="14"/>
  <c r="AM163" i="14"/>
  <c r="AL163" i="14"/>
  <c r="AJ163" i="14"/>
  <c r="AI163" i="14"/>
  <c r="AG163" i="14"/>
  <c r="AF163" i="14"/>
  <c r="AD163" i="14"/>
  <c r="AC163" i="14"/>
  <c r="AA163" i="14"/>
  <c r="Z163" i="14"/>
  <c r="X163" i="14"/>
  <c r="W163" i="14"/>
  <c r="U163" i="14"/>
  <c r="T163" i="14"/>
  <c r="R163" i="14"/>
  <c r="Q163" i="14"/>
  <c r="O163" i="14"/>
  <c r="N163" i="14"/>
  <c r="L163" i="14"/>
  <c r="K163" i="14"/>
  <c r="I163" i="14"/>
  <c r="H163" i="14"/>
  <c r="F163" i="14"/>
  <c r="E163" i="14"/>
  <c r="AM162" i="14"/>
  <c r="AJ162" i="14"/>
  <c r="AG162" i="14"/>
  <c r="AD162" i="14"/>
  <c r="AA162" i="14"/>
  <c r="X162" i="14"/>
  <c r="U162" i="14"/>
  <c r="R162" i="14"/>
  <c r="O162" i="14"/>
  <c r="L162" i="14"/>
  <c r="I162" i="14"/>
  <c r="AM161" i="14"/>
  <c r="AJ161" i="14"/>
  <c r="AG161" i="14"/>
  <c r="AH161" i="14" s="1"/>
  <c r="AF161" i="14"/>
  <c r="AD161" i="14"/>
  <c r="AE161" i="14" s="1"/>
  <c r="AC161" i="14"/>
  <c r="AA161" i="14"/>
  <c r="AB161" i="14" s="1"/>
  <c r="Z161" i="14"/>
  <c r="X161" i="14"/>
  <c r="U161" i="14"/>
  <c r="R161" i="14"/>
  <c r="S161" i="14" s="1"/>
  <c r="Q161" i="14"/>
  <c r="O161" i="14"/>
  <c r="O159" i="14" s="1"/>
  <c r="L161" i="14"/>
  <c r="I161" i="14"/>
  <c r="J161" i="14" s="1"/>
  <c r="H161" i="14"/>
  <c r="F161" i="14"/>
  <c r="AO160" i="14"/>
  <c r="AQ160" i="14" s="1"/>
  <c r="AM160" i="14"/>
  <c r="AL160" i="14"/>
  <c r="AN160" i="14" s="1"/>
  <c r="AJ160" i="14"/>
  <c r="AI160" i="14"/>
  <c r="AG160" i="14"/>
  <c r="AF160" i="14"/>
  <c r="AD160" i="14"/>
  <c r="AC160" i="14"/>
  <c r="AA160" i="14"/>
  <c r="Z160" i="14"/>
  <c r="X160" i="14"/>
  <c r="W160" i="14"/>
  <c r="U160" i="14"/>
  <c r="T160" i="14"/>
  <c r="R160" i="14"/>
  <c r="Q160" i="14"/>
  <c r="O160" i="14"/>
  <c r="N160" i="14"/>
  <c r="L160" i="14"/>
  <c r="K160" i="14"/>
  <c r="I160" i="14"/>
  <c r="H160" i="14"/>
  <c r="F160" i="14"/>
  <c r="E160" i="14"/>
  <c r="AM159" i="14"/>
  <c r="AJ159" i="14"/>
  <c r="AG159" i="14"/>
  <c r="AD159" i="14"/>
  <c r="X159" i="14"/>
  <c r="U159" i="14"/>
  <c r="R159" i="14"/>
  <c r="L159" i="14"/>
  <c r="F158" i="14"/>
  <c r="E158" i="14"/>
  <c r="AH157" i="14"/>
  <c r="AB157" i="14"/>
  <c r="Y157" i="14"/>
  <c r="V157" i="14"/>
  <c r="S157" i="14"/>
  <c r="P157" i="14"/>
  <c r="M157" i="14"/>
  <c r="F157" i="14"/>
  <c r="E157" i="14"/>
  <c r="AH156" i="14"/>
  <c r="AB156" i="14"/>
  <c r="W156" i="14"/>
  <c r="W161" i="14" s="1"/>
  <c r="V156" i="14"/>
  <c r="S156" i="14"/>
  <c r="N156" i="14"/>
  <c r="M156" i="14"/>
  <c r="F156" i="14"/>
  <c r="AH155" i="14"/>
  <c r="AB155" i="14"/>
  <c r="Y155" i="14"/>
  <c r="V155" i="14"/>
  <c r="S155" i="14"/>
  <c r="P155" i="14"/>
  <c r="M155" i="14"/>
  <c r="F155" i="14"/>
  <c r="E155" i="14"/>
  <c r="AO154" i="14"/>
  <c r="AM154" i="14"/>
  <c r="AL154" i="14"/>
  <c r="AJ154" i="14"/>
  <c r="AI154" i="14"/>
  <c r="AG154" i="14"/>
  <c r="AH154" i="14" s="1"/>
  <c r="AF154" i="14"/>
  <c r="AD154" i="14"/>
  <c r="AC154" i="14"/>
  <c r="AA154" i="14"/>
  <c r="AB154" i="14" s="1"/>
  <c r="Z154" i="14"/>
  <c r="X154" i="14"/>
  <c r="Y154" i="14" s="1"/>
  <c r="W154" i="14"/>
  <c r="U154" i="14"/>
  <c r="V154" i="14" s="1"/>
  <c r="T154" i="14"/>
  <c r="R154" i="14"/>
  <c r="S154" i="14" s="1"/>
  <c r="Q154" i="14"/>
  <c r="O154" i="14"/>
  <c r="L154" i="14"/>
  <c r="K154" i="14"/>
  <c r="I154" i="14"/>
  <c r="H154" i="14"/>
  <c r="F153" i="14"/>
  <c r="E153" i="14"/>
  <c r="T152" i="14"/>
  <c r="F152" i="14"/>
  <c r="E152" i="14"/>
  <c r="F151" i="14"/>
  <c r="E151" i="14"/>
  <c r="F150" i="14"/>
  <c r="E150" i="14"/>
  <c r="AO149" i="14"/>
  <c r="AM149" i="14"/>
  <c r="AL149" i="14"/>
  <c r="AJ149" i="14"/>
  <c r="AI149" i="14"/>
  <c r="AG149" i="14"/>
  <c r="AF149" i="14"/>
  <c r="AD149" i="14"/>
  <c r="AC149" i="14"/>
  <c r="AA149" i="14"/>
  <c r="Z149" i="14"/>
  <c r="X149" i="14"/>
  <c r="W149" i="14"/>
  <c r="U149" i="14"/>
  <c r="T149" i="14"/>
  <c r="R149" i="14"/>
  <c r="Q149" i="14"/>
  <c r="O149" i="14"/>
  <c r="N149" i="14"/>
  <c r="L149" i="14"/>
  <c r="K149" i="14"/>
  <c r="H149" i="14"/>
  <c r="F149" i="14"/>
  <c r="E149" i="14"/>
  <c r="F148" i="14"/>
  <c r="E148" i="14"/>
  <c r="F147" i="14"/>
  <c r="E147" i="14"/>
  <c r="F146" i="14"/>
  <c r="E146" i="14"/>
  <c r="F145" i="14"/>
  <c r="E145" i="14"/>
  <c r="AO144" i="14"/>
  <c r="AM144" i="14"/>
  <c r="AL144" i="14"/>
  <c r="AJ144" i="14"/>
  <c r="AI144" i="14"/>
  <c r="AF144" i="14"/>
  <c r="AD144" i="14"/>
  <c r="AC144" i="14"/>
  <c r="AA144" i="14"/>
  <c r="Z144" i="14"/>
  <c r="X144" i="14"/>
  <c r="W144" i="14"/>
  <c r="U144" i="14"/>
  <c r="T144" i="14"/>
  <c r="R144" i="14"/>
  <c r="Q144" i="14"/>
  <c r="O144" i="14"/>
  <c r="N144" i="14"/>
  <c r="L144" i="14"/>
  <c r="K144" i="14"/>
  <c r="H144" i="14"/>
  <c r="F144" i="14"/>
  <c r="E144" i="14"/>
  <c r="F143" i="14"/>
  <c r="E143" i="14"/>
  <c r="F142" i="14"/>
  <c r="E142" i="14"/>
  <c r="AQ141" i="14"/>
  <c r="AB141" i="14"/>
  <c r="Y141" i="14"/>
  <c r="T141" i="14"/>
  <c r="T161" i="14" s="1"/>
  <c r="S141" i="14"/>
  <c r="P141" i="14"/>
  <c r="N141" i="14"/>
  <c r="K141" i="14"/>
  <c r="E141" i="14" s="1"/>
  <c r="F141" i="14"/>
  <c r="F140" i="14"/>
  <c r="E140" i="14"/>
  <c r="AQ139" i="14"/>
  <c r="AO139" i="14"/>
  <c r="AM139" i="14"/>
  <c r="AL139" i="14"/>
  <c r="AJ139" i="14"/>
  <c r="AI139" i="14"/>
  <c r="AG139" i="14"/>
  <c r="AF139" i="14"/>
  <c r="AD139" i="14"/>
  <c r="AC139" i="14"/>
  <c r="AA139" i="14"/>
  <c r="Z139" i="14"/>
  <c r="X139" i="14"/>
  <c r="Y139" i="14" s="1"/>
  <c r="W139" i="14"/>
  <c r="U139" i="14"/>
  <c r="T139" i="14"/>
  <c r="R139" i="14"/>
  <c r="S139" i="14" s="1"/>
  <c r="Q139" i="14"/>
  <c r="O139" i="14"/>
  <c r="N139" i="14"/>
  <c r="L139" i="14"/>
  <c r="F139" i="14" s="1"/>
  <c r="K139" i="14"/>
  <c r="H139" i="14"/>
  <c r="E139" i="14"/>
  <c r="F138" i="14"/>
  <c r="E138" i="14"/>
  <c r="AO137" i="14"/>
  <c r="AQ137" i="14" s="1"/>
  <c r="AN137" i="14"/>
  <c r="AK137" i="14"/>
  <c r="AB137" i="14"/>
  <c r="Y137" i="14"/>
  <c r="V137" i="14"/>
  <c r="Q137" i="14"/>
  <c r="S137" i="14" s="1"/>
  <c r="N137" i="14"/>
  <c r="P137" i="14" s="1"/>
  <c r="K137" i="14"/>
  <c r="M137" i="14" s="1"/>
  <c r="F137" i="14"/>
  <c r="E137" i="14"/>
  <c r="G137" i="14" s="1"/>
  <c r="F136" i="14"/>
  <c r="E136" i="14"/>
  <c r="F135" i="14"/>
  <c r="E135" i="14"/>
  <c r="AO134" i="14"/>
  <c r="AQ134" i="14" s="1"/>
  <c r="AM134" i="14"/>
  <c r="AN134" i="14" s="1"/>
  <c r="AL134" i="14"/>
  <c r="AJ134" i="14"/>
  <c r="AI134" i="14"/>
  <c r="AG134" i="14"/>
  <c r="AF134" i="14"/>
  <c r="AD134" i="14"/>
  <c r="AC134" i="14"/>
  <c r="AA134" i="14"/>
  <c r="AB134" i="14" s="1"/>
  <c r="Z134" i="14"/>
  <c r="X134" i="14"/>
  <c r="W134" i="14"/>
  <c r="Y134" i="14" s="1"/>
  <c r="U134" i="14"/>
  <c r="T134" i="14"/>
  <c r="R134" i="14"/>
  <c r="Q134" i="14"/>
  <c r="S134" i="14" s="1"/>
  <c r="O134" i="14"/>
  <c r="N134" i="14"/>
  <c r="L134" i="14"/>
  <c r="K134" i="14"/>
  <c r="M134" i="14" s="1"/>
  <c r="I134" i="14"/>
  <c r="H134" i="14"/>
  <c r="E134" i="14" s="1"/>
  <c r="F134" i="14"/>
  <c r="F133" i="14"/>
  <c r="E133" i="14"/>
  <c r="AQ132" i="14"/>
  <c r="AO132" i="14"/>
  <c r="AN132" i="14"/>
  <c r="AK132" i="14"/>
  <c r="AH132" i="14"/>
  <c r="AE132" i="14"/>
  <c r="AB132" i="14"/>
  <c r="Y132" i="14"/>
  <c r="V132" i="14"/>
  <c r="Q132" i="14"/>
  <c r="S132" i="14" s="1"/>
  <c r="N132" i="14"/>
  <c r="P132" i="14" s="1"/>
  <c r="M132" i="14"/>
  <c r="J132" i="14"/>
  <c r="F132" i="14"/>
  <c r="F131" i="14"/>
  <c r="E131" i="14"/>
  <c r="F130" i="14"/>
  <c r="E130" i="14"/>
  <c r="AO129" i="14"/>
  <c r="AQ129" i="14" s="1"/>
  <c r="AM129" i="14"/>
  <c r="AL129" i="14"/>
  <c r="AN129" i="14" s="1"/>
  <c r="AJ129" i="14"/>
  <c r="AI129" i="14"/>
  <c r="AG129" i="14"/>
  <c r="AF129" i="14"/>
  <c r="AH129" i="14" s="1"/>
  <c r="AD129" i="14"/>
  <c r="AC129" i="14"/>
  <c r="AA129" i="14"/>
  <c r="Z129" i="14"/>
  <c r="AB129" i="14" s="1"/>
  <c r="X129" i="14"/>
  <c r="W129" i="14"/>
  <c r="U129" i="14"/>
  <c r="T129" i="14"/>
  <c r="V129" i="14" s="1"/>
  <c r="R129" i="14"/>
  <c r="Q129" i="14"/>
  <c r="O129" i="14"/>
  <c r="N129" i="14"/>
  <c r="P129" i="14" s="1"/>
  <c r="L129" i="14"/>
  <c r="K129" i="14"/>
  <c r="I129" i="14"/>
  <c r="H129" i="14"/>
  <c r="J129" i="14" s="1"/>
  <c r="F129" i="14"/>
  <c r="F128" i="14"/>
  <c r="E128" i="14"/>
  <c r="F127" i="14"/>
  <c r="E127" i="14"/>
  <c r="F126" i="14"/>
  <c r="E126" i="14"/>
  <c r="AQ125" i="14"/>
  <c r="AN125" i="14"/>
  <c r="AK125" i="14"/>
  <c r="AH125" i="14"/>
  <c r="AE125" i="14"/>
  <c r="Y125" i="14"/>
  <c r="V125" i="14"/>
  <c r="S125" i="14"/>
  <c r="P125" i="14"/>
  <c r="M125" i="14"/>
  <c r="J125" i="14"/>
  <c r="F125" i="14"/>
  <c r="G125" i="14" s="1"/>
  <c r="E125" i="14"/>
  <c r="AO124" i="14"/>
  <c r="AQ124" i="14" s="1"/>
  <c r="AM124" i="14"/>
  <c r="AL124" i="14"/>
  <c r="AN124" i="14" s="1"/>
  <c r="AJ124" i="14"/>
  <c r="AI124" i="14"/>
  <c r="AG124" i="14"/>
  <c r="AF124" i="14"/>
  <c r="AH124" i="14" s="1"/>
  <c r="AD124" i="14"/>
  <c r="AC124" i="14"/>
  <c r="AA124" i="14"/>
  <c r="Z124" i="14"/>
  <c r="X124" i="14"/>
  <c r="W124" i="14"/>
  <c r="Y124" i="14" s="1"/>
  <c r="U124" i="14"/>
  <c r="T124" i="14"/>
  <c r="R124" i="14"/>
  <c r="Q124" i="14"/>
  <c r="S124" i="14" s="1"/>
  <c r="O124" i="14"/>
  <c r="N124" i="14"/>
  <c r="L124" i="14"/>
  <c r="K124" i="14"/>
  <c r="M124" i="14" s="1"/>
  <c r="I124" i="14"/>
  <c r="H124" i="14"/>
  <c r="E124" i="14" s="1"/>
  <c r="F123" i="14"/>
  <c r="E123" i="14"/>
  <c r="AO122" i="14"/>
  <c r="AO162" i="14" s="1"/>
  <c r="AQ162" i="14" s="1"/>
  <c r="AL122" i="14"/>
  <c r="AL162" i="14" s="1"/>
  <c r="AI122" i="14"/>
  <c r="AK122" i="14" s="1"/>
  <c r="AF122" i="14"/>
  <c r="AH122" i="14" s="1"/>
  <c r="AC122" i="14"/>
  <c r="AC162" i="14" s="1"/>
  <c r="AC159" i="14" s="1"/>
  <c r="Z122" i="14"/>
  <c r="Z162" i="14" s="1"/>
  <c r="Z159" i="14" s="1"/>
  <c r="W122" i="14"/>
  <c r="Y122" i="14" s="1"/>
  <c r="V122" i="14"/>
  <c r="S122" i="14"/>
  <c r="Q122" i="14"/>
  <c r="P122" i="14"/>
  <c r="N122" i="14"/>
  <c r="N162" i="14" s="1"/>
  <c r="K122" i="14"/>
  <c r="M122" i="14" s="1"/>
  <c r="J122" i="14"/>
  <c r="F122" i="14"/>
  <c r="AQ121" i="14"/>
  <c r="AO121" i="14"/>
  <c r="AO161" i="14" s="1"/>
  <c r="AN121" i="14"/>
  <c r="AL121" i="14"/>
  <c r="AL161" i="14" s="1"/>
  <c r="AL159" i="14" s="1"/>
  <c r="AI121" i="14"/>
  <c r="AI161" i="14" s="1"/>
  <c r="AH121" i="14"/>
  <c r="AE121" i="14"/>
  <c r="AB121" i="14"/>
  <c r="Y121" i="14"/>
  <c r="V121" i="14"/>
  <c r="S121" i="14"/>
  <c r="N121" i="14"/>
  <c r="N161" i="14" s="1"/>
  <c r="N159" i="14" s="1"/>
  <c r="K121" i="14"/>
  <c r="K161" i="14" s="1"/>
  <c r="J121" i="14"/>
  <c r="F121" i="14"/>
  <c r="AQ120" i="14"/>
  <c r="AN120" i="14"/>
  <c r="AK120" i="14"/>
  <c r="AH120" i="14"/>
  <c r="AE120" i="14"/>
  <c r="Y120" i="14"/>
  <c r="V120" i="14"/>
  <c r="S120" i="14"/>
  <c r="P120" i="14"/>
  <c r="M120" i="14"/>
  <c r="J120" i="14"/>
  <c r="F120" i="14"/>
  <c r="E120" i="14"/>
  <c r="AO119" i="14"/>
  <c r="AQ119" i="14" s="1"/>
  <c r="AM119" i="14"/>
  <c r="AL119" i="14"/>
  <c r="AN119" i="14" s="1"/>
  <c r="AJ119" i="14"/>
  <c r="AI119" i="14"/>
  <c r="AG119" i="14"/>
  <c r="AF119" i="14"/>
  <c r="AH119" i="14" s="1"/>
  <c r="AD119" i="14"/>
  <c r="AC119" i="14"/>
  <c r="AA119" i="14"/>
  <c r="Z119" i="14"/>
  <c r="AB119" i="14" s="1"/>
  <c r="X119" i="14"/>
  <c r="W119" i="14"/>
  <c r="U119" i="14"/>
  <c r="T119" i="14"/>
  <c r="V119" i="14" s="1"/>
  <c r="R119" i="14"/>
  <c r="Q119" i="14"/>
  <c r="O119" i="14"/>
  <c r="N119" i="14"/>
  <c r="P119" i="14" s="1"/>
  <c r="L119" i="14"/>
  <c r="K119" i="14"/>
  <c r="I119" i="14"/>
  <c r="H119" i="14"/>
  <c r="J119" i="14" s="1"/>
  <c r="F119" i="14"/>
  <c r="F118" i="14"/>
  <c r="E118" i="14"/>
  <c r="AI117" i="14"/>
  <c r="E117" i="14" s="1"/>
  <c r="G117" i="14" s="1"/>
  <c r="T117" i="14"/>
  <c r="T162" i="14" s="1"/>
  <c r="F117" i="14"/>
  <c r="F116" i="14"/>
  <c r="E116" i="14"/>
  <c r="F115" i="14"/>
  <c r="E115" i="14"/>
  <c r="AO114" i="14"/>
  <c r="AL114" i="14"/>
  <c r="AJ114" i="14"/>
  <c r="AI114" i="14"/>
  <c r="AG114" i="14"/>
  <c r="AF114" i="14"/>
  <c r="AD114" i="14"/>
  <c r="AC114" i="14"/>
  <c r="AA114" i="14"/>
  <c r="Z114" i="14"/>
  <c r="X114" i="14"/>
  <c r="W114" i="14"/>
  <c r="U114" i="14"/>
  <c r="T114" i="14"/>
  <c r="R114" i="14"/>
  <c r="Q114" i="14"/>
  <c r="O114" i="14"/>
  <c r="N114" i="14"/>
  <c r="K114" i="14"/>
  <c r="H114" i="14"/>
  <c r="F114" i="14"/>
  <c r="F113" i="14"/>
  <c r="E113" i="14"/>
  <c r="AN112" i="14"/>
  <c r="V112" i="14"/>
  <c r="Q112" i="14"/>
  <c r="E112" i="14" s="1"/>
  <c r="F112" i="14"/>
  <c r="G112" i="14" s="1"/>
  <c r="F111" i="14"/>
  <c r="E111" i="14"/>
  <c r="F110" i="14"/>
  <c r="E110" i="14"/>
  <c r="AO109" i="14"/>
  <c r="AM109" i="14"/>
  <c r="AN109" i="14" s="1"/>
  <c r="AL109" i="14"/>
  <c r="AI109" i="14"/>
  <c r="AG109" i="14"/>
  <c r="AF109" i="14"/>
  <c r="AC109" i="14"/>
  <c r="AA109" i="14"/>
  <c r="Z109" i="14"/>
  <c r="X109" i="14"/>
  <c r="W109" i="14"/>
  <c r="U109" i="14"/>
  <c r="T109" i="14"/>
  <c r="R109" i="14"/>
  <c r="Q109" i="14"/>
  <c r="N109" i="14"/>
  <c r="K109" i="14"/>
  <c r="H109" i="14"/>
  <c r="E109" i="14" s="1"/>
  <c r="F108" i="14"/>
  <c r="E108" i="14"/>
  <c r="AB107" i="14"/>
  <c r="V107" i="14"/>
  <c r="Q107" i="14"/>
  <c r="S107" i="14" s="1"/>
  <c r="F107" i="14"/>
  <c r="F106" i="14"/>
  <c r="E106" i="14"/>
  <c r="F105" i="14"/>
  <c r="E105" i="14"/>
  <c r="AO104" i="14"/>
  <c r="AM104" i="14"/>
  <c r="AL104" i="14"/>
  <c r="AJ104" i="14"/>
  <c r="AI104" i="14"/>
  <c r="AG104" i="14"/>
  <c r="AF104" i="14"/>
  <c r="AD104" i="14"/>
  <c r="AC104" i="14"/>
  <c r="AA104" i="14"/>
  <c r="Z104" i="14"/>
  <c r="X104" i="14"/>
  <c r="W104" i="14"/>
  <c r="U104" i="14"/>
  <c r="T104" i="14"/>
  <c r="V104" i="14" s="1"/>
  <c r="R104" i="14"/>
  <c r="Q104" i="14"/>
  <c r="O104" i="14"/>
  <c r="N104" i="14"/>
  <c r="L104" i="14"/>
  <c r="K104" i="14"/>
  <c r="H104" i="14"/>
  <c r="F104" i="14"/>
  <c r="F103" i="14"/>
  <c r="E103" i="14"/>
  <c r="AB102" i="14"/>
  <c r="W102" i="14"/>
  <c r="F102" i="14"/>
  <c r="E102" i="14"/>
  <c r="G102" i="14" s="1"/>
  <c r="F101" i="14"/>
  <c r="E101" i="14"/>
  <c r="F100" i="14"/>
  <c r="E100" i="14"/>
  <c r="AO99" i="14"/>
  <c r="AL99" i="14"/>
  <c r="AI99" i="14"/>
  <c r="AF99" i="14"/>
  <c r="AC99" i="14"/>
  <c r="AA99" i="14"/>
  <c r="Z99" i="14"/>
  <c r="X99" i="14"/>
  <c r="W99" i="14"/>
  <c r="T99" i="14"/>
  <c r="Q99" i="14"/>
  <c r="N99" i="14"/>
  <c r="K99" i="14"/>
  <c r="H99" i="14"/>
  <c r="F99" i="14"/>
  <c r="E99" i="14"/>
  <c r="G99" i="14" s="1"/>
  <c r="F98" i="14"/>
  <c r="E98" i="14"/>
  <c r="AQ97" i="14"/>
  <c r="AN97" i="14"/>
  <c r="AK97" i="14"/>
  <c r="AH97" i="14"/>
  <c r="AE97" i="14"/>
  <c r="Y97" i="14"/>
  <c r="W97" i="14"/>
  <c r="W162" i="14" s="1"/>
  <c r="Q97" i="14"/>
  <c r="S97" i="14" s="1"/>
  <c r="P97" i="14"/>
  <c r="M97" i="14"/>
  <c r="H97" i="14"/>
  <c r="H162" i="14" s="1"/>
  <c r="F97" i="14"/>
  <c r="E97" i="14"/>
  <c r="G97" i="14" s="1"/>
  <c r="F96" i="14"/>
  <c r="E96" i="14"/>
  <c r="F95" i="14"/>
  <c r="E95" i="14"/>
  <c r="AO94" i="14"/>
  <c r="AQ94" i="14" s="1"/>
  <c r="AM94" i="14"/>
  <c r="AN94" i="14" s="1"/>
  <c r="AL94" i="14"/>
  <c r="AJ94" i="14"/>
  <c r="AI94" i="14"/>
  <c r="AG94" i="14"/>
  <c r="AH94" i="14" s="1"/>
  <c r="AF94" i="14"/>
  <c r="AD94" i="14"/>
  <c r="AC94" i="14"/>
  <c r="AA94" i="14"/>
  <c r="Z94" i="14"/>
  <c r="X94" i="14"/>
  <c r="Y94" i="14" s="1"/>
  <c r="W94" i="14"/>
  <c r="U94" i="14"/>
  <c r="T94" i="14"/>
  <c r="R94" i="14"/>
  <c r="Q94" i="14"/>
  <c r="O94" i="14"/>
  <c r="P94" i="14" s="1"/>
  <c r="N94" i="14"/>
  <c r="L94" i="14"/>
  <c r="K94" i="14"/>
  <c r="I94" i="14"/>
  <c r="J94" i="14" s="1"/>
  <c r="H94" i="14"/>
  <c r="E94" i="14"/>
  <c r="F93" i="14"/>
  <c r="E93" i="14"/>
  <c r="AN92" i="14"/>
  <c r="AK92" i="14"/>
  <c r="AI92" i="14"/>
  <c r="AI162" i="14" s="1"/>
  <c r="AK162" i="14" s="1"/>
  <c r="AF92" i="14"/>
  <c r="AF162" i="14" s="1"/>
  <c r="AF159" i="14" s="1"/>
  <c r="Q92" i="14"/>
  <c r="Q162" i="14" s="1"/>
  <c r="Q159" i="14" s="1"/>
  <c r="K92" i="14"/>
  <c r="K162" i="14" s="1"/>
  <c r="F92" i="14"/>
  <c r="E92" i="14"/>
  <c r="G92" i="14" s="1"/>
  <c r="F91" i="14"/>
  <c r="E91" i="14"/>
  <c r="F90" i="14"/>
  <c r="E90" i="14"/>
  <c r="AO89" i="14"/>
  <c r="AM89" i="14"/>
  <c r="AL89" i="14"/>
  <c r="AJ89" i="14"/>
  <c r="AK89" i="14" s="1"/>
  <c r="AI89" i="14"/>
  <c r="AG89" i="14"/>
  <c r="AF89" i="14"/>
  <c r="AD89" i="14"/>
  <c r="AC89" i="14"/>
  <c r="AA89" i="14"/>
  <c r="Z89" i="14"/>
  <c r="X89" i="14"/>
  <c r="W89" i="14"/>
  <c r="U89" i="14"/>
  <c r="T89" i="14"/>
  <c r="R89" i="14"/>
  <c r="Q89" i="14"/>
  <c r="S89" i="14" s="1"/>
  <c r="O89" i="14"/>
  <c r="N89" i="14"/>
  <c r="L89" i="14"/>
  <c r="K89" i="14"/>
  <c r="I89" i="14"/>
  <c r="H89" i="14"/>
  <c r="E89" i="14" s="1"/>
  <c r="F89" i="14"/>
  <c r="AM87" i="14"/>
  <c r="AM312" i="14" s="1"/>
  <c r="AJ87" i="14"/>
  <c r="AG87" i="14"/>
  <c r="AD87" i="14"/>
  <c r="AA87" i="14"/>
  <c r="X87" i="14"/>
  <c r="U87" i="14"/>
  <c r="R87" i="14"/>
  <c r="O87" i="14"/>
  <c r="F87" i="14" s="1"/>
  <c r="E87" i="14"/>
  <c r="AP86" i="14"/>
  <c r="AM86" i="14"/>
  <c r="AM299" i="14" s="1"/>
  <c r="AJ86" i="14"/>
  <c r="AJ299" i="14" s="1"/>
  <c r="AG86" i="14"/>
  <c r="AG299" i="14" s="1"/>
  <c r="AD86" i="14"/>
  <c r="L86" i="14"/>
  <c r="K86" i="14"/>
  <c r="AP85" i="14"/>
  <c r="AM85" i="14"/>
  <c r="AJ85" i="14"/>
  <c r="AP84" i="14"/>
  <c r="AM84" i="14"/>
  <c r="AJ84" i="14"/>
  <c r="AG84" i="14"/>
  <c r="AP83" i="14"/>
  <c r="AM83" i="14"/>
  <c r="AJ83" i="14"/>
  <c r="AG83" i="14"/>
  <c r="AP82" i="14"/>
  <c r="AM82" i="14"/>
  <c r="AJ82" i="14"/>
  <c r="F81" i="14"/>
  <c r="E81" i="14"/>
  <c r="F80" i="14"/>
  <c r="E80" i="14"/>
  <c r="F79" i="14"/>
  <c r="E79" i="14"/>
  <c r="F78" i="14"/>
  <c r="E78" i="14"/>
  <c r="AO77" i="14"/>
  <c r="AL77" i="14"/>
  <c r="AJ77" i="14"/>
  <c r="AI77" i="14"/>
  <c r="AG77" i="14"/>
  <c r="AF77" i="14"/>
  <c r="AD77" i="14"/>
  <c r="AC77" i="14"/>
  <c r="AA77" i="14"/>
  <c r="Z77" i="14"/>
  <c r="W77" i="14"/>
  <c r="U77" i="14"/>
  <c r="T77" i="14"/>
  <c r="R77" i="14"/>
  <c r="Q77" i="14"/>
  <c r="O77" i="14"/>
  <c r="N77" i="14"/>
  <c r="L77" i="14"/>
  <c r="K77" i="14"/>
  <c r="I77" i="14"/>
  <c r="H77" i="14"/>
  <c r="F77" i="14"/>
  <c r="E77" i="14"/>
  <c r="F76" i="14"/>
  <c r="E76" i="14"/>
  <c r="F75" i="14"/>
  <c r="E75" i="14"/>
  <c r="AI74" i="14"/>
  <c r="AK74" i="14" s="1"/>
  <c r="AH74" i="14"/>
  <c r="AF74" i="14"/>
  <c r="AC74" i="14"/>
  <c r="AE74" i="14" s="1"/>
  <c r="AB74" i="14"/>
  <c r="W74" i="14"/>
  <c r="Y74" i="14" s="1"/>
  <c r="T74" i="14"/>
  <c r="S74" i="14"/>
  <c r="Q74" i="14"/>
  <c r="K74" i="14"/>
  <c r="F74" i="14"/>
  <c r="F73" i="14"/>
  <c r="E73" i="14"/>
  <c r="F72" i="14"/>
  <c r="E72" i="14"/>
  <c r="AO71" i="14"/>
  <c r="AM71" i="14"/>
  <c r="AL71" i="14"/>
  <c r="AJ71" i="14"/>
  <c r="AI71" i="14"/>
  <c r="AG71" i="14"/>
  <c r="AF71" i="14"/>
  <c r="AH71" i="14" s="1"/>
  <c r="AD71" i="14"/>
  <c r="AE71" i="14" s="1"/>
  <c r="AC71" i="14"/>
  <c r="AA71" i="14"/>
  <c r="Z71" i="14"/>
  <c r="X71" i="14"/>
  <c r="Y71" i="14" s="1"/>
  <c r="W71" i="14"/>
  <c r="U71" i="14"/>
  <c r="T71" i="14"/>
  <c r="R71" i="14"/>
  <c r="Q71" i="14"/>
  <c r="S71" i="14" s="1"/>
  <c r="O71" i="14"/>
  <c r="N71" i="14"/>
  <c r="L71" i="14"/>
  <c r="K71" i="14"/>
  <c r="H71" i="14"/>
  <c r="F71" i="14"/>
  <c r="G71" i="14" s="1"/>
  <c r="E71" i="14"/>
  <c r="F70" i="14"/>
  <c r="E70" i="14"/>
  <c r="F69" i="14"/>
  <c r="E69" i="14"/>
  <c r="F68" i="14"/>
  <c r="E68" i="14"/>
  <c r="F67" i="14"/>
  <c r="E67" i="14"/>
  <c r="AO66" i="14"/>
  <c r="AL66" i="14"/>
  <c r="AJ66" i="14"/>
  <c r="AI66" i="14"/>
  <c r="AF66" i="14"/>
  <c r="AC66" i="14"/>
  <c r="Z66" i="14"/>
  <c r="W66" i="14"/>
  <c r="T66" i="14"/>
  <c r="Q66" i="14"/>
  <c r="N66" i="14"/>
  <c r="K66" i="14"/>
  <c r="H66" i="14"/>
  <c r="F66" i="14"/>
  <c r="E66" i="14"/>
  <c r="F65" i="14"/>
  <c r="E65" i="14"/>
  <c r="F64" i="14"/>
  <c r="E64" i="14"/>
  <c r="F63" i="14"/>
  <c r="E63" i="14"/>
  <c r="F62" i="14"/>
  <c r="E62" i="14"/>
  <c r="AO61" i="14"/>
  <c r="AL61" i="14"/>
  <c r="AI61" i="14"/>
  <c r="AF61" i="14"/>
  <c r="AC61" i="14"/>
  <c r="Z61" i="14"/>
  <c r="W61" i="14"/>
  <c r="T61" i="14"/>
  <c r="Q61" i="14"/>
  <c r="N61" i="14"/>
  <c r="K61" i="14"/>
  <c r="H61" i="14"/>
  <c r="F61" i="14"/>
  <c r="E61" i="14"/>
  <c r="F60" i="14"/>
  <c r="E60" i="14"/>
  <c r="AN59" i="14"/>
  <c r="AI59" i="14"/>
  <c r="AK59" i="14" s="1"/>
  <c r="AF59" i="14"/>
  <c r="AH59" i="14" s="1"/>
  <c r="F59" i="14"/>
  <c r="E59" i="14"/>
  <c r="AN58" i="14"/>
  <c r="AK58" i="14"/>
  <c r="AH58" i="14"/>
  <c r="F58" i="14"/>
  <c r="G58" i="14" s="1"/>
  <c r="E58" i="14"/>
  <c r="F57" i="14"/>
  <c r="G57" i="14" s="1"/>
  <c r="E57" i="14"/>
  <c r="AO56" i="14"/>
  <c r="AL56" i="14"/>
  <c r="AI56" i="14"/>
  <c r="AF56" i="14"/>
  <c r="AH56" i="14" s="1"/>
  <c r="AD56" i="14"/>
  <c r="AC56" i="14"/>
  <c r="AA56" i="14"/>
  <c r="Z56" i="14"/>
  <c r="W56" i="14"/>
  <c r="T56" i="14"/>
  <c r="Q56" i="14"/>
  <c r="N56" i="14"/>
  <c r="L56" i="14"/>
  <c r="K56" i="14"/>
  <c r="H56" i="14"/>
  <c r="F56" i="14"/>
  <c r="G56" i="14" s="1"/>
  <c r="E56" i="14"/>
  <c r="AO55" i="14"/>
  <c r="AL55" i="14"/>
  <c r="AI55" i="14"/>
  <c r="AF55" i="14"/>
  <c r="AC55" i="14"/>
  <c r="AA55" i="14"/>
  <c r="Z55" i="14"/>
  <c r="X55" i="14"/>
  <c r="W55" i="14"/>
  <c r="U55" i="14"/>
  <c r="T55" i="14"/>
  <c r="R55" i="14"/>
  <c r="Q55" i="14"/>
  <c r="O55" i="14"/>
  <c r="N55" i="14"/>
  <c r="I55" i="14"/>
  <c r="H55" i="14"/>
  <c r="F55" i="14"/>
  <c r="E55" i="14"/>
  <c r="AO54" i="14"/>
  <c r="AL54" i="14"/>
  <c r="AL85" i="14" s="1"/>
  <c r="AN85" i="14" s="1"/>
  <c r="AI54" i="14"/>
  <c r="AG54" i="14"/>
  <c r="AF54" i="14"/>
  <c r="AD54" i="14"/>
  <c r="AC54" i="14"/>
  <c r="AA54" i="14"/>
  <c r="Z54" i="14"/>
  <c r="X54" i="14"/>
  <c r="W54" i="14"/>
  <c r="U54" i="14"/>
  <c r="T54" i="14"/>
  <c r="R54" i="14"/>
  <c r="Q54" i="14"/>
  <c r="O54" i="14"/>
  <c r="N54" i="14"/>
  <c r="L54" i="14"/>
  <c r="K54" i="14"/>
  <c r="I54" i="14"/>
  <c r="H54" i="14"/>
  <c r="F54" i="14"/>
  <c r="AO53" i="14"/>
  <c r="AL53" i="14"/>
  <c r="AI53" i="14"/>
  <c r="AF53" i="14"/>
  <c r="AD53" i="14"/>
  <c r="AC53" i="14"/>
  <c r="AA53" i="14"/>
  <c r="Z53" i="14"/>
  <c r="X53" i="14"/>
  <c r="W53" i="14"/>
  <c r="U53" i="14"/>
  <c r="T53" i="14"/>
  <c r="R53" i="14"/>
  <c r="Q53" i="14"/>
  <c r="O53" i="14"/>
  <c r="N53" i="14"/>
  <c r="L53" i="14"/>
  <c r="K53" i="14"/>
  <c r="I53" i="14"/>
  <c r="H53" i="14"/>
  <c r="F53" i="14"/>
  <c r="AO52" i="14"/>
  <c r="AL52" i="14"/>
  <c r="AI52" i="14"/>
  <c r="AF52" i="14"/>
  <c r="AD52" i="14"/>
  <c r="AC52" i="14"/>
  <c r="AA52" i="14"/>
  <c r="Z52" i="14"/>
  <c r="X52" i="14"/>
  <c r="W52" i="14"/>
  <c r="U52" i="14"/>
  <c r="T52" i="14"/>
  <c r="R52" i="14"/>
  <c r="Q52" i="14"/>
  <c r="O52" i="14"/>
  <c r="N52" i="14"/>
  <c r="L52" i="14"/>
  <c r="K52" i="14"/>
  <c r="I52" i="14"/>
  <c r="H52" i="14"/>
  <c r="E52" i="14"/>
  <c r="AL51" i="14"/>
  <c r="AJ51" i="14"/>
  <c r="AI51" i="14"/>
  <c r="AG51" i="14"/>
  <c r="AD51" i="14"/>
  <c r="AA51" i="14"/>
  <c r="X51" i="14"/>
  <c r="U51" i="14"/>
  <c r="R51" i="14"/>
  <c r="O51" i="14"/>
  <c r="L51" i="14"/>
  <c r="I51" i="14"/>
  <c r="F51" i="14" s="1"/>
  <c r="F50" i="14"/>
  <c r="F49" i="14"/>
  <c r="E49" i="14"/>
  <c r="AO48" i="14"/>
  <c r="W48" i="14"/>
  <c r="V48" i="14"/>
  <c r="F48" i="14"/>
  <c r="E48" i="14"/>
  <c r="G48" i="14" s="1"/>
  <c r="F47" i="14"/>
  <c r="E47" i="14"/>
  <c r="F46" i="14"/>
  <c r="E46" i="14"/>
  <c r="AL45" i="14"/>
  <c r="AN45" i="14" s="1"/>
  <c r="AJ45" i="14"/>
  <c r="AI45" i="14"/>
  <c r="AK45" i="14" s="1"/>
  <c r="AG45" i="14"/>
  <c r="AF45" i="14"/>
  <c r="AD45" i="14"/>
  <c r="AC45" i="14"/>
  <c r="AA45" i="14"/>
  <c r="Z45" i="14"/>
  <c r="X45" i="14"/>
  <c r="U45" i="14"/>
  <c r="T45" i="14"/>
  <c r="R45" i="14"/>
  <c r="Q45" i="14"/>
  <c r="O45" i="14"/>
  <c r="N45" i="14"/>
  <c r="K45" i="14"/>
  <c r="H45" i="14"/>
  <c r="F45" i="14"/>
  <c r="F44" i="14"/>
  <c r="E44" i="14"/>
  <c r="F43" i="14"/>
  <c r="E43" i="14"/>
  <c r="F42" i="14"/>
  <c r="E42" i="14"/>
  <c r="F41" i="14"/>
  <c r="E41" i="14"/>
  <c r="AO40" i="14"/>
  <c r="AL40" i="14"/>
  <c r="AI40" i="14"/>
  <c r="AF40" i="14"/>
  <c r="AD40" i="14"/>
  <c r="F40" i="14" s="1"/>
  <c r="AC40" i="14"/>
  <c r="Z40" i="14"/>
  <c r="W40" i="14"/>
  <c r="T40" i="14"/>
  <c r="Q40" i="14"/>
  <c r="N40" i="14"/>
  <c r="K40" i="14"/>
  <c r="H40" i="14"/>
  <c r="E40" i="14" s="1"/>
  <c r="AO38" i="14"/>
  <c r="AL38" i="14"/>
  <c r="AI38" i="14"/>
  <c r="AF38" i="14"/>
  <c r="AD38" i="14"/>
  <c r="AD299" i="14" s="1"/>
  <c r="AC38" i="14"/>
  <c r="AA38" i="14"/>
  <c r="Z38" i="14"/>
  <c r="X38" i="14"/>
  <c r="W38" i="14"/>
  <c r="U38" i="14"/>
  <c r="T38" i="14"/>
  <c r="R38" i="14"/>
  <c r="Q38" i="14"/>
  <c r="O38" i="14"/>
  <c r="N38" i="14"/>
  <c r="L38" i="14"/>
  <c r="L299" i="14" s="1"/>
  <c r="K38" i="14"/>
  <c r="K299" i="14" s="1"/>
  <c r="I38" i="14"/>
  <c r="H38" i="14"/>
  <c r="F38" i="14"/>
  <c r="E38" i="14"/>
  <c r="AM37" i="14"/>
  <c r="AM298" i="14" s="1"/>
  <c r="AL37" i="14"/>
  <c r="AL298" i="14" s="1"/>
  <c r="AJ37" i="14"/>
  <c r="AJ298" i="14" s="1"/>
  <c r="AI37" i="14"/>
  <c r="AG37" i="14"/>
  <c r="AD37" i="14"/>
  <c r="AC37" i="14"/>
  <c r="AA37" i="14"/>
  <c r="Z37" i="14"/>
  <c r="X37" i="14"/>
  <c r="W37" i="14"/>
  <c r="U37" i="14"/>
  <c r="T37" i="14"/>
  <c r="R37" i="14"/>
  <c r="O37" i="14"/>
  <c r="L37" i="14"/>
  <c r="I37" i="14"/>
  <c r="H37" i="14"/>
  <c r="AM36" i="14"/>
  <c r="AM297" i="14" s="1"/>
  <c r="AJ36" i="14"/>
  <c r="AJ297" i="14" s="1"/>
  <c r="AG36" i="14"/>
  <c r="AG297" i="14" s="1"/>
  <c r="AF36" i="14"/>
  <c r="AD36" i="14"/>
  <c r="AC36" i="14"/>
  <c r="AA36" i="14"/>
  <c r="Z36" i="14"/>
  <c r="X36" i="14"/>
  <c r="W36" i="14"/>
  <c r="U36" i="14"/>
  <c r="T36" i="14"/>
  <c r="R36" i="14"/>
  <c r="Q36" i="14"/>
  <c r="O36" i="14"/>
  <c r="L36" i="14"/>
  <c r="I36" i="14"/>
  <c r="H36" i="14"/>
  <c r="AO35" i="14"/>
  <c r="AM35" i="14"/>
  <c r="AM296" i="14" s="1"/>
  <c r="AL35" i="14"/>
  <c r="AJ35" i="14"/>
  <c r="AJ296" i="14" s="1"/>
  <c r="AI35" i="14"/>
  <c r="AG35" i="14"/>
  <c r="AG296" i="14" s="1"/>
  <c r="AF35" i="14"/>
  <c r="AD35" i="14"/>
  <c r="AC35" i="14"/>
  <c r="AA35" i="14"/>
  <c r="Z35" i="14"/>
  <c r="X35" i="14"/>
  <c r="W35" i="14"/>
  <c r="U35" i="14"/>
  <c r="T35" i="14"/>
  <c r="R35" i="14"/>
  <c r="Q35" i="14"/>
  <c r="O35" i="14"/>
  <c r="N35" i="14"/>
  <c r="L35" i="14"/>
  <c r="K35" i="14"/>
  <c r="I35" i="14"/>
  <c r="H35" i="14"/>
  <c r="F35" i="14"/>
  <c r="E35" i="14"/>
  <c r="AJ34" i="14"/>
  <c r="AD34" i="14"/>
  <c r="AC34" i="14"/>
  <c r="Z34" i="14"/>
  <c r="X34" i="14"/>
  <c r="Y34" i="14" s="1"/>
  <c r="W34" i="14"/>
  <c r="T34" i="14"/>
  <c r="R34" i="14"/>
  <c r="L34" i="14"/>
  <c r="H34" i="14"/>
  <c r="F33" i="14"/>
  <c r="E33" i="14"/>
  <c r="F32" i="14"/>
  <c r="E32" i="14"/>
  <c r="AQ31" i="14"/>
  <c r="AN31" i="14"/>
  <c r="AK31" i="14"/>
  <c r="AH31" i="14"/>
  <c r="AE31" i="14"/>
  <c r="AB31" i="14"/>
  <c r="Y31" i="14"/>
  <c r="V31" i="14"/>
  <c r="S31" i="14"/>
  <c r="P31" i="14"/>
  <c r="M31" i="14"/>
  <c r="F31" i="14"/>
  <c r="G31" i="14" s="1"/>
  <c r="E31" i="14"/>
  <c r="F30" i="14"/>
  <c r="E30" i="14"/>
  <c r="AO29" i="14"/>
  <c r="AQ29" i="14" s="1"/>
  <c r="AM29" i="14"/>
  <c r="AL29" i="14"/>
  <c r="AN29" i="14" s="1"/>
  <c r="AJ29" i="14"/>
  <c r="AI29" i="14"/>
  <c r="AG29" i="14"/>
  <c r="AF29" i="14"/>
  <c r="AH29" i="14" s="1"/>
  <c r="AD29" i="14"/>
  <c r="AC29" i="14"/>
  <c r="AA29" i="14"/>
  <c r="Z29" i="14"/>
  <c r="AB29" i="14" s="1"/>
  <c r="X29" i="14"/>
  <c r="W29" i="14"/>
  <c r="U29" i="14"/>
  <c r="T29" i="14"/>
  <c r="V29" i="14" s="1"/>
  <c r="R29" i="14"/>
  <c r="Q29" i="14"/>
  <c r="O29" i="14"/>
  <c r="N29" i="14"/>
  <c r="P29" i="14" s="1"/>
  <c r="L29" i="14"/>
  <c r="K29" i="14"/>
  <c r="H29" i="14"/>
  <c r="E29" i="14" s="1"/>
  <c r="F29" i="14"/>
  <c r="F28" i="14"/>
  <c r="E28" i="14"/>
  <c r="AO27" i="14"/>
  <c r="AO37" i="14" s="1"/>
  <c r="AN27" i="14"/>
  <c r="AK27" i="14"/>
  <c r="AF27" i="14"/>
  <c r="AF37" i="14" s="1"/>
  <c r="AE27" i="14"/>
  <c r="AB27" i="14"/>
  <c r="Y27" i="14"/>
  <c r="V27" i="14"/>
  <c r="Q27" i="14"/>
  <c r="Q37" i="14" s="1"/>
  <c r="N27" i="14"/>
  <c r="N37" i="14" s="1"/>
  <c r="K27" i="14"/>
  <c r="K37" i="14" s="1"/>
  <c r="J27" i="14"/>
  <c r="F27" i="14"/>
  <c r="AQ26" i="14"/>
  <c r="AO26" i="14"/>
  <c r="AO36" i="14" s="1"/>
  <c r="AN26" i="14"/>
  <c r="AL26" i="14"/>
  <c r="AL36" i="14" s="1"/>
  <c r="AK26" i="14"/>
  <c r="AI26" i="14"/>
  <c r="AI36" i="14" s="1"/>
  <c r="AH26" i="14"/>
  <c r="AE26" i="14"/>
  <c r="AB26" i="14"/>
  <c r="Y26" i="14"/>
  <c r="V26" i="14"/>
  <c r="S26" i="14"/>
  <c r="P26" i="14"/>
  <c r="N26" i="14"/>
  <c r="N36" i="14" s="1"/>
  <c r="K26" i="14"/>
  <c r="K36" i="14" s="1"/>
  <c r="J26" i="14"/>
  <c r="F26" i="14"/>
  <c r="G26" i="14" s="1"/>
  <c r="E26" i="14"/>
  <c r="F25" i="14"/>
  <c r="E25" i="14"/>
  <c r="AO24" i="14"/>
  <c r="AQ24" i="14" s="1"/>
  <c r="AM24" i="14"/>
  <c r="AL24" i="14"/>
  <c r="AN24" i="14" s="1"/>
  <c r="AJ24" i="14"/>
  <c r="AI24" i="14"/>
  <c r="AG24" i="14"/>
  <c r="AF24" i="14"/>
  <c r="AH24" i="14" s="1"/>
  <c r="AD24" i="14"/>
  <c r="AC24" i="14"/>
  <c r="AA24" i="14"/>
  <c r="Z24" i="14"/>
  <c r="AB24" i="14" s="1"/>
  <c r="X24" i="14"/>
  <c r="W24" i="14"/>
  <c r="U24" i="14"/>
  <c r="T24" i="14"/>
  <c r="V24" i="14" s="1"/>
  <c r="R24" i="14"/>
  <c r="Q24" i="14"/>
  <c r="O24" i="14"/>
  <c r="N24" i="14"/>
  <c r="P24" i="14" s="1"/>
  <c r="L24" i="14"/>
  <c r="K24" i="14"/>
  <c r="I24" i="14"/>
  <c r="H24" i="14"/>
  <c r="E24" i="14" s="1"/>
  <c r="F24" i="14"/>
  <c r="G24" i="14" s="1"/>
  <c r="F23" i="14"/>
  <c r="E23" i="14"/>
  <c r="F22" i="14"/>
  <c r="E22" i="14"/>
  <c r="F21" i="14"/>
  <c r="E21" i="14"/>
  <c r="F20" i="14"/>
  <c r="E20" i="14"/>
  <c r="AO19" i="14"/>
  <c r="AL19" i="14"/>
  <c r="AI19" i="14"/>
  <c r="AG19" i="14"/>
  <c r="AF19" i="14"/>
  <c r="AD19" i="14"/>
  <c r="AC19" i="14"/>
  <c r="Z19" i="14"/>
  <c r="W19" i="14"/>
  <c r="U19" i="14"/>
  <c r="T19" i="14"/>
  <c r="Q19" i="14"/>
  <c r="N19" i="14"/>
  <c r="K19" i="14"/>
  <c r="H19" i="14"/>
  <c r="F19" i="14"/>
  <c r="E19" i="14"/>
  <c r="F18" i="14"/>
  <c r="E18" i="14"/>
  <c r="F17" i="14"/>
  <c r="E17" i="14"/>
  <c r="F16" i="14"/>
  <c r="E16" i="14"/>
  <c r="F15" i="14"/>
  <c r="E15" i="14"/>
  <c r="AO14" i="14"/>
  <c r="AM14" i="14"/>
  <c r="AL14" i="14"/>
  <c r="AI14" i="14"/>
  <c r="AG14" i="14"/>
  <c r="AF14" i="14"/>
  <c r="AD14" i="14"/>
  <c r="AC14" i="14"/>
  <c r="AA14" i="14"/>
  <c r="Z14" i="14"/>
  <c r="X14" i="14"/>
  <c r="W14" i="14"/>
  <c r="U14" i="14"/>
  <c r="T14" i="14"/>
  <c r="R14" i="14"/>
  <c r="Q14" i="14"/>
  <c r="N14" i="14"/>
  <c r="K14" i="14"/>
  <c r="H14" i="14"/>
  <c r="F14" i="14"/>
  <c r="F13" i="14"/>
  <c r="E13" i="14"/>
  <c r="F12" i="14"/>
  <c r="E12" i="14"/>
  <c r="F11" i="14"/>
  <c r="E11" i="14"/>
  <c r="F10" i="14"/>
  <c r="E10" i="14"/>
  <c r="AO9" i="14"/>
  <c r="AM9" i="14"/>
  <c r="AL9" i="14"/>
  <c r="AI9" i="14"/>
  <c r="AG9" i="14"/>
  <c r="AF9" i="14"/>
  <c r="AD9" i="14"/>
  <c r="AC9" i="14"/>
  <c r="AA9" i="14"/>
  <c r="Z9" i="14"/>
  <c r="X9" i="14"/>
  <c r="W9" i="14"/>
  <c r="U9" i="14"/>
  <c r="T9" i="14"/>
  <c r="R9" i="14"/>
  <c r="F9" i="14" s="1"/>
  <c r="Q9" i="14"/>
  <c r="N9" i="14"/>
  <c r="K9" i="14"/>
  <c r="H9" i="14"/>
  <c r="E9" i="14" s="1"/>
  <c r="M24" i="14" l="1"/>
  <c r="S24" i="14"/>
  <c r="Y24" i="14"/>
  <c r="AE24" i="14"/>
  <c r="AK24" i="14"/>
  <c r="E27" i="14"/>
  <c r="M27" i="14"/>
  <c r="P27" i="14"/>
  <c r="S27" i="14"/>
  <c r="AH27" i="14"/>
  <c r="AQ27" i="14"/>
  <c r="M29" i="14"/>
  <c r="S29" i="14"/>
  <c r="Y29" i="14"/>
  <c r="AE29" i="14"/>
  <c r="AK29" i="14"/>
  <c r="AE34" i="14"/>
  <c r="V45" i="14"/>
  <c r="AK71" i="14"/>
  <c r="AN89" i="14"/>
  <c r="M94" i="14"/>
  <c r="S94" i="14"/>
  <c r="AE94" i="14"/>
  <c r="AK94" i="14"/>
  <c r="J97" i="14"/>
  <c r="F109" i="14"/>
  <c r="G109" i="14" s="1"/>
  <c r="E122" i="14"/>
  <c r="G134" i="14"/>
  <c r="P134" i="14"/>
  <c r="V134" i="14"/>
  <c r="G139" i="14"/>
  <c r="E14" i="14"/>
  <c r="M26" i="14"/>
  <c r="G27" i="14"/>
  <c r="G59" i="14"/>
  <c r="AB71" i="14"/>
  <c r="AF85" i="14"/>
  <c r="AB99" i="14"/>
  <c r="E104" i="14"/>
  <c r="G104" i="14" s="1"/>
  <c r="S104" i="14"/>
  <c r="AB104" i="14"/>
  <c r="V109" i="14"/>
  <c r="E114" i="14"/>
  <c r="G114" i="14" s="1"/>
  <c r="M119" i="14"/>
  <c r="S119" i="14"/>
  <c r="Y119" i="14"/>
  <c r="AE119" i="14"/>
  <c r="AK119" i="14"/>
  <c r="G120" i="14"/>
  <c r="E121" i="14"/>
  <c r="G121" i="14" s="1"/>
  <c r="M121" i="14"/>
  <c r="P121" i="14"/>
  <c r="AK121" i="14"/>
  <c r="G122" i="14"/>
  <c r="J124" i="14"/>
  <c r="P124" i="14"/>
  <c r="V124" i="14"/>
  <c r="AE124" i="14"/>
  <c r="AK124" i="14"/>
  <c r="M129" i="14"/>
  <c r="S129" i="14"/>
  <c r="Y129" i="14"/>
  <c r="AE129" i="14"/>
  <c r="AK129" i="14"/>
  <c r="AK134" i="14"/>
  <c r="P139" i="14"/>
  <c r="V139" i="14"/>
  <c r="AB139" i="14"/>
  <c r="F154" i="14"/>
  <c r="M154" i="14"/>
  <c r="P156" i="14"/>
  <c r="E156" i="14"/>
  <c r="G156" i="14" s="1"/>
  <c r="N154" i="14"/>
  <c r="E154" i="14" s="1"/>
  <c r="G155" i="14"/>
  <c r="G157" i="14"/>
  <c r="I159" i="14"/>
  <c r="AA159" i="14"/>
  <c r="G160" i="14"/>
  <c r="J160" i="14"/>
  <c r="M160" i="14"/>
  <c r="P160" i="14"/>
  <c r="S160" i="14"/>
  <c r="V160" i="14"/>
  <c r="Y160" i="14"/>
  <c r="AB160" i="14"/>
  <c r="AE160" i="14"/>
  <c r="AH160" i="14"/>
  <c r="AK160" i="14"/>
  <c r="AL165" i="14"/>
  <c r="E165" i="14" s="1"/>
  <c r="E168" i="14"/>
  <c r="AE170" i="14"/>
  <c r="F175" i="14"/>
  <c r="N175" i="14"/>
  <c r="S175" i="14"/>
  <c r="E178" i="14"/>
  <c r="AK180" i="14"/>
  <c r="G185" i="14"/>
  <c r="M185" i="14"/>
  <c r="S185" i="14"/>
  <c r="Y185" i="14"/>
  <c r="AE185" i="14"/>
  <c r="AK185" i="14"/>
  <c r="AF195" i="14"/>
  <c r="AH198" i="14"/>
  <c r="E190" i="14"/>
  <c r="S197" i="14"/>
  <c r="V197" i="14"/>
  <c r="Y197" i="14"/>
  <c r="AB197" i="14"/>
  <c r="AE197" i="14"/>
  <c r="J198" i="14"/>
  <c r="S198" i="14"/>
  <c r="AB198" i="14"/>
  <c r="G204" i="14"/>
  <c r="F211" i="14"/>
  <c r="E219" i="14"/>
  <c r="M221" i="14"/>
  <c r="S221" i="14"/>
  <c r="Y221" i="14"/>
  <c r="AK221" i="14"/>
  <c r="M222" i="14"/>
  <c r="P222" i="14"/>
  <c r="S222" i="14"/>
  <c r="G224" i="14"/>
  <c r="G226" i="14"/>
  <c r="G227" i="14"/>
  <c r="G229" i="14"/>
  <c r="AN233" i="14"/>
  <c r="M237" i="14"/>
  <c r="Y237" i="14"/>
  <c r="P252" i="14"/>
  <c r="V252" i="14"/>
  <c r="AH252" i="14"/>
  <c r="AH293" i="14"/>
  <c r="P331" i="14"/>
  <c r="AB331" i="14"/>
  <c r="F170" i="14"/>
  <c r="G170" i="14" s="1"/>
  <c r="E175" i="14"/>
  <c r="G178" i="14"/>
  <c r="Y195" i="14"/>
  <c r="AB195" i="14"/>
  <c r="S226" i="14"/>
  <c r="Y226" i="14"/>
  <c r="AN226" i="14"/>
  <c r="G228" i="14"/>
  <c r="AK231" i="14"/>
  <c r="AN232" i="14"/>
  <c r="AK234" i="14"/>
  <c r="F247" i="14"/>
  <c r="AN247" i="14"/>
  <c r="G258" i="14"/>
  <c r="AH258" i="14"/>
  <c r="J263" i="14"/>
  <c r="V263" i="14"/>
  <c r="AB263" i="14"/>
  <c r="M268" i="14"/>
  <c r="S275" i="14"/>
  <c r="AB275" i="14"/>
  <c r="AH275" i="14"/>
  <c r="AN275" i="14"/>
  <c r="E277" i="14"/>
  <c r="G277" i="14" s="1"/>
  <c r="Y280" i="14"/>
  <c r="AE280" i="14"/>
  <c r="G282" i="14"/>
  <c r="AH290" i="14"/>
  <c r="AN331" i="14"/>
  <c r="K34" i="14"/>
  <c r="M36" i="14"/>
  <c r="E36" i="14"/>
  <c r="N34" i="14"/>
  <c r="AI34" i="14"/>
  <c r="AK34" i="14" s="1"/>
  <c r="AK36" i="14"/>
  <c r="AL34" i="14"/>
  <c r="AQ36" i="14"/>
  <c r="AO34" i="14"/>
  <c r="AQ34" i="14" s="1"/>
  <c r="M37" i="14"/>
  <c r="E37" i="14"/>
  <c r="Q34" i="14"/>
  <c r="S34" i="14" s="1"/>
  <c r="S37" i="14"/>
  <c r="AF298" i="14"/>
  <c r="AF34" i="14"/>
  <c r="AQ37" i="14"/>
  <c r="G29" i="14"/>
  <c r="M34" i="14"/>
  <c r="J24" i="14"/>
  <c r="AG315" i="14"/>
  <c r="AG308" i="14"/>
  <c r="AJ315" i="14"/>
  <c r="AJ308" i="14"/>
  <c r="AJ295" i="14"/>
  <c r="AM315" i="14"/>
  <c r="AM308" i="14"/>
  <c r="AM295" i="14"/>
  <c r="S36" i="14"/>
  <c r="Y36" i="14"/>
  <c r="AE36" i="14"/>
  <c r="AG316" i="14"/>
  <c r="AG309" i="14"/>
  <c r="AM316" i="14"/>
  <c r="AM309" i="14"/>
  <c r="Y37" i="14"/>
  <c r="AE37" i="14"/>
  <c r="AK37" i="14"/>
  <c r="AM317" i="14"/>
  <c r="AM310" i="14"/>
  <c r="AN298" i="14"/>
  <c r="K318" i="14"/>
  <c r="K311" i="14"/>
  <c r="W304" i="14"/>
  <c r="W85" i="14"/>
  <c r="W298" i="14" s="1"/>
  <c r="AO304" i="14"/>
  <c r="AO85" i="14"/>
  <c r="AO298" i="14" s="1"/>
  <c r="I321" i="14"/>
  <c r="I302" i="14"/>
  <c r="I83" i="14"/>
  <c r="L321" i="14"/>
  <c r="L302" i="14"/>
  <c r="L83" i="14"/>
  <c r="L296" i="14" s="1"/>
  <c r="O321" i="14"/>
  <c r="O302" i="14"/>
  <c r="O83" i="14"/>
  <c r="O296" i="14" s="1"/>
  <c r="R321" i="14"/>
  <c r="R302" i="14"/>
  <c r="R83" i="14"/>
  <c r="R296" i="14" s="1"/>
  <c r="U321" i="14"/>
  <c r="U302" i="14"/>
  <c r="U83" i="14"/>
  <c r="U296" i="14" s="1"/>
  <c r="X321" i="14"/>
  <c r="X302" i="14"/>
  <c r="X83" i="14"/>
  <c r="X296" i="14" s="1"/>
  <c r="AA321" i="14"/>
  <c r="AA302" i="14"/>
  <c r="AA83" i="14"/>
  <c r="AD321" i="14"/>
  <c r="AD302" i="14"/>
  <c r="AD83" i="14"/>
  <c r="AD296" i="14" s="1"/>
  <c r="AI321" i="14"/>
  <c r="AI302" i="14"/>
  <c r="AI83" i="14"/>
  <c r="AO321" i="14"/>
  <c r="AO302" i="14"/>
  <c r="AO83" i="14"/>
  <c r="AO296" i="14" s="1"/>
  <c r="H322" i="14"/>
  <c r="H303" i="14"/>
  <c r="H84" i="14"/>
  <c r="K322" i="14"/>
  <c r="K303" i="14"/>
  <c r="K84" i="14"/>
  <c r="N322" i="14"/>
  <c r="N303" i="14"/>
  <c r="N84" i="14"/>
  <c r="Q322" i="14"/>
  <c r="Q303" i="14"/>
  <c r="Q84" i="14"/>
  <c r="T322" i="14"/>
  <c r="T303" i="14"/>
  <c r="T84" i="14"/>
  <c r="W322" i="14"/>
  <c r="W303" i="14"/>
  <c r="W84" i="14"/>
  <c r="Z322" i="14"/>
  <c r="Z303" i="14"/>
  <c r="Z84" i="14"/>
  <c r="AC322" i="14"/>
  <c r="AC303" i="14"/>
  <c r="AC84" i="14"/>
  <c r="AF322" i="14"/>
  <c r="AF303" i="14"/>
  <c r="AF84" i="14"/>
  <c r="AI322" i="14"/>
  <c r="AI303" i="14"/>
  <c r="AK303" i="14" s="1"/>
  <c r="AI84" i="14"/>
  <c r="AO322" i="14"/>
  <c r="AO303" i="14"/>
  <c r="AO84" i="14"/>
  <c r="H323" i="14"/>
  <c r="H304" i="14"/>
  <c r="H85" i="14"/>
  <c r="K323" i="14"/>
  <c r="K304" i="14"/>
  <c r="N323" i="14"/>
  <c r="N304" i="14"/>
  <c r="N85" i="14"/>
  <c r="N298" i="14" s="1"/>
  <c r="Q323" i="14"/>
  <c r="Q304" i="14"/>
  <c r="T323" i="14"/>
  <c r="T304" i="14"/>
  <c r="W323" i="14"/>
  <c r="Z323" i="14"/>
  <c r="Z304" i="14"/>
  <c r="Z85" i="14"/>
  <c r="AC323" i="14"/>
  <c r="AC304" i="14"/>
  <c r="AI323" i="14"/>
  <c r="AK323" i="14" s="1"/>
  <c r="AI304" i="14"/>
  <c r="Q85" i="14"/>
  <c r="T85" i="14"/>
  <c r="E161" i="14"/>
  <c r="K159" i="14"/>
  <c r="AK161" i="14"/>
  <c r="AI159" i="14"/>
  <c r="AO159" i="14"/>
  <c r="AQ159" i="14" s="1"/>
  <c r="AQ161" i="14"/>
  <c r="T159" i="14"/>
  <c r="V159" i="14" s="1"/>
  <c r="W159" i="14"/>
  <c r="Y159" i="14" s="1"/>
  <c r="P159" i="14"/>
  <c r="AB159" i="14"/>
  <c r="AH159" i="14"/>
  <c r="AN159" i="14"/>
  <c r="M161" i="14"/>
  <c r="V161" i="14"/>
  <c r="J162" i="14"/>
  <c r="P162" i="14"/>
  <c r="V162" i="14"/>
  <c r="AB162" i="14"/>
  <c r="AH162" i="14"/>
  <c r="AN162" i="14"/>
  <c r="N195" i="14"/>
  <c r="V198" i="14"/>
  <c r="T195" i="14"/>
  <c r="V195" i="14" s="1"/>
  <c r="AK195" i="14"/>
  <c r="P197" i="14"/>
  <c r="AK198" i="14"/>
  <c r="AN231" i="14"/>
  <c r="P232" i="14"/>
  <c r="G233" i="14"/>
  <c r="S233" i="14"/>
  <c r="M234" i="14"/>
  <c r="S234" i="14"/>
  <c r="AN234" i="14"/>
  <c r="I34" i="14"/>
  <c r="O34" i="14"/>
  <c r="U34" i="14"/>
  <c r="V34" i="14" s="1"/>
  <c r="AA34" i="14"/>
  <c r="AB34" i="14" s="1"/>
  <c r="AG34" i="14"/>
  <c r="AH34" i="14" s="1"/>
  <c r="AM34" i="14"/>
  <c r="AN34" i="14" s="1"/>
  <c r="AI296" i="14"/>
  <c r="AK296" i="14" s="1"/>
  <c r="AK315" i="14" s="1"/>
  <c r="F36" i="14"/>
  <c r="G36" i="14" s="1"/>
  <c r="H297" i="14"/>
  <c r="J36" i="14"/>
  <c r="P36" i="14"/>
  <c r="T297" i="14"/>
  <c r="V36" i="14"/>
  <c r="AB36" i="14"/>
  <c r="AF297" i="14"/>
  <c r="AH36" i="14"/>
  <c r="AJ316" i="14"/>
  <c r="AJ309" i="14"/>
  <c r="AN36" i="14"/>
  <c r="F37" i="14"/>
  <c r="G37" i="14" s="1"/>
  <c r="J37" i="14"/>
  <c r="P37" i="14"/>
  <c r="T298" i="14"/>
  <c r="V37" i="14"/>
  <c r="AB37" i="14"/>
  <c r="AH37" i="14"/>
  <c r="AJ317" i="14"/>
  <c r="AJ310" i="14"/>
  <c r="AN37" i="14"/>
  <c r="L318" i="14"/>
  <c r="L311" i="14"/>
  <c r="AD318" i="14"/>
  <c r="AD311" i="14"/>
  <c r="W45" i="14"/>
  <c r="E45" i="14" s="1"/>
  <c r="G45" i="14" s="1"/>
  <c r="AO45" i="14"/>
  <c r="Y48" i="14"/>
  <c r="H51" i="14"/>
  <c r="K51" i="14"/>
  <c r="N51" i="14"/>
  <c r="Q51" i="14"/>
  <c r="T51" i="14"/>
  <c r="W51" i="14"/>
  <c r="Z51" i="14"/>
  <c r="AC51" i="14"/>
  <c r="AF51" i="14"/>
  <c r="AH51" i="14" s="1"/>
  <c r="AO51" i="14"/>
  <c r="F52" i="14"/>
  <c r="G52" i="14" s="1"/>
  <c r="H321" i="14"/>
  <c r="H302" i="14"/>
  <c r="H83" i="14"/>
  <c r="H296" i="14" s="1"/>
  <c r="K321" i="14"/>
  <c r="K320" i="14" s="1"/>
  <c r="K302" i="14"/>
  <c r="K83" i="14"/>
  <c r="K296" i="14" s="1"/>
  <c r="N321" i="14"/>
  <c r="N302" i="14"/>
  <c r="N83" i="14"/>
  <c r="N296" i="14" s="1"/>
  <c r="Q321" i="14"/>
  <c r="Q302" i="14"/>
  <c r="Q83" i="14"/>
  <c r="Q296" i="14" s="1"/>
  <c r="T321" i="14"/>
  <c r="T302" i="14"/>
  <c r="T83" i="14"/>
  <c r="T296" i="14" s="1"/>
  <c r="W321" i="14"/>
  <c r="W302" i="14"/>
  <c r="W83" i="14"/>
  <c r="W296" i="14" s="1"/>
  <c r="Z321" i="14"/>
  <c r="Z302" i="14"/>
  <c r="Z83" i="14"/>
  <c r="Z296" i="14" s="1"/>
  <c r="AC321" i="14"/>
  <c r="AC302" i="14"/>
  <c r="AC83" i="14"/>
  <c r="AC296" i="14" s="1"/>
  <c r="AF321" i="14"/>
  <c r="AF302" i="14"/>
  <c r="AF83" i="14"/>
  <c r="AF296" i="14" s="1"/>
  <c r="AL321" i="14"/>
  <c r="AL302" i="14"/>
  <c r="AL83" i="14"/>
  <c r="AL296" i="14" s="1"/>
  <c r="E53" i="14"/>
  <c r="G53" i="14" s="1"/>
  <c r="I322" i="14"/>
  <c r="I303" i="14"/>
  <c r="I84" i="14"/>
  <c r="L322" i="14"/>
  <c r="L303" i="14"/>
  <c r="M303" i="14" s="1"/>
  <c r="L84" i="14"/>
  <c r="O322" i="14"/>
  <c r="O303" i="14"/>
  <c r="O84" i="14"/>
  <c r="R322" i="14"/>
  <c r="R303" i="14"/>
  <c r="S303" i="14" s="1"/>
  <c r="R84" i="14"/>
  <c r="U322" i="14"/>
  <c r="U303" i="14"/>
  <c r="U84" i="14"/>
  <c r="X322" i="14"/>
  <c r="X303" i="14"/>
  <c r="X84" i="14"/>
  <c r="X297" i="14" s="1"/>
  <c r="AA322" i="14"/>
  <c r="AB322" i="14" s="1"/>
  <c r="AA303" i="14"/>
  <c r="AA84" i="14"/>
  <c r="AD322" i="14"/>
  <c r="AD303" i="14"/>
  <c r="AD84" i="14"/>
  <c r="AH53" i="14"/>
  <c r="AL322" i="14"/>
  <c r="AL303" i="14"/>
  <c r="AL84" i="14"/>
  <c r="AL297" i="14" s="1"/>
  <c r="E54" i="14"/>
  <c r="G54" i="14" s="1"/>
  <c r="I323" i="14"/>
  <c r="I304" i="14"/>
  <c r="I85" i="14"/>
  <c r="I298" i="14" s="1"/>
  <c r="L323" i="14"/>
  <c r="L304" i="14"/>
  <c r="L85" i="14"/>
  <c r="O323" i="14"/>
  <c r="O304" i="14"/>
  <c r="O85" i="14"/>
  <c r="O298" i="14" s="1"/>
  <c r="R323" i="14"/>
  <c r="R304" i="14"/>
  <c r="S304" i="14" s="1"/>
  <c r="R85" i="14"/>
  <c r="S85" i="14" s="1"/>
  <c r="U323" i="14"/>
  <c r="U304" i="14"/>
  <c r="V304" i="14" s="1"/>
  <c r="U85" i="14"/>
  <c r="U298" i="14" s="1"/>
  <c r="X323" i="14"/>
  <c r="Y323" i="14" s="1"/>
  <c r="X304" i="14"/>
  <c r="Y304" i="14" s="1"/>
  <c r="X85" i="14"/>
  <c r="Y85" i="14" s="1"/>
  <c r="AA323" i="14"/>
  <c r="AB323" i="14" s="1"/>
  <c r="AA304" i="14"/>
  <c r="AA85" i="14"/>
  <c r="AB85" i="14" s="1"/>
  <c r="AD323" i="14"/>
  <c r="AD304" i="14"/>
  <c r="AD85" i="14"/>
  <c r="AE85" i="14" s="1"/>
  <c r="AG304" i="14"/>
  <c r="AG301" i="14" s="1"/>
  <c r="AG85" i="14"/>
  <c r="AH54" i="14"/>
  <c r="K85" i="14"/>
  <c r="K298" i="14" s="1"/>
  <c r="AC85" i="14"/>
  <c r="AI85" i="14"/>
  <c r="AI298" i="14" s="1"/>
  <c r="AH84" i="14"/>
  <c r="AN84" i="14"/>
  <c r="G89" i="14"/>
  <c r="E162" i="14"/>
  <c r="H159" i="14"/>
  <c r="E159" i="14" s="1"/>
  <c r="G141" i="14"/>
  <c r="M159" i="14"/>
  <c r="S159" i="14"/>
  <c r="AE159" i="14"/>
  <c r="AK159" i="14"/>
  <c r="G161" i="14"/>
  <c r="P161" i="14"/>
  <c r="Y161" i="14"/>
  <c r="AN161" i="14"/>
  <c r="M162" i="14"/>
  <c r="S162" i="14"/>
  <c r="Y162" i="14"/>
  <c r="AE162" i="14"/>
  <c r="AN197" i="14"/>
  <c r="AL195" i="14"/>
  <c r="AH195" i="14"/>
  <c r="AN195" i="14"/>
  <c r="AH197" i="14"/>
  <c r="E234" i="14"/>
  <c r="G234" i="14" s="1"/>
  <c r="G221" i="14"/>
  <c r="E232" i="14"/>
  <c r="G232" i="14" s="1"/>
  <c r="K231" i="14"/>
  <c r="N231" i="14"/>
  <c r="Q231" i="14"/>
  <c r="S231" i="14" s="1"/>
  <c r="AO231" i="14"/>
  <c r="AQ231" i="14" s="1"/>
  <c r="AQ232" i="14"/>
  <c r="P231" i="14"/>
  <c r="V231" i="14"/>
  <c r="M232" i="14"/>
  <c r="S232" i="14"/>
  <c r="P233" i="14"/>
  <c r="P234" i="14"/>
  <c r="V234" i="14"/>
  <c r="G237" i="14"/>
  <c r="E270" i="14"/>
  <c r="W268" i="14"/>
  <c r="Y268" i="14" s="1"/>
  <c r="G252" i="14"/>
  <c r="H329" i="14"/>
  <c r="E271" i="14"/>
  <c r="H268" i="14"/>
  <c r="AO323" i="14"/>
  <c r="I324" i="14"/>
  <c r="I305" i="14"/>
  <c r="O324" i="14"/>
  <c r="O305" i="14"/>
  <c r="R324" i="14"/>
  <c r="R305" i="14"/>
  <c r="U324" i="14"/>
  <c r="U305" i="14"/>
  <c r="X324" i="14"/>
  <c r="X305" i="14"/>
  <c r="AA324" i="14"/>
  <c r="AA305" i="14"/>
  <c r="AF324" i="14"/>
  <c r="AF305" i="14"/>
  <c r="AL324" i="14"/>
  <c r="AL305" i="14"/>
  <c r="E74" i="14"/>
  <c r="G74" i="14" s="1"/>
  <c r="I86" i="14"/>
  <c r="O86" i="14"/>
  <c r="O299" i="14" s="1"/>
  <c r="R86" i="14"/>
  <c r="R299" i="14" s="1"/>
  <c r="U86" i="14"/>
  <c r="U299" i="14" s="1"/>
  <c r="X86" i="14"/>
  <c r="X299" i="14" s="1"/>
  <c r="AA86" i="14"/>
  <c r="AA299" i="14" s="1"/>
  <c r="AG318" i="14"/>
  <c r="AG311" i="14"/>
  <c r="AJ318" i="14"/>
  <c r="AJ311" i="14"/>
  <c r="AM318" i="14"/>
  <c r="AM311" i="14"/>
  <c r="AJ319" i="14"/>
  <c r="F319" i="14" s="1"/>
  <c r="AJ312" i="14"/>
  <c r="F312" i="14" s="1"/>
  <c r="S92" i="14"/>
  <c r="F94" i="14"/>
  <c r="G94" i="14" s="1"/>
  <c r="E107" i="14"/>
  <c r="G107" i="14" s="1"/>
  <c r="E119" i="14"/>
  <c r="G119" i="14" s="1"/>
  <c r="AB122" i="14"/>
  <c r="AE122" i="14"/>
  <c r="AN122" i="14"/>
  <c r="AQ122" i="14"/>
  <c r="F124" i="14"/>
  <c r="G124" i="14" s="1"/>
  <c r="E129" i="14"/>
  <c r="G129" i="14" s="1"/>
  <c r="E132" i="14"/>
  <c r="G132" i="14" s="1"/>
  <c r="V141" i="14"/>
  <c r="Y156" i="14"/>
  <c r="F159" i="14"/>
  <c r="F162" i="14"/>
  <c r="G162" i="14" s="1"/>
  <c r="J185" i="14"/>
  <c r="AO197" i="14"/>
  <c r="AC198" i="14"/>
  <c r="AC195" i="14" s="1"/>
  <c r="AE195" i="14" s="1"/>
  <c r="AQ223" i="14"/>
  <c r="W329" i="14"/>
  <c r="Y271" i="14"/>
  <c r="E263" i="14"/>
  <c r="G263" i="14" s="1"/>
  <c r="E266" i="14"/>
  <c r="G266" i="14" s="1"/>
  <c r="J266" i="14"/>
  <c r="AE266" i="14"/>
  <c r="F268" i="14"/>
  <c r="N268" i="14"/>
  <c r="P268" i="14" s="1"/>
  <c r="Z268" i="14"/>
  <c r="AB268" i="14" s="1"/>
  <c r="AF268" i="14"/>
  <c r="AH268" i="14" s="1"/>
  <c r="I329" i="14"/>
  <c r="J271" i="14"/>
  <c r="W290" i="14"/>
  <c r="F293" i="14"/>
  <c r="AA290" i="14"/>
  <c r="AE290" i="14"/>
  <c r="AE293" i="14"/>
  <c r="AN293" i="14"/>
  <c r="AF323" i="14"/>
  <c r="AF304" i="14"/>
  <c r="AL323" i="14"/>
  <c r="AN323" i="14" s="1"/>
  <c r="AL304" i="14"/>
  <c r="AL310" i="14" s="1"/>
  <c r="H324" i="14"/>
  <c r="H305" i="14"/>
  <c r="N324" i="14"/>
  <c r="N305" i="14"/>
  <c r="Q324" i="14"/>
  <c r="Q305" i="14"/>
  <c r="T324" i="14"/>
  <c r="T305" i="14"/>
  <c r="W324" i="14"/>
  <c r="W305" i="14"/>
  <c r="Z324" i="14"/>
  <c r="Z305" i="14"/>
  <c r="AC324" i="14"/>
  <c r="AC305" i="14"/>
  <c r="AI324" i="14"/>
  <c r="AI305" i="14"/>
  <c r="AO324" i="14"/>
  <c r="AO305" i="14"/>
  <c r="H86" i="14"/>
  <c r="N86" i="14"/>
  <c r="N299" i="14" s="1"/>
  <c r="Q86" i="14"/>
  <c r="Q299" i="14" s="1"/>
  <c r="T86" i="14"/>
  <c r="T299" i="14" s="1"/>
  <c r="W86" i="14"/>
  <c r="W299" i="14" s="1"/>
  <c r="Z86" i="14"/>
  <c r="Z299" i="14" s="1"/>
  <c r="AC86" i="14"/>
  <c r="AC299" i="14" s="1"/>
  <c r="AF86" i="14"/>
  <c r="AF299" i="14" s="1"/>
  <c r="AI86" i="14"/>
  <c r="AI299" i="14" s="1"/>
  <c r="AL86" i="14"/>
  <c r="AL299" i="14" s="1"/>
  <c r="AO86" i="14"/>
  <c r="AO299" i="14" s="1"/>
  <c r="E173" i="14"/>
  <c r="G173" i="14" s="1"/>
  <c r="E187" i="14"/>
  <c r="G187" i="14" s="1"/>
  <c r="P187" i="14"/>
  <c r="AN187" i="14"/>
  <c r="V188" i="14"/>
  <c r="P329" i="14"/>
  <c r="N326" i="14"/>
  <c r="AO329" i="14"/>
  <c r="AO326" i="14" s="1"/>
  <c r="AQ271" i="14"/>
  <c r="AC329" i="14"/>
  <c r="AC326" i="14" s="1"/>
  <c r="AE271" i="14"/>
  <c r="AE329" i="14" s="1"/>
  <c r="AC268" i="14"/>
  <c r="AE268" i="14" s="1"/>
  <c r="AE326" i="14" s="1"/>
  <c r="AI268" i="14"/>
  <c r="F271" i="14"/>
  <c r="G271" i="14" s="1"/>
  <c r="P271" i="14"/>
  <c r="N290" i="14"/>
  <c r="P290" i="14" s="1"/>
  <c r="AK293" i="14"/>
  <c r="AI290" i="14"/>
  <c r="G280" i="14"/>
  <c r="Y290" i="14"/>
  <c r="AK290" i="14"/>
  <c r="Y292" i="14"/>
  <c r="AN292" i="14"/>
  <c r="P293" i="14"/>
  <c r="Y293" i="14"/>
  <c r="M271" i="14"/>
  <c r="Q326" i="14"/>
  <c r="S326" i="14" s="1"/>
  <c r="S329" i="14"/>
  <c r="AB329" i="14"/>
  <c r="AA326" i="14"/>
  <c r="AB326" i="14" s="1"/>
  <c r="AN271" i="14"/>
  <c r="Z292" i="14"/>
  <c r="Q293" i="14"/>
  <c r="Q290" i="14" s="1"/>
  <c r="Z293" i="14"/>
  <c r="Z298" i="14" s="1"/>
  <c r="AN303" i="14"/>
  <c r="AK304" i="14"/>
  <c r="M329" i="14"/>
  <c r="L326" i="14"/>
  <c r="M326" i="14" s="1"/>
  <c r="V329" i="14"/>
  <c r="T326" i="14"/>
  <c r="V326" i="14" s="1"/>
  <c r="AB271" i="14"/>
  <c r="AH271" i="14"/>
  <c r="AH329" i="14" s="1"/>
  <c r="AK326" i="14"/>
  <c r="AN329" i="14"/>
  <c r="AM326" i="14"/>
  <c r="AN326" i="14" s="1"/>
  <c r="F275" i="14"/>
  <c r="G275" i="14" s="1"/>
  <c r="Y277" i="14"/>
  <c r="AN277" i="14"/>
  <c r="E278" i="14"/>
  <c r="G278" i="14" s="1"/>
  <c r="P278" i="14"/>
  <c r="Y278" i="14"/>
  <c r="AE278" i="14"/>
  <c r="F283" i="14"/>
  <c r="G283" i="14" s="1"/>
  <c r="AB283" i="14"/>
  <c r="AN304" i="14"/>
  <c r="P326" i="14"/>
  <c r="AN322" i="14"/>
  <c r="G331" i="14"/>
  <c r="J331" i="14"/>
  <c r="L4" i="14"/>
  <c r="AJ2" i="14"/>
  <c r="Y45" i="14" l="1"/>
  <c r="G175" i="14"/>
  <c r="G154" i="14"/>
  <c r="U82" i="14"/>
  <c r="O82" i="14"/>
  <c r="Z301" i="14"/>
  <c r="T301" i="14"/>
  <c r="N301" i="14"/>
  <c r="AI301" i="14"/>
  <c r="AK301" i="14" s="1"/>
  <c r="E34" i="14"/>
  <c r="P154" i="14"/>
  <c r="Z317" i="14"/>
  <c r="Z310" i="14"/>
  <c r="AF318" i="14"/>
  <c r="AF311" i="14"/>
  <c r="Z318" i="14"/>
  <c r="Z311" i="14"/>
  <c r="T318" i="14"/>
  <c r="T311" i="14"/>
  <c r="L308" i="14"/>
  <c r="L315" i="14"/>
  <c r="M296" i="14"/>
  <c r="M315" i="14" s="1"/>
  <c r="AO317" i="14"/>
  <c r="AQ317" i="14" s="1"/>
  <c r="AO310" i="14"/>
  <c r="AQ310" i="14" s="1"/>
  <c r="AQ298" i="14"/>
  <c r="W317" i="14"/>
  <c r="W310" i="14"/>
  <c r="AO318" i="14"/>
  <c r="AO311" i="14"/>
  <c r="AI318" i="14"/>
  <c r="AI311" i="14"/>
  <c r="AC318" i="14"/>
  <c r="AC311" i="14"/>
  <c r="W318" i="14"/>
  <c r="W311" i="14"/>
  <c r="Q318" i="14"/>
  <c r="Q311" i="14"/>
  <c r="X318" i="14"/>
  <c r="X311" i="14"/>
  <c r="R318" i="14"/>
  <c r="R311" i="14"/>
  <c r="O317" i="14"/>
  <c r="O310" i="14"/>
  <c r="N317" i="14"/>
  <c r="N310" i="14"/>
  <c r="U315" i="14"/>
  <c r="U308" i="14"/>
  <c r="V296" i="14"/>
  <c r="O315" i="14"/>
  <c r="O308" i="14"/>
  <c r="P296" i="14"/>
  <c r="P315" i="14" s="1"/>
  <c r="N318" i="14"/>
  <c r="N311" i="14"/>
  <c r="AI317" i="14"/>
  <c r="AI310" i="14"/>
  <c r="AK298" i="14"/>
  <c r="AK317" i="14" s="1"/>
  <c r="K317" i="14"/>
  <c r="K310" i="14"/>
  <c r="AL315" i="14"/>
  <c r="AL308" i="14"/>
  <c r="AL295" i="14"/>
  <c r="AN296" i="14"/>
  <c r="AC315" i="14"/>
  <c r="AC308" i="14"/>
  <c r="W315" i="14"/>
  <c r="W308" i="14"/>
  <c r="Q315" i="14"/>
  <c r="Q308" i="14"/>
  <c r="K315" i="14"/>
  <c r="K308" i="14"/>
  <c r="AO315" i="14"/>
  <c r="AO308" i="14"/>
  <c r="AQ296" i="14"/>
  <c r="AD315" i="14"/>
  <c r="AD308" i="14"/>
  <c r="AE296" i="14"/>
  <c r="X315" i="14"/>
  <c r="X308" i="14"/>
  <c r="Y296" i="14"/>
  <c r="R315" i="14"/>
  <c r="R308" i="14"/>
  <c r="S296" i="14"/>
  <c r="E293" i="14"/>
  <c r="E86" i="14"/>
  <c r="E324" i="14"/>
  <c r="S293" i="14"/>
  <c r="S290" i="14"/>
  <c r="F290" i="14"/>
  <c r="J329" i="14"/>
  <c r="F329" i="14"/>
  <c r="I326" i="14"/>
  <c r="W326" i="14"/>
  <c r="Y326" i="14" s="1"/>
  <c r="Y329" i="14"/>
  <c r="AQ197" i="14"/>
  <c r="AO195" i="14"/>
  <c r="AQ195" i="14" s="1"/>
  <c r="F86" i="14"/>
  <c r="F305" i="14"/>
  <c r="I311" i="14"/>
  <c r="E268" i="14"/>
  <c r="G268" i="14" s="1"/>
  <c r="E329" i="14"/>
  <c r="H326" i="14"/>
  <c r="E231" i="14"/>
  <c r="G231" i="14" s="1"/>
  <c r="AG82" i="14"/>
  <c r="AH85" i="14"/>
  <c r="AH298" i="14" s="1"/>
  <c r="AH317" i="14" s="1"/>
  <c r="M85" i="14"/>
  <c r="F304" i="14"/>
  <c r="AA82" i="14"/>
  <c r="AB84" i="14"/>
  <c r="I82" i="14"/>
  <c r="F84" i="14"/>
  <c r="F322" i="14"/>
  <c r="AL320" i="14"/>
  <c r="AN320" i="14" s="1"/>
  <c r="AF301" i="14"/>
  <c r="AC320" i="14"/>
  <c r="W320" i="14"/>
  <c r="Q320" i="14"/>
  <c r="E302" i="14"/>
  <c r="H301" i="14"/>
  <c r="E51" i="14"/>
  <c r="G51" i="14" s="1"/>
  <c r="AA318" i="14"/>
  <c r="AA311" i="14"/>
  <c r="U318" i="14"/>
  <c r="U311" i="14"/>
  <c r="O318" i="14"/>
  <c r="O311" i="14"/>
  <c r="AL317" i="14"/>
  <c r="AK310" i="14"/>
  <c r="X298" i="14"/>
  <c r="T317" i="14"/>
  <c r="T310" i="14"/>
  <c r="P298" i="14"/>
  <c r="P317" i="14" s="1"/>
  <c r="AF316" i="14"/>
  <c r="AF309" i="14"/>
  <c r="X316" i="14"/>
  <c r="X309" i="14"/>
  <c r="T316" i="14"/>
  <c r="T309" i="14"/>
  <c r="AF315" i="14"/>
  <c r="AF308" i="14"/>
  <c r="AF295" i="14"/>
  <c r="Z315" i="14"/>
  <c r="Z308" i="14"/>
  <c r="T315" i="14"/>
  <c r="T314" i="14" s="1"/>
  <c r="T308" i="14"/>
  <c r="T307" i="14" s="1"/>
  <c r="T295" i="14"/>
  <c r="N308" i="14"/>
  <c r="N315" i="14"/>
  <c r="H308" i="14"/>
  <c r="H315" i="14"/>
  <c r="E296" i="14"/>
  <c r="J34" i="14"/>
  <c r="F34" i="14"/>
  <c r="G34" i="14" s="1"/>
  <c r="E195" i="14"/>
  <c r="G195" i="14" s="1"/>
  <c r="E85" i="14"/>
  <c r="E323" i="14"/>
  <c r="AI82" i="14"/>
  <c r="AK82" i="14" s="1"/>
  <c r="AC82" i="14"/>
  <c r="W82" i="14"/>
  <c r="Q82" i="14"/>
  <c r="K82" i="14"/>
  <c r="E303" i="14"/>
  <c r="AO320" i="14"/>
  <c r="AD320" i="14"/>
  <c r="AA301" i="14"/>
  <c r="X320" i="14"/>
  <c r="Y320" i="14" s="1"/>
  <c r="U301" i="14"/>
  <c r="V301" i="14" s="1"/>
  <c r="R320" i="14"/>
  <c r="O301" i="14"/>
  <c r="L320" i="14"/>
  <c r="F302" i="14"/>
  <c r="G302" i="14" s="1"/>
  <c r="I301" i="14"/>
  <c r="AL318" i="14"/>
  <c r="AL311" i="14"/>
  <c r="H299" i="14"/>
  <c r="AN310" i="14"/>
  <c r="AG298" i="14"/>
  <c r="AC298" i="14"/>
  <c r="U317" i="14"/>
  <c r="V317" i="14" s="1"/>
  <c r="U310" i="14"/>
  <c r="V310" i="14" s="1"/>
  <c r="V298" i="14"/>
  <c r="I317" i="14"/>
  <c r="I310" i="14"/>
  <c r="AH297" i="14"/>
  <c r="AC297" i="14"/>
  <c r="U297" i="14"/>
  <c r="Q297" i="14"/>
  <c r="I297" i="14"/>
  <c r="AN295" i="14"/>
  <c r="AN315" i="14"/>
  <c r="AM314" i="14"/>
  <c r="AJ314" i="14"/>
  <c r="AH308" i="14"/>
  <c r="Q298" i="14"/>
  <c r="AO297" i="14"/>
  <c r="AO295" i="14" s="1"/>
  <c r="AQ295" i="14" s="1"/>
  <c r="AL316" i="14"/>
  <c r="AL309" i="14"/>
  <c r="AN309" i="14" s="1"/>
  <c r="Z290" i="14"/>
  <c r="AB290" i="14" s="1"/>
  <c r="E305" i="14"/>
  <c r="AB292" i="14"/>
  <c r="AB293" i="14"/>
  <c r="G293" i="14"/>
  <c r="E292" i="14"/>
  <c r="G292" i="14" s="1"/>
  <c r="E198" i="14"/>
  <c r="G198" i="14" s="1"/>
  <c r="G159" i="14"/>
  <c r="F324" i="14"/>
  <c r="I318" i="14"/>
  <c r="F318" i="14" s="1"/>
  <c r="J268" i="14"/>
  <c r="AK85" i="14"/>
  <c r="V85" i="14"/>
  <c r="V323" i="14"/>
  <c r="M304" i="14"/>
  <c r="F85" i="14"/>
  <c r="G85" i="14" s="1"/>
  <c r="F323" i="14"/>
  <c r="G323" i="14" s="1"/>
  <c r="AL82" i="14"/>
  <c r="AN82" i="14" s="1"/>
  <c r="AD82" i="14"/>
  <c r="AE82" i="14" s="1"/>
  <c r="X82" i="14"/>
  <c r="Y82" i="14" s="1"/>
  <c r="S84" i="14"/>
  <c r="R82" i="14"/>
  <c r="S82" i="14" s="1"/>
  <c r="L82" i="14"/>
  <c r="M82" i="14" s="1"/>
  <c r="M84" i="14"/>
  <c r="F303" i="14"/>
  <c r="G303" i="14" s="1"/>
  <c r="AL301" i="14"/>
  <c r="AN301" i="14" s="1"/>
  <c r="AF320" i="14"/>
  <c r="AC301" i="14"/>
  <c r="Z320" i="14"/>
  <c r="W301" i="14"/>
  <c r="T320" i="14"/>
  <c r="Q301" i="14"/>
  <c r="N320" i="14"/>
  <c r="K301" i="14"/>
  <c r="E83" i="14"/>
  <c r="E321" i="14"/>
  <c r="H320" i="14"/>
  <c r="F299" i="14"/>
  <c r="AD298" i="14"/>
  <c r="R298" i="14"/>
  <c r="L298" i="14"/>
  <c r="H298" i="14"/>
  <c r="J298" i="14" s="1"/>
  <c r="J317" i="14" s="1"/>
  <c r="AD297" i="14"/>
  <c r="Z297" i="14"/>
  <c r="R297" i="14"/>
  <c r="L297" i="14"/>
  <c r="H316" i="14"/>
  <c r="H309" i="14"/>
  <c r="AI315" i="14"/>
  <c r="AI308" i="14"/>
  <c r="AK308" i="14" s="1"/>
  <c r="P34" i="14"/>
  <c r="M231" i="14"/>
  <c r="AE198" i="14"/>
  <c r="P195" i="14"/>
  <c r="E197" i="14"/>
  <c r="G197" i="14" s="1"/>
  <c r="J159" i="14"/>
  <c r="E304" i="14"/>
  <c r="AO82" i="14"/>
  <c r="AF82" i="14"/>
  <c r="Z82" i="14"/>
  <c r="T82" i="14"/>
  <c r="V82" i="14" s="1"/>
  <c r="N82" i="14"/>
  <c r="E84" i="14"/>
  <c r="H82" i="14"/>
  <c r="E322" i="14"/>
  <c r="AO301" i="14"/>
  <c r="AI320" i="14"/>
  <c r="AK320" i="14" s="1"/>
  <c r="AD301" i="14"/>
  <c r="AB83" i="14"/>
  <c r="AB321" i="14"/>
  <c r="AA320" i="14"/>
  <c r="AB320" i="14" s="1"/>
  <c r="X301" i="14"/>
  <c r="U320" i="14"/>
  <c r="V320" i="14" s="1"/>
  <c r="R301" i="14"/>
  <c r="O320" i="14"/>
  <c r="L301" i="14"/>
  <c r="F83" i="14"/>
  <c r="G83" i="14" s="1"/>
  <c r="F321" i="14"/>
  <c r="I320" i="14"/>
  <c r="F320" i="14" s="1"/>
  <c r="AN317" i="14"/>
  <c r="AA298" i="14"/>
  <c r="AN297" i="14"/>
  <c r="AN316" i="14"/>
  <c r="AH309" i="14"/>
  <c r="AA297" i="14"/>
  <c r="W297" i="14"/>
  <c r="O297" i="14"/>
  <c r="AN308" i="14"/>
  <c r="AM307" i="14"/>
  <c r="AJ307" i="14"/>
  <c r="AA296" i="14"/>
  <c r="I296" i="14"/>
  <c r="AF317" i="14"/>
  <c r="AF310" i="14"/>
  <c r="AI297" i="14"/>
  <c r="N297" i="14"/>
  <c r="K297" i="14"/>
  <c r="K316" i="14" l="1"/>
  <c r="K309" i="14"/>
  <c r="AI316" i="14"/>
  <c r="AI309" i="14"/>
  <c r="AK309" i="14" s="1"/>
  <c r="AK297" i="14"/>
  <c r="AK316" i="14" s="1"/>
  <c r="AA315" i="14"/>
  <c r="AA308" i="14"/>
  <c r="AA295" i="14"/>
  <c r="AB296" i="14"/>
  <c r="W316" i="14"/>
  <c r="W309" i="14"/>
  <c r="G321" i="14"/>
  <c r="M301" i="14"/>
  <c r="S301" i="14"/>
  <c r="Y301" i="14"/>
  <c r="E82" i="14"/>
  <c r="AI295" i="14"/>
  <c r="AK295" i="14" s="1"/>
  <c r="AI314" i="14"/>
  <c r="L316" i="14"/>
  <c r="L309" i="14"/>
  <c r="M309" i="14" s="1"/>
  <c r="M297" i="14"/>
  <c r="M316" i="14" s="1"/>
  <c r="Z316" i="14"/>
  <c r="Z309" i="14"/>
  <c r="L317" i="14"/>
  <c r="L310" i="14"/>
  <c r="M310" i="14" s="1"/>
  <c r="M298" i="14"/>
  <c r="M317" i="14" s="1"/>
  <c r="AD317" i="14"/>
  <c r="AD310" i="14"/>
  <c r="AE298" i="14"/>
  <c r="E320" i="14"/>
  <c r="Q317" i="14"/>
  <c r="Q310" i="14"/>
  <c r="Q316" i="14"/>
  <c r="Q309" i="14"/>
  <c r="AC316" i="14"/>
  <c r="AC309" i="14"/>
  <c r="AC317" i="14"/>
  <c r="AC310" i="14"/>
  <c r="F301" i="14"/>
  <c r="E308" i="14"/>
  <c r="Z307" i="14"/>
  <c r="AF314" i="14"/>
  <c r="Y309" i="14"/>
  <c r="E301" i="14"/>
  <c r="G84" i="14"/>
  <c r="AB82" i="14"/>
  <c r="AH82" i="14"/>
  <c r="E326" i="14"/>
  <c r="G329" i="14"/>
  <c r="S315" i="14"/>
  <c r="Y315" i="14"/>
  <c r="AE315" i="14"/>
  <c r="AQ315" i="14"/>
  <c r="K307" i="14"/>
  <c r="Q295" i="14"/>
  <c r="Q314" i="14"/>
  <c r="W307" i="14"/>
  <c r="AC295" i="14"/>
  <c r="AC314" i="14"/>
  <c r="AL314" i="14"/>
  <c r="AN314" i="14" s="1"/>
  <c r="P308" i="14"/>
  <c r="V308" i="14"/>
  <c r="P310" i="14"/>
  <c r="E290" i="14"/>
  <c r="G290" i="14" s="1"/>
  <c r="L295" i="14"/>
  <c r="L314" i="14"/>
  <c r="N316" i="14"/>
  <c r="N314" i="14" s="1"/>
  <c r="N309" i="14"/>
  <c r="I315" i="14"/>
  <c r="I308" i="14"/>
  <c r="I295" i="14"/>
  <c r="J296" i="14"/>
  <c r="J315" i="14" s="1"/>
  <c r="F296" i="14"/>
  <c r="G296" i="14" s="1"/>
  <c r="O316" i="14"/>
  <c r="O309" i="14"/>
  <c r="P309" i="14" s="1"/>
  <c r="P297" i="14"/>
  <c r="P316" i="14" s="1"/>
  <c r="AA316" i="14"/>
  <c r="AB316" i="14" s="1"/>
  <c r="AA309" i="14"/>
  <c r="AB309" i="14" s="1"/>
  <c r="AB297" i="14"/>
  <c r="AA317" i="14"/>
  <c r="AB317" i="14" s="1"/>
  <c r="AA310" i="14"/>
  <c r="AB310" i="14" s="1"/>
  <c r="AB298" i="14"/>
  <c r="G320" i="14"/>
  <c r="AI307" i="14"/>
  <c r="AK307" i="14" s="1"/>
  <c r="E297" i="14"/>
  <c r="R316" i="14"/>
  <c r="S316" i="14" s="1"/>
  <c r="R309" i="14"/>
  <c r="S309" i="14" s="1"/>
  <c r="S297" i="14"/>
  <c r="AD316" i="14"/>
  <c r="AE316" i="14" s="1"/>
  <c r="AD309" i="14"/>
  <c r="AE309" i="14" s="1"/>
  <c r="AE297" i="14"/>
  <c r="H317" i="14"/>
  <c r="E317" i="14" s="1"/>
  <c r="H310" i="14"/>
  <c r="E310" i="14" s="1"/>
  <c r="E298" i="14"/>
  <c r="R317" i="14"/>
  <c r="S317" i="14" s="1"/>
  <c r="R310" i="14"/>
  <c r="S310" i="14" s="1"/>
  <c r="S298" i="14"/>
  <c r="AO316" i="14"/>
  <c r="AQ316" i="14" s="1"/>
  <c r="AO309" i="14"/>
  <c r="AQ309" i="14" s="1"/>
  <c r="AQ297" i="14"/>
  <c r="AK314" i="14"/>
  <c r="I316" i="14"/>
  <c r="I309" i="14"/>
  <c r="J297" i="14"/>
  <c r="J316" i="14" s="1"/>
  <c r="F297" i="14"/>
  <c r="G297" i="14" s="1"/>
  <c r="U316" i="14"/>
  <c r="V316" i="14" s="1"/>
  <c r="U309" i="14"/>
  <c r="V309" i="14" s="1"/>
  <c r="V297" i="14"/>
  <c r="AH316" i="14"/>
  <c r="AH296" i="14"/>
  <c r="F298" i="14"/>
  <c r="G298" i="14" s="1"/>
  <c r="J310" i="14"/>
  <c r="AG317" i="14"/>
  <c r="AG314" i="14" s="1"/>
  <c r="AH314" i="14" s="1"/>
  <c r="AG310" i="14"/>
  <c r="AG295" i="14"/>
  <c r="H318" i="14"/>
  <c r="E318" i="14" s="1"/>
  <c r="H311" i="14"/>
  <c r="E311" i="14" s="1"/>
  <c r="E299" i="14"/>
  <c r="H295" i="14"/>
  <c r="E315" i="14"/>
  <c r="H314" i="14"/>
  <c r="N295" i="14"/>
  <c r="N307" i="14"/>
  <c r="Z295" i="14"/>
  <c r="Z314" i="14"/>
  <c r="AF307" i="14"/>
  <c r="Y297" i="14"/>
  <c r="Y316" i="14"/>
  <c r="X317" i="14"/>
  <c r="Y317" i="14" s="1"/>
  <c r="X310" i="14"/>
  <c r="Y310" i="14" s="1"/>
  <c r="Y298" i="14"/>
  <c r="G322" i="14"/>
  <c r="F82" i="14"/>
  <c r="G82" i="14" s="1"/>
  <c r="G304" i="14"/>
  <c r="F311" i="14"/>
  <c r="J326" i="14"/>
  <c r="F326" i="14"/>
  <c r="G326" i="14" s="1"/>
  <c r="R295" i="14"/>
  <c r="S295" i="14" s="1"/>
  <c r="R307" i="14"/>
  <c r="S308" i="14"/>
  <c r="X295" i="14"/>
  <c r="X307" i="14"/>
  <c r="Y307" i="14" s="1"/>
  <c r="Y308" i="14"/>
  <c r="AD295" i="14"/>
  <c r="AE295" i="14" s="1"/>
  <c r="AD307" i="14"/>
  <c r="AE308" i="14"/>
  <c r="AO307" i="14"/>
  <c r="AQ307" i="14" s="1"/>
  <c r="AQ308" i="14"/>
  <c r="K295" i="14"/>
  <c r="K314" i="14"/>
  <c r="Q307" i="14"/>
  <c r="W295" i="14"/>
  <c r="W314" i="14"/>
  <c r="AC307" i="14"/>
  <c r="AL307" i="14"/>
  <c r="AN307" i="14" s="1"/>
  <c r="O295" i="14"/>
  <c r="P295" i="14" s="1"/>
  <c r="O314" i="14"/>
  <c r="U295" i="14"/>
  <c r="V295" i="14" s="1"/>
  <c r="V315" i="14"/>
  <c r="U314" i="14"/>
  <c r="V314" i="14" s="1"/>
  <c r="L307" i="14"/>
  <c r="M307" i="14" s="1"/>
  <c r="M308" i="14"/>
  <c r="E309" i="14" l="1"/>
  <c r="AE307" i="14"/>
  <c r="Y295" i="14"/>
  <c r="AH310" i="14"/>
  <c r="AG307" i="14"/>
  <c r="AH307" i="14" s="1"/>
  <c r="F310" i="14"/>
  <c r="G310" i="14" s="1"/>
  <c r="J309" i="14"/>
  <c r="F309" i="14"/>
  <c r="G309" i="14" s="1"/>
  <c r="E316" i="14"/>
  <c r="J308" i="14"/>
  <c r="F308" i="14"/>
  <c r="G308" i="14" s="1"/>
  <c r="I307" i="14"/>
  <c r="M314" i="14"/>
  <c r="U307" i="14"/>
  <c r="V307" i="14" s="1"/>
  <c r="O307" i="14"/>
  <c r="P307" i="14" s="1"/>
  <c r="G301" i="14"/>
  <c r="AE317" i="14"/>
  <c r="AB295" i="14"/>
  <c r="AB315" i="14"/>
  <c r="AA314" i="14"/>
  <c r="AB314" i="14" s="1"/>
  <c r="P314" i="14"/>
  <c r="S307" i="14"/>
  <c r="E295" i="14"/>
  <c r="AH315" i="14"/>
  <c r="AH295" i="14"/>
  <c r="F316" i="14"/>
  <c r="G316" i="14" s="1"/>
  <c r="J295" i="14"/>
  <c r="F295" i="14"/>
  <c r="G295" i="14" s="1"/>
  <c r="I314" i="14"/>
  <c r="F315" i="14"/>
  <c r="G315" i="14" s="1"/>
  <c r="M295" i="14"/>
  <c r="AO314" i="14"/>
  <c r="AQ314" i="14" s="1"/>
  <c r="AD314" i="14"/>
  <c r="AE314" i="14" s="1"/>
  <c r="X314" i="14"/>
  <c r="Y314" i="14" s="1"/>
  <c r="R314" i="14"/>
  <c r="S314" i="14" s="1"/>
  <c r="H307" i="14"/>
  <c r="E307" i="14" s="1"/>
  <c r="F317" i="14"/>
  <c r="G317" i="14" s="1"/>
  <c r="AE310" i="14"/>
  <c r="AB308" i="14"/>
  <c r="AA307" i="14"/>
  <c r="AB307" i="14" s="1"/>
  <c r="E314" i="14" l="1"/>
  <c r="J314" i="14"/>
  <c r="F314" i="14"/>
  <c r="G314" i="14" s="1"/>
  <c r="J307" i="14"/>
  <c r="F307" i="14"/>
  <c r="G307" i="14" s="1"/>
</calcChain>
</file>

<file path=xl/sharedStrings.xml><?xml version="1.0" encoding="utf-8"?>
<sst xmlns="http://schemas.openxmlformats.org/spreadsheetml/2006/main" count="631" uniqueCount="237">
  <si>
    <t>Источники финансирования</t>
  </si>
  <si>
    <t>1.1.</t>
  </si>
  <si>
    <t>Подпрограмма I. Дошкольное образование</t>
  </si>
  <si>
    <t>Всего</t>
  </si>
  <si>
    <t>Бюджет Ханты-Мансийского автономного округа-Югры</t>
  </si>
  <si>
    <t>ИТОГО по подпрограмме I:</t>
  </si>
  <si>
    <t>Подпрограмма II. Развитие современной инфраструктуры</t>
  </si>
  <si>
    <t>ИТОГО по подпрограмме II:</t>
  </si>
  <si>
    <t>Подпрограмма III. Общее и дополнительное образование</t>
  </si>
  <si>
    <t>ИТОГО по подпрограмме III:</t>
  </si>
  <si>
    <t>Подпрограмма IV. Развитие муниципальной методической службы</t>
  </si>
  <si>
    <t>ИТОГО по подпрограмме IV:</t>
  </si>
  <si>
    <t>Подпрограмма V. "Здоровьесбережение и здоровьесозидание"</t>
  </si>
  <si>
    <t>ИТОГО по подпрограмме V:</t>
  </si>
  <si>
    <t>Подпрограмма VI. Молодежная политика</t>
  </si>
  <si>
    <t>ИТОГО по подпрограмме VI:</t>
  </si>
  <si>
    <t>Подпрограмма VII. Каникулярный отдых</t>
  </si>
  <si>
    <t>ИТОГО по подпрограмме VII:</t>
  </si>
  <si>
    <t>ИТОГО по программе:</t>
  </si>
  <si>
    <t>1.2.</t>
  </si>
  <si>
    <t>Федеральный бюджет</t>
  </si>
  <si>
    <t>Внебюджетные средства</t>
  </si>
  <si>
    <t>январь</t>
  </si>
  <si>
    <t>февраль</t>
  </si>
  <si>
    <t>март</t>
  </si>
  <si>
    <t>апрель</t>
  </si>
  <si>
    <t>май</t>
  </si>
  <si>
    <t>июнь</t>
  </si>
  <si>
    <t>июль</t>
  </si>
  <si>
    <t>август</t>
  </si>
  <si>
    <t>сентябрь</t>
  </si>
  <si>
    <t>октябрь</t>
  </si>
  <si>
    <t>ноябрь</t>
  </si>
  <si>
    <t>декабрь</t>
  </si>
  <si>
    <t>в том числе:</t>
  </si>
  <si>
    <t>Исполнение мероприятия</t>
  </si>
  <si>
    <t>Причины отклонения  фактически исполненных расходных обязательств от запланированных</t>
  </si>
  <si>
    <t>Согласовано:</t>
  </si>
  <si>
    <t xml:space="preserve">Комитет по финансам администрации грода Урай </t>
  </si>
  <si>
    <t>Исполнитель Невская Ирина Евгеньевна</t>
  </si>
  <si>
    <t>Исполнение, %</t>
  </si>
  <si>
    <t>План</t>
  </si>
  <si>
    <t>Факт</t>
  </si>
  <si>
    <t>Местный бюджет</t>
  </si>
  <si>
    <t>1.</t>
  </si>
  <si>
    <t>2.1.</t>
  </si>
  <si>
    <t>2.</t>
  </si>
  <si>
    <t>2.2.</t>
  </si>
  <si>
    <t>2.3.</t>
  </si>
  <si>
    <t>2.5.</t>
  </si>
  <si>
    <t>2.6.</t>
  </si>
  <si>
    <t>3.</t>
  </si>
  <si>
    <t>3.1.</t>
  </si>
  <si>
    <t>3.2.</t>
  </si>
  <si>
    <t>3.3.</t>
  </si>
  <si>
    <t>3.4.</t>
  </si>
  <si>
    <t>3.5.</t>
  </si>
  <si>
    <t>3.6.</t>
  </si>
  <si>
    <t>3.7.</t>
  </si>
  <si>
    <t>3.8.</t>
  </si>
  <si>
    <t>3.9.</t>
  </si>
  <si>
    <t>3.10.</t>
  </si>
  <si>
    <t>4.</t>
  </si>
  <si>
    <t>4.1.</t>
  </si>
  <si>
    <t>4.2.</t>
  </si>
  <si>
    <t>4.3.</t>
  </si>
  <si>
    <t>4.4.</t>
  </si>
  <si>
    <t>4.5.</t>
  </si>
  <si>
    <t>4.6.</t>
  </si>
  <si>
    <t>5.</t>
  </si>
  <si>
    <t>5.1.</t>
  </si>
  <si>
    <t>5.2.</t>
  </si>
  <si>
    <t>5.3.</t>
  </si>
  <si>
    <t>5.4.</t>
  </si>
  <si>
    <t>5.5.</t>
  </si>
  <si>
    <t>6.</t>
  </si>
  <si>
    <t>6.1.</t>
  </si>
  <si>
    <t>6.3.</t>
  </si>
  <si>
    <t>7.</t>
  </si>
  <si>
    <t>7.1.</t>
  </si>
  <si>
    <t>7.2.</t>
  </si>
  <si>
    <t>7.3.</t>
  </si>
  <si>
    <t>Организация мероприятий, направленных на развитие воспитанников дошкольных образовательных организаций (ежегодный городской шахматный турнир «Алая ладья», соревнования «Губернаторские состязания», соревнования «Мы – спортивная семья» и др.) (1, 2, 3, 4, 5)</t>
  </si>
  <si>
    <t>Материальная поддержка воспитания и обучения детей, посещающих дошкольные образовательные организации (1, 2, 3, 4, 5)</t>
  </si>
  <si>
    <t>Создание безопасных условий доставки обучающихся на образовательные, культурно-массовые и спортивные мероприятия, к местам отдыха и обратно (обеспечение автобусным транспортом)  (6)</t>
  </si>
  <si>
    <t>Строительство, проведение капитального ремонта и реконструкции объектов образования (6, 7, 8, 9, 10,11)</t>
  </si>
  <si>
    <t>Обеспечение безопасных и комфортных условий обучения, в том числе устранение предписаний надзорных органов (6, 7, 8, 9, 10, 11)</t>
  </si>
  <si>
    <t>Информатизация системы образования  (8)</t>
  </si>
  <si>
    <t>Поддержка инновационной деятельности  образовательных организаций (проведение грантовых конкурсов, поддержка ресурсных центров и др.) (14, 18)</t>
  </si>
  <si>
    <t>Организация и проведение мероприятий по развитию талантливых  детей и молодежи (участие в муниципальных, региональных, федеральных  учебно-исследовательских и творческих мероприятиях: олимпиады, сессии, форумы, чемпионаты, конкурсы, слеты, профильные смены; награждение  с участием главы города Урай, Губернатора Ханты-Мансийского автономного округа - Югры, награждение именной премией общества с ограниченной ответственностью «ЛУКОЙЛ – Западная Сибирь»  учащихся общеобразовательных организаций за отличную учебу и примерное поведение, достижение значительных результатов в олимпиадах, смотрах и конкурсах и др.) (13, 16, 18)</t>
  </si>
  <si>
    <t>Организация и проведение городского бала выпускников и участие в бале выпускников регионального уровня (16, 18)</t>
  </si>
  <si>
    <t>Реализация мероприятий, направленных на гражданско-патриотическое воспитание  молодежи (16, 17, 18)</t>
  </si>
  <si>
    <t>Мероприятия по профилактике правонарушений правил дорожного движения (проведение  и участие в мероприятиях городского, окружного, федерального уровней), приобретение учебного оборудования по правилам дорожного движения (16, 18)</t>
  </si>
  <si>
    <t>Мероприятия, способствующие развитию детских органов самоуправления (проведение  и участие в мероприятиях городского, окружного, федерального уровней) (16, 18, 19)</t>
  </si>
  <si>
    <t>Персонифицированное финансирование дополнительного образования детей (12, 17)</t>
  </si>
  <si>
    <t>Расходы на обеспечение проведения государственной итоговой аттестации (15, 18)</t>
  </si>
  <si>
    <t>Создание условий для повышения компетенций педагогов в контексте национальной системы учительского роста (20)</t>
  </si>
  <si>
    <t>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 (20, 21)</t>
  </si>
  <si>
    <t>Конкурсы в сфере образования. Организация и проведение профессиональных праздников  (20, 21)</t>
  </si>
  <si>
    <t>Организация и участие в мероприятиях различного уровня, направленных на повышение квалификации специалистов  в сфере государственной молодежной политики (семинары, курсы повышения квалификации и др.) (20, 21)</t>
  </si>
  <si>
    <t>Мероприятия, направленные на формирование здорового образа жизни (проведение  и участие в мероприятиях городского, окружного, федерального уровней состязания, спартакиады и др.) (23)</t>
  </si>
  <si>
    <t>Мероприятия, направленные на повышение культуры безопасности, на снижение уровня детского травматизма и смертности несовершеннолетних от управляемых причин (проведение  и участие в мероприятиях городского, окружного, федерального уровней) (23)</t>
  </si>
  <si>
    <t>Обеспечение информирования обучающихся о неблагоприятных погодных условиях  (23)</t>
  </si>
  <si>
    <t>6.2.</t>
  </si>
  <si>
    <t>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 (конференции, форумы, сборы, походы, соревнования и др.) (24, 25, 26)</t>
  </si>
  <si>
    <t>Организация работы лагерей с дневным пребыванием детей и досуговых площадок (27)</t>
  </si>
  <si>
    <t>Организация выездного отдыха детей (27)</t>
  </si>
  <si>
    <t>Организация сплавов, походов (27)</t>
  </si>
  <si>
    <r>
      <t xml:space="preserve">Расходы на обеспечение деятельности (оказание услуг) муниципальных организаций  </t>
    </r>
    <r>
      <rPr>
        <b/>
        <sz val="9"/>
        <rFont val="Times New Roman"/>
        <family val="1"/>
        <charset val="204"/>
      </rPr>
      <t>дошкольного</t>
    </r>
    <r>
      <rPr>
        <sz val="9"/>
        <rFont val="Times New Roman"/>
        <family val="1"/>
        <charset val="204"/>
      </rPr>
      <t xml:space="preserve"> образования (1, 2, 3,.4, 5)</t>
    </r>
  </si>
  <si>
    <r>
      <t xml:space="preserve">Расходы на обеспечение деятельности (оказание услуг) муниципальных организаций  </t>
    </r>
    <r>
      <rPr>
        <b/>
        <sz val="9"/>
        <rFont val="Times New Roman"/>
        <family val="1"/>
        <charset val="204"/>
      </rPr>
      <t>дополнительного</t>
    </r>
    <r>
      <rPr>
        <sz val="9"/>
        <rFont val="Times New Roman"/>
        <family val="1"/>
        <charset val="204"/>
      </rPr>
      <t xml:space="preserve">  образования (12, 17)</t>
    </r>
  </si>
  <si>
    <t xml:space="preserve">№ </t>
  </si>
  <si>
    <t>Инвестиции в объекты муниципальной собственности</t>
  </si>
  <si>
    <t>Прочие расходы:</t>
  </si>
  <si>
    <t xml:space="preserve">В том числе: </t>
  </si>
  <si>
    <t xml:space="preserve">Соисполнитель 1
Муниципальное казенное учреждение «Управление капитального строительства города Урай»
</t>
  </si>
  <si>
    <t>Муниципальное казенное учреждение «Управление капитального строительства города Урай»</t>
  </si>
  <si>
    <t>Соисполнитель 2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 сводно-аналитический отдел администрации города Урай)</t>
  </si>
  <si>
    <t>И.В. Хусаинова</t>
  </si>
  <si>
    <t>тел.2-31-86 (822)</t>
  </si>
  <si>
    <t>Остатки прошлых лет</t>
  </si>
  <si>
    <t>2.3.1.</t>
  </si>
  <si>
    <t>2.3.2.</t>
  </si>
  <si>
    <t>2.3.3.</t>
  </si>
  <si>
    <t>Реализация основного мероприятия регионального проекта «Современная школа» (6, 7, 8, 9), в том числе:</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</si>
  <si>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(«Средняя школа в мкр. 1А (Общеобразовательная организация с универсальной безбарьерной средой))») (6, 7, 8, 9)</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</si>
  <si>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(«Школа в микрорайоне Земля Санникова (Общеобразовательная организация с универсальной безбарьерной средой)») (6, 7, 8, 9)</t>
  </si>
  <si>
    <t>Проведение ремонтных работ муниципальных образовательных организаций (6, 8)</t>
  </si>
  <si>
    <t>3.11.</t>
  </si>
  <si>
    <t>3.12.</t>
  </si>
  <si>
    <t>Реализация основного мероприятия регионального проекта «Современная школа». Расходы на обеспечение деятельности Центра образования цифрового и гуманитарного профилей "Точка роста" (12, 17)</t>
  </si>
  <si>
    <t>Реализация основного мероприятия регионального проекта «Успех каждого ребенка». Расходы на создание новых мест дополнительного образования детей (12, 17)</t>
  </si>
  <si>
    <t>1.4.</t>
  </si>
  <si>
    <t>1.3.</t>
  </si>
  <si>
    <t>3.7.1.</t>
  </si>
  <si>
    <r>
      <t>Расходы на обеспечение деятельности (оказание услуг) муниципальных о</t>
    </r>
    <r>
      <rPr>
        <b/>
        <sz val="9"/>
        <rFont val="Times New Roman"/>
        <family val="1"/>
        <charset val="204"/>
      </rPr>
      <t>бщеобразовательных</t>
    </r>
    <r>
      <rPr>
        <sz val="9"/>
        <rFont val="Times New Roman"/>
        <family val="1"/>
        <charset val="204"/>
      </rPr>
      <t xml:space="preserve"> организаций (13, 18), в том числе:</t>
    </r>
  </si>
  <si>
    <t>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(13, 18)</t>
  </si>
  <si>
    <t>5.5.1.</t>
  </si>
  <si>
    <t>Организация питания обучающихся в муниципальных общеобразовательных организациях (23), в том числе:</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</si>
  <si>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(23)</t>
  </si>
  <si>
    <t>Основные мероприятия муниципальной программы (их взаимосвязь с целевыми показателями муниципальной программы)</t>
  </si>
  <si>
    <t>Ответственный исполнитель / соисполнитель</t>
  </si>
  <si>
    <t>Финансовые затараты на реализацию (тыс.рублей)</t>
  </si>
  <si>
    <t>Расходы на обеспечение деятельности (оказание услуг) муниципального автономного учреждения города Урай «Ресурсный центр сиситемы образования» (20, 21, 22)</t>
  </si>
  <si>
    <t>Л.В. Зайцева</t>
  </si>
  <si>
    <t>1.1.1.</t>
  </si>
  <si>
    <t>Поддержка инновационной деятельности дошкольных образовательных организаций (проведение грантовых конкурсов и  др.), в том числе с применением механизма инициативного бюджетирования (1, 2, 3, 4, 5)</t>
  </si>
  <si>
    <t>Реализация инициативного проекта с применением механизма инициативного бюджетирования (1, 2, 3, 5)</t>
  </si>
  <si>
    <t>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(фестивали, форумы, конференции, конкурсы, встречи и др.). Награждение молодежи (выплата премий, стипендий, вознаграждений). В том числе с применением механизма инициативного бюджетирования (24)</t>
  </si>
  <si>
    <t>Реализация инициативных проектов с применением механизма инициативного бюджетирования (24)</t>
  </si>
  <si>
    <t>6.1.1.</t>
  </si>
  <si>
    <t xml:space="preserve">Ответственный исполнитель
Управление образования администрации города Урай
</t>
  </si>
  <si>
    <t>Расходы на обеспечение деятельности Управления образования администрации города Урай  (20, 21)</t>
  </si>
  <si>
    <t>Управление образования администрации города Урай</t>
  </si>
  <si>
    <t>Управление образования администрации города Урай; органы администрации города Урай: сводно-аналитический отдел администрации города Урай</t>
  </si>
  <si>
    <t>Управление образования администрации города Урай; муниципальное казенное учреждение «Управление капитального строительства города Урай»</t>
  </si>
  <si>
    <t>Управление образования администрации города Урай;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t>
  </si>
  <si>
    <t>6.4.</t>
  </si>
  <si>
    <t>Организация деятельности молодежных трудовых отрядов  (30)</t>
  </si>
  <si>
    <t>Управление внутренней политики администрации города Урай</t>
  </si>
  <si>
    <t>Управление образования администрации города Урай, управление внутренней политики администрации города Урай</t>
  </si>
  <si>
    <t>Управление образования администрации города Урай, управление по развитию местного самоуправления администрации города Урай, управление внутренней политики администрации города Урай</t>
  </si>
  <si>
    <t>Управление образования администрации города Урай, управление по развитию местного самоуправления администрации города Урай</t>
  </si>
  <si>
    <t>3.13.</t>
  </si>
  <si>
    <t xml:space="preserve">Реализация основного мероприятия регионального проекта «Патриотическое воспитание граждан Российской Федерации». 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t>
  </si>
  <si>
    <t>6.5.</t>
  </si>
  <si>
    <t>Расходы на обеспечение деятельности муниципального автономного учреждения молодежной политики города Урай "Центр молодежных и гражданских инициатив"</t>
  </si>
  <si>
    <t xml:space="preserve">Соисполнитель 3
Муниципальное казенное учреждение «Центр бухгалтерского учета города Урай»
</t>
  </si>
  <si>
    <t>Управление образования администрации города Урай; органы администрации города Урай: сводно-аналитический отдел администрации города Урай; муниципальное казенное учреждение «Управление капитального строительства города Урай»</t>
  </si>
  <si>
    <t>Управление образования администрации города Урай, муниципальное казенное учреждение «Центр бухгалтерского учета города Урай»</t>
  </si>
  <si>
    <t>Начальник Управления образования администрации города Урай</t>
  </si>
  <si>
    <t>Организация участия детей и молодежи в возрасте от 14 до 35 лет во всероссийских, окружных молодежных мероприятиях (24)</t>
  </si>
  <si>
    <t>Обеспечение персонифицированного финансирования дополнительного образования детей</t>
  </si>
  <si>
    <t>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</si>
  <si>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Участие в региональном этапе Всероссийского конкурса проф.мастерства в сфере образования ХМАО - Югры «Педагог года Югры-2023». </t>
  </si>
  <si>
    <t>Экономия по фактически сложившимся расходам на проведение спартакиады "Старты надежд"</t>
  </si>
  <si>
    <t>Проведение спартакиады "Старты надежд"</t>
  </si>
  <si>
    <t>Обеспечение обучающихся шести общеобразовательных организаций завтраками и обедами (в том числе льготная категория)</t>
  </si>
  <si>
    <t xml:space="preserve">Обеспечение обучающихся, получающих начальное общее образование, шести общеобразовательных организаций завтраками </t>
  </si>
  <si>
    <t xml:space="preserve">Проведение деловой игры "Лидер и его команда" </t>
  </si>
  <si>
    <t>Исполнение по фактически сложившимся расходам на оплату труда специалиста</t>
  </si>
  <si>
    <t xml:space="preserve">Неисполнение за счет дней, пропущенных учащимися по причине болезни </t>
  </si>
  <si>
    <t>Участие в окружных соревнованиях среди отрядов юных инспекторов дорожного движения «Безопасное колесо-2023»</t>
  </si>
  <si>
    <t>Экономия по итогам участия в окружных соревнованиях среди отрядов юных инспекторов дорожного движения «Безопасное колесо-2023»</t>
  </si>
  <si>
    <t>Экономия по итогам проведения деловой игры "Лидер и его команда"</t>
  </si>
  <si>
    <t>Организация работы медицинского класса на базе МБОУ СОШ №4</t>
  </si>
  <si>
    <t>Экономия по фактическим расходам на участие в региональном этапе Всероссийской олимпиады школьников. Экономия по итогам присвоения звания города Урай «Стипендиат главы города Урай»</t>
  </si>
  <si>
    <t xml:space="preserve">Организация и проведение военно-спортивной игры «Юнармейская Зарница». Проведение учебных сборов с юношами, проходящими подготовку по основам военной службы. Проведение поисковой экспедиции
</t>
  </si>
  <si>
    <t xml:space="preserve">Финансирование согласно фактически списанных средств с сертифиткатов в рамках заключенных договоров на предоставление дополнительного образования.   </t>
  </si>
  <si>
    <t xml:space="preserve">Обеспечение защиты каналов связи. Приобретение расходных материалов для проведения государственной итоговой аттестации. Выплата компенсации педагогам, привлекаемым к подготовке и проведению ГИА в пунктах проведения экзаменов. </t>
  </si>
  <si>
    <t>Проведение образовательно- развлекательной интеллектуальной игры "ГигаМозг", соревнований по киберспорту и городского фестиваля "ЖАРА"</t>
  </si>
  <si>
    <t>Во 2 квартале расходы произведены с учётом экономии плановых бюджетных ассигнований предыдущего периода (1 квартала) отчётного финансового года, сложившейся по результатам фактического исполнения текущих расходных обязательств.</t>
  </si>
  <si>
    <t>Организация питания в лагерях дневного пребывания детей в период весенних и летних каникул</t>
  </si>
  <si>
    <t>Организация работы лагеря дневного пребывания детей в период весенних и летних каникул</t>
  </si>
  <si>
    <t>Приобретение путевок для отдыха и оздоровление детей за пределами  города Урай (выездной отдых)</t>
  </si>
  <si>
    <t>Обеспечение организации каникулярного отдыха и оздоровление детей за пределами  города Урай (выездной отдых)</t>
  </si>
  <si>
    <t>Проведение работ по текущему ремонту и по обеспечению требований по антитеррористической защищенности образовательных организаций</t>
  </si>
  <si>
    <t>Исполнение по фактическим расходам на оплату труда, проживание и проезд экспертов региональных предметных комиссий при проведения ГИА</t>
  </si>
  <si>
    <t>Отклонение в связи с уточнением расходов и измеением порядка организации каникулярного отдыха и оздоровления детей (передача полномочий по организации МБУ ДО "ЦДО")</t>
  </si>
  <si>
    <t>Заявка города Урай на участие в отборе муниципальных образований ХМАО – Югры для предоставления субсидии из бюджета автономного округа на организацию деятельности молодежных трудовых отрядов в 2023 году не была признана победителем</t>
  </si>
  <si>
    <t>Во 2 квартале расходы произведены с учётом экономии плановых бюджетных ассигнований предыдущего периода (1 квартала) отчётного финансового года, сложившейся по результатам фактического исполнения текущих расходных обязательств.Отклонение по причине болезни детей</t>
  </si>
  <si>
    <t>Неисполнение плановых показателей по расходам на выплату ежемесячного денежного вознаграждения за классное руководство педагогическим работникам.в связи с больничными листами</t>
  </si>
  <si>
    <t>Неисполнение средств в связи с  фактическими расходами на организацию работы лагеря, питания в лагерях</t>
  </si>
  <si>
    <t>Обеспечение деятельности медицинского блока образовательных организаций   (23)</t>
  </si>
  <si>
    <t>Выплата компенсации части родительской платы за 9 месяцев 2023 года</t>
  </si>
  <si>
    <t>Участие в региональном этапе Всероссийской олимпиады школьников, в заключительном этапе юниорской олимпиады по защите информации «Ugra CTF School 2023», в полуфинале и финале региональной олимпиады школьников «Умники и умницы Югры», в детско-молодежном форуме «Джуниор-IT», в окружном турнире по шахаматам "Белая ладья". Награждение именными премиями ООО "ЛУКойл-Западная Сибирь" учащихся общеобразовательных организаций.  Проведение церемонии присвоения звания города Урай «Стипендиат главы города Урай»</t>
  </si>
  <si>
    <t>Выплата ежемесячного денежного вознаграждения за классное руководство педагогическим работникам за 9 месяцев 2023 года</t>
  </si>
  <si>
    <t>Обеспечение деятельности 6-ти общеобразовательных учреждений в части реализации стандарта (выплаты заработной платы, начислений на нее, учебных расходов) и информационного обеспечения в части доступа к образовательным ресурсам сети Интернет зза 9 месяцев 2023 года</t>
  </si>
  <si>
    <t>Обеспечение деятельности 6-ти общеобразовательных учреждений в части содержания зданий и сооружений и прочих общехозяйственных расходов за 9 месяцев 2023 года</t>
  </si>
  <si>
    <t>Обеспечение деятельности МБУ ДО "ЦДО" в части содержания зданий и сооружений и прочих общехозяйственных расходов за 9 месяцев 2023 года</t>
  </si>
  <si>
    <t>Обеспечение деятельности пяти дошкольных образовательных учреждений в части выполнения стандарта дошкольного образования  за 9 месяцев 2023 года</t>
  </si>
  <si>
    <t>Обеспечение деятельности пяти дошкольных образовательных учреждений в части содержания здания и прочих общехозяйственных расходов за 9 месяцев 2023 года</t>
  </si>
  <si>
    <t>Организация и проведение городского педагогического совещания</t>
  </si>
  <si>
    <t>Осуществление деятельности по выплате компенсации части родительской платы (администрирование) за 9 месяцев 2023 года</t>
  </si>
  <si>
    <t>Расходы по содержанию аппарата Управления образования и молодежной политики за 9 месяцев 2023 года</t>
  </si>
  <si>
    <t>Расходы по содержанию МАУ МП "ЦМИГИ" за 9 месяцев 2023 года и на выплаты по сокращению штата</t>
  </si>
  <si>
    <t>Расходы по содержанию МАУ МП "ЦМИГИ" за 9 месяцев 2023 года и на выплаты по сокращению штата. Проведение мероприятий среди молодежи города. Организация работы лагеря дневного пребывания детей в период весенних и летних каникул</t>
  </si>
  <si>
    <t>Участие выпускников 11 классов в "Бале лучших выпускников "Югры"</t>
  </si>
  <si>
    <t>Экономия по фактическим расходам на участие в "Бале лучших выпускников "Югры"</t>
  </si>
  <si>
    <t>Проведение проектной школы и конкурса молодежных проектов "Моя идея", городского молодежного форума "Развитие.Урай.Молодежь". Вручение ежегодной  молодежной премии Главы "Лауреат премии главы города"</t>
  </si>
  <si>
    <t>Неисполнение плановых показателей обусловлено отклоненинм по выплате ежегодной  молодежной премии Главы "Лауреат премии главы города"</t>
  </si>
  <si>
    <t>В 3 квартале расходы произведены с учётом экономии плановых бюджетных ассигнований предыдущего периода (1, 2 кварталов) отчётного финансового года, сложившейся по результатам фактического исполнения текущих расходных обязательств. Неисполнение в связи с наличием вакантных ставок</t>
  </si>
  <si>
    <t>Проведение инженерных изыскательных и проектных работ, негосударственной экспертизы проекта по объектам капитального ремонта МБДОУ детские сады №8,10</t>
  </si>
  <si>
    <t>Оплата авансового платежа по контракту на выполнение ПИР и СМР по объекту строительства "Средняя школа в мкр.1А (Общеобразовательная организация с  универсальной безбарьерной средой)"</t>
  </si>
  <si>
    <t>Отклонение в связи с нарушением подрядчиком сроков исполнения контракта по работам по гидроизоляции фундамента и устройству дренажной системы в МБДОУ "Детский сад №8 "Умка". Ведется притензионная работа</t>
  </si>
  <si>
    <t>Подрядной организацией не предоставлена независимая гарантия на увеличение суммы авансового платежа по контракту на работы по строительству школы, вследствии чего уплатить аванс не представляется возможным. После соблюдения процедуры оформления независимой гарантии денежные средства будут оплачены подрядной организации</t>
  </si>
  <si>
    <t>Проведение инженерных изыскательных и проектных работ, негосударственной экспертизы проекта по объектам капитального ремонта МБДОУ детские сады №8,10. Оплата авансового платежа по контракту на выполнение ПИР и СМР по объекту строительства "Средняя школа в мкр.1А (Общеобразовательная организация с  универсальной безбарьерной средой)"</t>
  </si>
  <si>
    <t>Отчет о ходе исполнения комплексного плана (сетевого графика) реализации муниципальной программы "Развитие образования и молодежной политики в городе Урай " на 2019-2030 годы за 9 месяцев.2023 года</t>
  </si>
  <si>
    <t>Исполняющий обязанности заместителя начальника-начальник отдела финансового планирования и правовых вопросов Управления образования администрации города Урай</t>
  </si>
  <si>
    <t>Е.Г. Городецких</t>
  </si>
  <si>
    <t>В 3 квартале расходы произведены с учётом экономии плановых бюджетных ассигнований предыдущего периода (2 квартала) отчётного финансового года, сложившейся по результатам фактического исполнения текущих расходных обязательств</t>
  </si>
  <si>
    <t>В 3 квартале расходы произведены с учётом экономии плановых бюджетных ассигнований предыдущего периода (1, 2 квартала) отчётного финансового года, сложившейся по результатам фактического исполнения текущих расходных обязательств</t>
  </si>
  <si>
    <t xml:space="preserve">Во 2, 3 кварталах расходы произведены с учётом экономии плановых бюджетных ассигнований предыдущего периода (1 квартала) отчётного финансового года, сложившейся по результатам фактического исполнения текущих расходных обязательств. Неисполнение плановых показателей по расходам на оплату труда работников в связи с большим количеством больничных листов </t>
  </si>
  <si>
    <t>Неисполнение плановых показателей по оплате льготного проезда, путевок и проезда санаторно-курортного лечения</t>
  </si>
  <si>
    <t>Неисполнение плановых показателей обусловлено отклоненинм по расходам на оплату труда работников в связи с большим количеством больничных листов, по расходам на оплату льготного проезда и по расходам на содержание здания МБУ ДО "ЦДО"</t>
  </si>
  <si>
    <t>Исполнение по фактическим расходам на организацию городского педагогического совещания</t>
  </si>
  <si>
    <t>Неисполнение средств в связи с отказом родителей от приобретения путевок в летние оздоровительные лагеря по причине продолжительности 3 смены с 14.08 по 02.09.2023 (охват детей по плану 199 чел., факт - 168 чел.)</t>
  </si>
  <si>
    <t>Неисполнение плановых показателей по выплате ежегодной молодежной премии Главы "Лауреат премии главы города".     . Отклонение по организация деятельности молодежных трудовых отрядов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</si>
</sst>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_р_._-;\-* #,##0.0_р_._-;_-* &quot;-&quot;??_р_._-;_-@_-"/>
    <numFmt numFmtId="165" formatCode="_-* #,##0.0_р_._-;\-* #,##0.0_р_._-;_-* &quot;-&quot;?_р_._-;_-@_-"/>
    <numFmt numFmtId="166" formatCode="_-* #,##0.000_р_._-;\-* #,##0.000_р_._-;_-* &quot;-&quot;??_р_._-;_-@_-"/>
    <numFmt numFmtId="167" formatCode="_(* #,##0.00_);_(* \(#,##0.00\);_(* &quot;-&quot;??_);_(@_)"/>
    <numFmt numFmtId="168" formatCode="0.0%"/>
    <numFmt numFmtId="169" formatCode="_-* #,##0.00000_р_._-;\-* #,##0.00000_р_._-;_-* &quot;-&quot;??_р_._-;_-@_-"/>
    <numFmt numFmtId="170" formatCode="_-* #,##0.0000_р_._-;\-* #,##0.0000_р_._-;_-* &quot;-&quot;??_р_._-;_-@_-"/>
  </numFmts>
  <fonts count="16" x14ac:knownFonts="1">
    <font>
      <sz val="11"/>
      <color theme="1"/>
      <name val="Calibri"/>
      <charset val="204"/>
      <scheme val="minor"/>
    </font>
    <font>
      <sz val="11"/>
      <name val="Calibri"/>
      <family val="2"/>
      <charset val="204"/>
      <scheme val="minor"/>
    </font>
    <font>
      <sz val="9"/>
      <name val="Times New Roman"/>
      <family val="1"/>
      <charset val="204"/>
    </font>
    <font>
      <sz val="8"/>
      <name val="Times New Roman"/>
      <family val="1"/>
      <charset val="204"/>
    </font>
    <font>
      <sz val="11"/>
      <color theme="1"/>
      <name val="Calibri"/>
      <family val="2"/>
      <charset val="204"/>
      <scheme val="minor"/>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sz val="11"/>
      <color theme="1"/>
      <name val="Calibri"/>
      <family val="2"/>
      <charset val="204"/>
      <scheme val="minor"/>
    </font>
    <font>
      <b/>
      <sz val="8"/>
      <name val="Times New Roman"/>
      <family val="1"/>
      <charset val="204"/>
    </font>
    <font>
      <b/>
      <sz val="9"/>
      <name val="Times New Roman"/>
      <family val="1"/>
      <charset val="204"/>
    </font>
    <font>
      <b/>
      <sz val="11"/>
      <name val="Times New Roman"/>
      <family val="1"/>
      <charset val="204"/>
    </font>
    <font>
      <b/>
      <sz val="10"/>
      <name val="Times New Roman"/>
      <family val="1"/>
      <charset val="204"/>
    </font>
    <font>
      <b/>
      <sz val="12"/>
      <name val="Times New Roman"/>
      <family val="1"/>
      <charset val="204"/>
    </font>
    <font>
      <sz val="9"/>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4">
    <xf numFmtId="0" fontId="0" fillId="0" borderId="0"/>
    <xf numFmtId="43" fontId="4" fillId="0" borderId="0" applyFont="0" applyFill="0" applyBorder="0" applyAlignment="0" applyProtection="0"/>
    <xf numFmtId="167" fontId="8" fillId="0" borderId="0" applyFont="0" applyFill="0" applyBorder="0" applyAlignment="0" applyProtection="0"/>
    <xf numFmtId="9" fontId="9" fillId="0" borderId="0" applyFont="0" applyFill="0" applyBorder="0" applyAlignment="0" applyProtection="0"/>
  </cellStyleXfs>
  <cellXfs count="156">
    <xf numFmtId="0" fontId="0" fillId="0" borderId="0" xfId="0"/>
    <xf numFmtId="164" fontId="3" fillId="2" borderId="1" xfId="1" applyNumberFormat="1" applyFont="1" applyFill="1" applyBorder="1" applyAlignment="1">
      <alignment horizontal="center" vertical="top" wrapText="1"/>
    </xf>
    <xf numFmtId="0" fontId="12" fillId="2" borderId="0" xfId="0" applyFont="1" applyFill="1" applyBorder="1" applyAlignment="1">
      <alignment horizontal="center"/>
    </xf>
    <xf numFmtId="0" fontId="1" fillId="2" borderId="0" xfId="0" applyFont="1" applyFill="1"/>
    <xf numFmtId="165"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5" fontId="11" fillId="2" borderId="0" xfId="0" applyNumberFormat="1" applyFont="1" applyFill="1" applyBorder="1" applyAlignment="1">
      <alignment horizontal="center"/>
    </xf>
    <xf numFmtId="165" fontId="10" fillId="2" borderId="0" xfId="0" applyNumberFormat="1" applyFont="1" applyFill="1" applyBorder="1" applyAlignment="1">
      <alignment horizontal="center"/>
    </xf>
    <xf numFmtId="0" fontId="12" fillId="2" borderId="8" xfId="0" applyFont="1" applyFill="1" applyBorder="1" applyAlignment="1">
      <alignment horizontal="center"/>
    </xf>
    <xf numFmtId="164" fontId="11" fillId="2" borderId="8" xfId="0" applyNumberFormat="1" applyFont="1" applyFill="1" applyBorder="1" applyAlignment="1">
      <alignment horizontal="center"/>
    </xf>
    <xf numFmtId="170" fontId="11" fillId="2" borderId="8" xfId="0" applyNumberFormat="1" applyFont="1" applyFill="1" applyBorder="1" applyAlignment="1">
      <alignment horizontal="center"/>
    </xf>
    <xf numFmtId="0" fontId="13" fillId="2" borderId="8" xfId="0" applyFont="1" applyFill="1" applyBorder="1" applyAlignment="1">
      <alignment horizontal="center"/>
    </xf>
    <xf numFmtId="165" fontId="13" fillId="2" borderId="8" xfId="0" applyNumberFormat="1" applyFont="1" applyFill="1" applyBorder="1" applyAlignment="1">
      <alignment horizontal="center"/>
    </xf>
    <xf numFmtId="164" fontId="10" fillId="2" borderId="8" xfId="0" applyNumberFormat="1" applyFont="1" applyFill="1" applyBorder="1" applyAlignment="1">
      <alignment horizontal="center"/>
    </xf>
    <xf numFmtId="164" fontId="12" fillId="2" borderId="8" xfId="0" applyNumberFormat="1" applyFont="1" applyFill="1" applyBorder="1" applyAlignment="1">
      <alignment horizontal="center"/>
    </xf>
    <xf numFmtId="165" fontId="10" fillId="2" borderId="8" xfId="0" applyNumberFormat="1" applyFont="1" applyFill="1" applyBorder="1" applyAlignment="1">
      <alignment horizontal="center"/>
    </xf>
    <xf numFmtId="165" fontId="11" fillId="2" borderId="8" xfId="0" applyNumberFormat="1" applyFont="1" applyFill="1" applyBorder="1" applyAlignment="1">
      <alignment horizontal="center"/>
    </xf>
    <xf numFmtId="0" fontId="7" fillId="2" borderId="8" xfId="0" applyFont="1" applyFill="1" applyBorder="1" applyAlignment="1">
      <alignment horizontal="right"/>
    </xf>
    <xf numFmtId="0" fontId="7" fillId="2" borderId="0" xfId="0" applyFont="1" applyFill="1" applyBorder="1" applyAlignment="1">
      <alignment horizontal="righ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left" vertical="top"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1" fillId="2" borderId="1" xfId="0" applyFont="1" applyFill="1" applyBorder="1"/>
    <xf numFmtId="0" fontId="1" fillId="2" borderId="0" xfId="0" applyFont="1" applyFill="1" applyBorder="1"/>
    <xf numFmtId="0" fontId="2" fillId="2" borderId="1" xfId="0" applyFont="1" applyFill="1" applyBorder="1" applyAlignment="1">
      <alignment horizontal="justify" vertical="top" wrapText="1"/>
    </xf>
    <xf numFmtId="168" fontId="3" fillId="2" borderId="1" xfId="3" applyNumberFormat="1" applyFont="1" applyFill="1" applyBorder="1" applyAlignment="1">
      <alignment horizontal="center" vertical="top" wrapText="1"/>
    </xf>
    <xf numFmtId="0" fontId="2" fillId="2" borderId="1" xfId="0" applyFont="1" applyFill="1" applyBorder="1" applyAlignment="1">
      <alignment vertical="top" wrapText="1"/>
    </xf>
    <xf numFmtId="0" fontId="2" fillId="2" borderId="4" xfId="0" applyFont="1" applyFill="1" applyBorder="1" applyAlignment="1">
      <alignment vertical="top" wrapText="1"/>
    </xf>
    <xf numFmtId="0" fontId="11" fillId="2" borderId="1" xfId="0" applyFont="1" applyFill="1" applyBorder="1" applyAlignment="1">
      <alignment horizontal="justify" vertical="top" wrapText="1"/>
    </xf>
    <xf numFmtId="164" fontId="10" fillId="2" borderId="1" xfId="1" applyNumberFormat="1" applyFont="1" applyFill="1" applyBorder="1" applyAlignment="1">
      <alignment horizontal="center" vertical="top" wrapText="1"/>
    </xf>
    <xf numFmtId="168" fontId="10" fillId="2" borderId="1" xfId="3"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65" fontId="1" fillId="2" borderId="1" xfId="0" applyNumberFormat="1" applyFont="1" applyFill="1" applyBorder="1"/>
    <xf numFmtId="0" fontId="2" fillId="2" borderId="1" xfId="0" applyNumberFormat="1" applyFont="1" applyFill="1" applyBorder="1" applyAlignment="1">
      <alignment horizontal="left" vertical="top" wrapText="1"/>
    </xf>
    <xf numFmtId="0" fontId="2" fillId="2" borderId="1" xfId="0" applyFont="1" applyFill="1" applyBorder="1" applyAlignment="1">
      <alignment wrapText="1"/>
    </xf>
    <xf numFmtId="43" fontId="3" fillId="2" borderId="1" xfId="1" applyFont="1" applyFill="1" applyBorder="1" applyAlignment="1">
      <alignment horizontal="center" vertical="top" wrapText="1"/>
    </xf>
    <xf numFmtId="170" fontId="3" fillId="2" borderId="1" xfId="1" applyNumberFormat="1" applyFont="1" applyFill="1" applyBorder="1" applyAlignment="1">
      <alignment horizontal="center" vertical="top" wrapText="1"/>
    </xf>
    <xf numFmtId="169" fontId="3"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xf>
    <xf numFmtId="14" fontId="2" fillId="2" borderId="1" xfId="0" applyNumberFormat="1" applyFont="1" applyFill="1" applyBorder="1" applyAlignment="1">
      <alignment horizontal="justify" vertical="top" wrapText="1"/>
    </xf>
    <xf numFmtId="164" fontId="10" fillId="2" borderId="1" xfId="1" applyNumberFormat="1" applyFont="1" applyFill="1" applyBorder="1" applyAlignment="1">
      <alignment horizontal="center" vertical="top"/>
    </xf>
    <xf numFmtId="0" fontId="2" fillId="2" borderId="1" xfId="0" applyFont="1" applyFill="1" applyBorder="1" applyAlignment="1">
      <alignment horizontal="justify" vertical="top"/>
    </xf>
    <xf numFmtId="0" fontId="2" fillId="2" borderId="1" xfId="0" applyFont="1" applyFill="1" applyBorder="1" applyAlignment="1">
      <alignment horizontal="left" vertical="top"/>
    </xf>
    <xf numFmtId="164" fontId="10" fillId="2" borderId="1" xfId="1" applyNumberFormat="1" applyFont="1" applyFill="1" applyBorder="1" applyAlignment="1">
      <alignment horizontal="justify" vertical="top" wrapText="1"/>
    </xf>
    <xf numFmtId="164" fontId="3" fillId="2" borderId="1" xfId="1" applyNumberFormat="1" applyFont="1" applyFill="1" applyBorder="1" applyAlignment="1">
      <alignment horizontal="justify" vertical="top" wrapText="1"/>
    </xf>
    <xf numFmtId="164" fontId="10" fillId="2" borderId="1" xfId="1" applyNumberFormat="1" applyFont="1" applyFill="1" applyBorder="1" applyAlignment="1">
      <alignment horizontal="justify" vertical="top"/>
    </xf>
    <xf numFmtId="0" fontId="3" fillId="2" borderId="1" xfId="0" applyFont="1" applyFill="1" applyBorder="1" applyAlignment="1">
      <alignment horizontal="justify" vertical="top" wrapText="1"/>
    </xf>
    <xf numFmtId="0" fontId="10" fillId="2" borderId="1" xfId="0" applyFont="1" applyFill="1" applyBorder="1" applyAlignment="1">
      <alignment vertical="top"/>
    </xf>
    <xf numFmtId="0" fontId="10" fillId="2" borderId="1" xfId="0" applyFont="1" applyFill="1" applyBorder="1" applyAlignment="1">
      <alignment vertical="top" wrapText="1"/>
    </xf>
    <xf numFmtId="0" fontId="2" fillId="2" borderId="4" xfId="0" applyFont="1" applyFill="1" applyBorder="1" applyAlignment="1">
      <alignment horizontal="left" vertical="top" wrapText="1"/>
    </xf>
    <xf numFmtId="164" fontId="11" fillId="2" borderId="1" xfId="1" applyNumberFormat="1" applyFont="1" applyFill="1" applyBorder="1" applyAlignment="1">
      <alignment horizontal="center" vertical="top" wrapText="1"/>
    </xf>
    <xf numFmtId="164" fontId="2" fillId="2" borderId="1" xfId="1" applyNumberFormat="1" applyFont="1" applyFill="1" applyBorder="1" applyAlignment="1">
      <alignment horizontal="center" vertical="top" wrapText="1"/>
    </xf>
    <xf numFmtId="166" fontId="7" fillId="2" borderId="0" xfId="1" applyNumberFormat="1" applyFont="1" applyFill="1" applyBorder="1" applyAlignment="1">
      <alignment vertical="center" wrapText="1"/>
    </xf>
    <xf numFmtId="166" fontId="6" fillId="2" borderId="0" xfId="1" applyNumberFormat="1" applyFont="1" applyFill="1" applyBorder="1" applyAlignment="1">
      <alignment horizontal="right" vertical="center"/>
    </xf>
    <xf numFmtId="0" fontId="6" fillId="2" borderId="0" xfId="0" applyFont="1" applyFill="1" applyAlignment="1">
      <alignment horizontal="justify"/>
    </xf>
    <xf numFmtId="165" fontId="15" fillId="2" borderId="0" xfId="0" applyNumberFormat="1" applyFont="1" applyFill="1"/>
    <xf numFmtId="166" fontId="6" fillId="2" borderId="0" xfId="1" applyNumberFormat="1" applyFont="1" applyFill="1" applyBorder="1" applyAlignment="1">
      <alignment vertical="center" wrapText="1"/>
    </xf>
    <xf numFmtId="166" fontId="6" fillId="2" borderId="0" xfId="1" applyNumberFormat="1" applyFont="1" applyFill="1" applyAlignment="1">
      <alignment vertical="center"/>
    </xf>
    <xf numFmtId="166" fontId="6" fillId="2" borderId="8" xfId="1" applyNumberFormat="1" applyFont="1" applyFill="1" applyBorder="1" applyAlignment="1">
      <alignment horizontal="left" vertical="center"/>
    </xf>
    <xf numFmtId="0" fontId="6" fillId="2" borderId="8" xfId="0" applyFont="1" applyFill="1" applyBorder="1" applyAlignment="1">
      <alignment vertical="center"/>
    </xf>
    <xf numFmtId="166" fontId="5" fillId="2" borderId="8" xfId="1" applyNumberFormat="1" applyFont="1" applyFill="1" applyBorder="1" applyAlignment="1">
      <alignment horizontal="left" vertical="center" wrapText="1"/>
    </xf>
    <xf numFmtId="166" fontId="5" fillId="2" borderId="0" xfId="1" applyNumberFormat="1" applyFont="1" applyFill="1" applyBorder="1" applyAlignment="1">
      <alignment horizontal="left" vertical="center" wrapText="1"/>
    </xf>
    <xf numFmtId="166" fontId="6" fillId="2" borderId="0" xfId="1" applyNumberFormat="1" applyFont="1" applyFill="1" applyAlignment="1">
      <alignment horizontal="left" vertical="center"/>
    </xf>
    <xf numFmtId="0" fontId="6" fillId="2" borderId="0" xfId="0" applyFont="1" applyFill="1" applyBorder="1" applyAlignment="1">
      <alignment vertical="center"/>
    </xf>
    <xf numFmtId="166" fontId="6" fillId="2" borderId="0" xfId="1" applyNumberFormat="1" applyFont="1" applyFill="1" applyBorder="1" applyAlignment="1">
      <alignment vertical="center"/>
    </xf>
    <xf numFmtId="166" fontId="7" fillId="2" borderId="0" xfId="1" applyNumberFormat="1" applyFont="1" applyFill="1" applyAlignment="1">
      <alignment vertical="center"/>
    </xf>
    <xf numFmtId="0" fontId="7" fillId="2" borderId="0" xfId="0" applyFont="1" applyFill="1" applyBorder="1" applyAlignment="1">
      <alignment vertical="center"/>
    </xf>
    <xf numFmtId="166" fontId="6" fillId="2" borderId="0" xfId="1" applyNumberFormat="1" applyFont="1" applyFill="1" applyAlignment="1">
      <alignment wrapText="1"/>
    </xf>
    <xf numFmtId="166" fontId="6" fillId="2" borderId="0" xfId="1" applyNumberFormat="1" applyFont="1" applyFill="1" applyAlignment="1"/>
    <xf numFmtId="166" fontId="6" fillId="2" borderId="8" xfId="1" applyNumberFormat="1" applyFont="1" applyFill="1" applyBorder="1" applyAlignment="1">
      <alignment horizontal="left"/>
    </xf>
    <xf numFmtId="0" fontId="6" fillId="2" borderId="8" xfId="0" applyFont="1" applyFill="1" applyBorder="1" applyAlignment="1"/>
    <xf numFmtId="166" fontId="6" fillId="2" borderId="8" xfId="0" applyNumberFormat="1" applyFont="1" applyFill="1" applyBorder="1" applyAlignment="1">
      <alignment horizontal="left"/>
    </xf>
    <xf numFmtId="166" fontId="6" fillId="2" borderId="0" xfId="0" applyNumberFormat="1" applyFont="1" applyFill="1" applyBorder="1" applyAlignment="1">
      <alignment horizontal="left"/>
    </xf>
    <xf numFmtId="166" fontId="6" fillId="2" borderId="0" xfId="1" applyNumberFormat="1" applyFont="1" applyFill="1" applyAlignment="1">
      <alignment horizontal="left"/>
    </xf>
    <xf numFmtId="166" fontId="6" fillId="2" borderId="0" xfId="1" applyNumberFormat="1" applyFont="1" applyFill="1" applyBorder="1" applyAlignment="1">
      <alignment horizontal="left"/>
    </xf>
    <xf numFmtId="0" fontId="6" fillId="2" borderId="0" xfId="0" applyFont="1" applyFill="1" applyBorder="1" applyAlignment="1"/>
    <xf numFmtId="166" fontId="6" fillId="2" borderId="0" xfId="1" applyNumberFormat="1" applyFont="1" applyFill="1" applyBorder="1" applyAlignment="1"/>
    <xf numFmtId="166" fontId="6" fillId="2" borderId="0" xfId="1" applyNumberFormat="1" applyFont="1" applyFill="1" applyAlignment="1">
      <alignment horizontal="right"/>
    </xf>
    <xf numFmtId="166" fontId="6" fillId="2" borderId="0" xfId="0" applyNumberFormat="1" applyFont="1" applyFill="1" applyBorder="1" applyAlignment="1">
      <alignment vertical="center"/>
    </xf>
    <xf numFmtId="166" fontId="7" fillId="2" borderId="0" xfId="1" applyNumberFormat="1" applyFont="1" applyFill="1" applyBorder="1" applyAlignment="1">
      <alignment vertical="center"/>
    </xf>
    <xf numFmtId="0" fontId="6" fillId="2" borderId="0" xfId="0" applyFont="1" applyFill="1" applyBorder="1"/>
    <xf numFmtId="0" fontId="6" fillId="2" borderId="0" xfId="0" applyFont="1" applyFill="1"/>
    <xf numFmtId="0" fontId="6" fillId="2" borderId="0" xfId="0" applyFont="1" applyFill="1" applyAlignment="1">
      <alignment horizontal="right"/>
    </xf>
    <xf numFmtId="166" fontId="2" fillId="2" borderId="0" xfId="1" applyNumberFormat="1" applyFont="1" applyFill="1" applyBorder="1" applyAlignment="1">
      <alignment horizontal="left" vertical="center"/>
    </xf>
    <xf numFmtId="166" fontId="2" fillId="2" borderId="0" xfId="1" applyNumberFormat="1" applyFont="1" applyFill="1" applyBorder="1" applyAlignment="1">
      <alignment horizontal="left" vertical="center" wrapText="1"/>
    </xf>
    <xf numFmtId="166" fontId="2" fillId="2" borderId="0" xfId="1" applyNumberFormat="1" applyFont="1" applyFill="1" applyAlignment="1">
      <alignment horizontal="left"/>
    </xf>
    <xf numFmtId="166" fontId="2" fillId="2" borderId="0" xfId="1" applyNumberFormat="1" applyFont="1" applyFill="1" applyAlignment="1">
      <alignment horizontal="right" vertical="center"/>
    </xf>
    <xf numFmtId="164" fontId="2" fillId="2" borderId="0" xfId="1" applyNumberFormat="1" applyFont="1" applyFill="1" applyAlignment="1">
      <alignment horizontal="right" vertical="center"/>
    </xf>
    <xf numFmtId="166" fontId="5" fillId="2" borderId="0" xfId="1" applyNumberFormat="1" applyFont="1" applyFill="1" applyAlignment="1">
      <alignment horizontal="right" vertical="center"/>
    </xf>
    <xf numFmtId="0" fontId="5" fillId="2" borderId="0" xfId="0" applyFont="1" applyFill="1" applyBorder="1" applyAlignment="1">
      <alignment vertical="center"/>
    </xf>
    <xf numFmtId="164" fontId="3" fillId="2" borderId="0" xfId="1" applyNumberFormat="1" applyFont="1" applyFill="1" applyAlignment="1">
      <alignment vertical="center"/>
    </xf>
    <xf numFmtId="164" fontId="2" fillId="2" borderId="0" xfId="1" applyNumberFormat="1" applyFont="1" applyFill="1" applyAlignment="1">
      <alignment vertical="center"/>
    </xf>
    <xf numFmtId="0" fontId="2" fillId="0" borderId="1" xfId="0" applyFont="1" applyFill="1" applyBorder="1" applyAlignment="1">
      <alignment horizontal="left" vertical="top" wrapText="1"/>
    </xf>
    <xf numFmtId="0" fontId="2" fillId="2" borderId="2" xfId="0" applyFont="1" applyFill="1" applyBorder="1" applyAlignment="1">
      <alignment horizontal="left" vertical="top" wrapText="1" shrinkToFit="1"/>
    </xf>
    <xf numFmtId="0" fontId="2" fillId="2" borderId="3" xfId="0" applyFont="1" applyFill="1" applyBorder="1" applyAlignment="1">
      <alignment horizontal="left" vertical="top" wrapText="1" shrinkToFit="1"/>
    </xf>
    <xf numFmtId="0" fontId="2" fillId="2" borderId="4" xfId="0" applyFont="1" applyFill="1" applyBorder="1" applyAlignment="1">
      <alignment horizontal="left" vertical="top" wrapText="1" shrinkToFi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5" xfId="0" applyFont="1" applyFill="1" applyBorder="1" applyAlignment="1">
      <alignment horizontal="left" vertical="top" wrapText="1"/>
    </xf>
    <xf numFmtId="166" fontId="2" fillId="2" borderId="0" xfId="1" applyNumberFormat="1" applyFont="1" applyFill="1" applyBorder="1" applyAlignment="1">
      <alignment horizontal="left" vertical="center" wrapText="1"/>
    </xf>
    <xf numFmtId="0" fontId="10"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5"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11" fillId="2" borderId="1" xfId="0" applyFont="1" applyFill="1" applyBorder="1" applyAlignment="1">
      <alignment horizontal="left" vertical="top" wrapText="1"/>
    </xf>
    <xf numFmtId="0" fontId="11" fillId="2" borderId="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5" xfId="0" applyFont="1" applyFill="1" applyBorder="1" applyAlignment="1">
      <alignment horizontal="left" vertical="top" wrapText="1"/>
    </xf>
    <xf numFmtId="0" fontId="12" fillId="2"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 fontId="2" fillId="2" borderId="1" xfId="0" applyNumberFormat="1" applyFont="1" applyFill="1" applyBorder="1" applyAlignment="1">
      <alignment horizontal="left" vertical="top" wrapText="1"/>
    </xf>
  </cellXfs>
  <cellStyles count="4">
    <cellStyle name="Обычный" xfId="0" builtinId="0"/>
    <cellStyle name="Процентный" xfId="3" builtinId="5"/>
    <cellStyle name="Финансовый" xfId="1" builtinId="3"/>
    <cellStyle name="Финансовый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BE343"/>
  <sheetViews>
    <sheetView tabSelected="1" zoomScale="120" zoomScaleNormal="120" zoomScaleSheetLayoutView="80" workbookViewId="0">
      <pane xSplit="7" ySplit="7" topLeftCell="H8" activePane="bottomRight" state="frozen"/>
      <selection pane="topRight" activeCell="H1" sqref="H1"/>
      <selection pane="bottomLeft" activeCell="A8" sqref="A8"/>
      <selection pane="bottomRight" activeCell="AT329" sqref="AT329"/>
    </sheetView>
  </sheetViews>
  <sheetFormatPr defaultColWidth="9.140625" defaultRowHeight="15" x14ac:dyDescent="0.25"/>
  <cols>
    <col min="1" max="1" width="4.5703125" style="3" customWidth="1"/>
    <col min="2" max="2" width="42.7109375" style="3" customWidth="1"/>
    <col min="3" max="3" width="25.140625" style="3" customWidth="1"/>
    <col min="4" max="4" width="23.28515625" style="3" customWidth="1"/>
    <col min="5" max="5" width="10.85546875" style="3" bestFit="1" customWidth="1"/>
    <col min="6" max="6" width="10.140625" style="3" customWidth="1"/>
    <col min="7" max="7" width="7" style="3" customWidth="1"/>
    <col min="8" max="8" width="8.5703125" style="3" customWidth="1"/>
    <col min="9" max="9" width="8.7109375" style="3" bestFit="1" customWidth="1"/>
    <col min="10" max="10" width="7.140625" style="3" customWidth="1"/>
    <col min="11" max="11" width="9.28515625" style="3" customWidth="1"/>
    <col min="12" max="12" width="9.42578125" style="3" customWidth="1"/>
    <col min="13" max="13" width="6.85546875" style="3" customWidth="1"/>
    <col min="14" max="14" width="9.5703125" style="3" customWidth="1"/>
    <col min="15" max="15" width="9.42578125" style="3" customWidth="1"/>
    <col min="16" max="16" width="6.85546875" style="3" customWidth="1"/>
    <col min="17" max="17" width="9" style="3" customWidth="1"/>
    <col min="18" max="18" width="8.7109375" style="3" customWidth="1"/>
    <col min="19" max="19" width="6.7109375" style="3" customWidth="1"/>
    <col min="20" max="21" width="8.85546875" style="3" customWidth="1"/>
    <col min="22" max="22" width="7.140625" style="3" customWidth="1"/>
    <col min="23" max="23" width="8.85546875" style="3" customWidth="1"/>
    <col min="24" max="24" width="9.140625" style="3" customWidth="1"/>
    <col min="25" max="25" width="7" style="3" customWidth="1"/>
    <col min="26" max="26" width="8.5703125" style="3" customWidth="1"/>
    <col min="27" max="27" width="8.85546875" style="3" customWidth="1"/>
    <col min="28" max="28" width="8" style="3" customWidth="1"/>
    <col min="29" max="29" width="8.28515625" style="3" customWidth="1"/>
    <col min="30" max="30" width="8.140625" style="3" customWidth="1"/>
    <col min="31" max="31" width="7" style="3" customWidth="1"/>
    <col min="32" max="32" width="9.140625" style="3" customWidth="1"/>
    <col min="33" max="33" width="8.7109375" style="3" customWidth="1"/>
    <col min="34" max="34" width="7.42578125" style="3" customWidth="1"/>
    <col min="35" max="35" width="9.5703125" style="3" bestFit="1" customWidth="1"/>
    <col min="36" max="36" width="8" style="3" hidden="1" customWidth="1"/>
    <col min="37" max="37" width="6.7109375" style="3" hidden="1" customWidth="1"/>
    <col min="38" max="38" width="9.42578125" style="3" customWidth="1"/>
    <col min="39" max="39" width="8.28515625" style="3" hidden="1" customWidth="1"/>
    <col min="40" max="40" width="6.7109375" style="3" hidden="1" customWidth="1"/>
    <col min="41" max="41" width="8.85546875" style="3" customWidth="1"/>
    <col min="42" max="42" width="6.28515625" style="3" hidden="1" customWidth="1"/>
    <col min="43" max="43" width="6.7109375" style="3" hidden="1" customWidth="1"/>
    <col min="44" max="44" width="27.5703125" style="3" customWidth="1"/>
    <col min="45" max="45" width="28.85546875" style="3" customWidth="1"/>
    <col min="46" max="16384" width="9.140625" style="3"/>
  </cols>
  <sheetData>
    <row r="1" spans="1:45" x14ac:dyDescent="0.25">
      <c r="A1" s="147" t="s">
        <v>226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spans="1:45" x14ac:dyDescent="0.25">
      <c r="A2" s="2"/>
      <c r="B2" s="2"/>
      <c r="C2" s="4"/>
      <c r="D2" s="5"/>
      <c r="E2" s="4"/>
      <c r="F2" s="2"/>
      <c r="G2" s="2"/>
      <c r="H2" s="2"/>
      <c r="I2" s="2"/>
      <c r="J2" s="2"/>
      <c r="K2" s="2"/>
      <c r="L2" s="2"/>
      <c r="M2" s="2"/>
      <c r="N2" s="2"/>
      <c r="O2" s="2"/>
      <c r="P2" s="2"/>
      <c r="Q2" s="2"/>
      <c r="R2" s="2"/>
      <c r="S2" s="2"/>
      <c r="T2" s="2"/>
      <c r="U2" s="6"/>
      <c r="V2" s="2"/>
      <c r="W2" s="2"/>
      <c r="X2" s="2"/>
      <c r="Y2" s="2"/>
      <c r="Z2" s="2"/>
      <c r="AA2" s="2"/>
      <c r="AB2" s="2"/>
      <c r="AC2" s="2"/>
      <c r="AD2" s="2"/>
      <c r="AE2" s="2"/>
      <c r="AF2" s="2"/>
      <c r="AG2" s="2"/>
      <c r="AH2" s="2"/>
      <c r="AI2" s="2"/>
      <c r="AJ2" s="7">
        <f>AI26-AJ26</f>
        <v>49545.1</v>
      </c>
      <c r="AK2" s="2"/>
      <c r="AL2" s="2"/>
      <c r="AM2" s="2"/>
      <c r="AN2" s="2"/>
      <c r="AO2" s="2"/>
      <c r="AP2" s="2"/>
      <c r="AQ2" s="2"/>
      <c r="AR2" s="2"/>
      <c r="AS2" s="2"/>
    </row>
    <row r="3" spans="1:45" x14ac:dyDescent="0.25">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row>
    <row r="4" spans="1:45" x14ac:dyDescent="0.25">
      <c r="A4" s="8"/>
      <c r="B4" s="8"/>
      <c r="C4" s="8"/>
      <c r="D4" s="8"/>
      <c r="E4" s="9"/>
      <c r="F4" s="10"/>
      <c r="G4" s="9"/>
      <c r="H4" s="11"/>
      <c r="I4" s="12"/>
      <c r="J4" s="11"/>
      <c r="K4" s="13"/>
      <c r="L4" s="13">
        <f>L222-K222</f>
        <v>0</v>
      </c>
      <c r="M4" s="14"/>
      <c r="N4" s="8"/>
      <c r="O4" s="8"/>
      <c r="P4" s="8"/>
      <c r="Q4" s="9"/>
      <c r="R4" s="9"/>
      <c r="S4" s="15"/>
      <c r="T4" s="8"/>
      <c r="U4" s="8"/>
      <c r="V4" s="8"/>
      <c r="W4" s="16"/>
      <c r="X4" s="8"/>
      <c r="Y4" s="8"/>
      <c r="Z4" s="8"/>
      <c r="AA4" s="15"/>
      <c r="AB4" s="8"/>
      <c r="AC4" s="8"/>
      <c r="AD4" s="8"/>
      <c r="AE4" s="8"/>
      <c r="AF4" s="8"/>
      <c r="AG4" s="8"/>
      <c r="AH4" s="8"/>
      <c r="AI4" s="8"/>
      <c r="AJ4" s="8"/>
      <c r="AK4" s="8"/>
      <c r="AL4" s="8"/>
      <c r="AM4" s="8"/>
      <c r="AN4" s="8"/>
      <c r="AO4" s="17"/>
      <c r="AP4" s="18"/>
      <c r="AQ4" s="18"/>
    </row>
    <row r="5" spans="1:45" ht="19.149999999999999" customHeight="1" x14ac:dyDescent="0.25">
      <c r="A5" s="148" t="s">
        <v>110</v>
      </c>
      <c r="B5" s="148" t="s">
        <v>139</v>
      </c>
      <c r="C5" s="148" t="s">
        <v>140</v>
      </c>
      <c r="D5" s="148" t="s">
        <v>0</v>
      </c>
      <c r="E5" s="148" t="s">
        <v>141</v>
      </c>
      <c r="F5" s="148"/>
      <c r="G5" s="148"/>
      <c r="H5" s="149" t="s">
        <v>34</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1"/>
      <c r="AR5" s="152" t="s">
        <v>35</v>
      </c>
      <c r="AS5" s="152" t="s">
        <v>36</v>
      </c>
    </row>
    <row r="6" spans="1:45" ht="19.899999999999999" customHeight="1" x14ac:dyDescent="0.25">
      <c r="A6" s="148"/>
      <c r="B6" s="148"/>
      <c r="C6" s="148"/>
      <c r="D6" s="148"/>
      <c r="E6" s="148"/>
      <c r="F6" s="148"/>
      <c r="G6" s="148"/>
      <c r="H6" s="148" t="s">
        <v>22</v>
      </c>
      <c r="I6" s="148"/>
      <c r="J6" s="148"/>
      <c r="K6" s="148" t="s">
        <v>23</v>
      </c>
      <c r="L6" s="148"/>
      <c r="M6" s="148"/>
      <c r="N6" s="148" t="s">
        <v>24</v>
      </c>
      <c r="O6" s="148"/>
      <c r="P6" s="148"/>
      <c r="Q6" s="148" t="s">
        <v>25</v>
      </c>
      <c r="R6" s="148"/>
      <c r="S6" s="148"/>
      <c r="T6" s="148" t="s">
        <v>26</v>
      </c>
      <c r="U6" s="148"/>
      <c r="V6" s="148"/>
      <c r="W6" s="148" t="s">
        <v>27</v>
      </c>
      <c r="X6" s="148"/>
      <c r="Y6" s="148"/>
      <c r="Z6" s="148" t="s">
        <v>28</v>
      </c>
      <c r="AA6" s="148"/>
      <c r="AB6" s="148"/>
      <c r="AC6" s="148" t="s">
        <v>29</v>
      </c>
      <c r="AD6" s="148"/>
      <c r="AE6" s="148"/>
      <c r="AF6" s="148" t="s">
        <v>30</v>
      </c>
      <c r="AG6" s="148"/>
      <c r="AH6" s="148"/>
      <c r="AI6" s="148" t="s">
        <v>31</v>
      </c>
      <c r="AJ6" s="148"/>
      <c r="AK6" s="148"/>
      <c r="AL6" s="148" t="s">
        <v>32</v>
      </c>
      <c r="AM6" s="148"/>
      <c r="AN6" s="148"/>
      <c r="AO6" s="148" t="s">
        <v>33</v>
      </c>
      <c r="AP6" s="148"/>
      <c r="AQ6" s="148"/>
      <c r="AR6" s="153"/>
      <c r="AS6" s="153"/>
    </row>
    <row r="7" spans="1:45" ht="23.45" customHeight="1" x14ac:dyDescent="0.25">
      <c r="A7" s="148"/>
      <c r="B7" s="148"/>
      <c r="C7" s="148"/>
      <c r="D7" s="148"/>
      <c r="E7" s="19" t="s">
        <v>41</v>
      </c>
      <c r="F7" s="19" t="s">
        <v>42</v>
      </c>
      <c r="G7" s="20" t="s">
        <v>40</v>
      </c>
      <c r="H7" s="19" t="s">
        <v>41</v>
      </c>
      <c r="I7" s="19" t="s">
        <v>42</v>
      </c>
      <c r="J7" s="20" t="s">
        <v>40</v>
      </c>
      <c r="K7" s="19" t="s">
        <v>41</v>
      </c>
      <c r="L7" s="19" t="s">
        <v>42</v>
      </c>
      <c r="M7" s="20" t="s">
        <v>40</v>
      </c>
      <c r="N7" s="19" t="s">
        <v>41</v>
      </c>
      <c r="O7" s="19" t="s">
        <v>42</v>
      </c>
      <c r="P7" s="20" t="s">
        <v>40</v>
      </c>
      <c r="Q7" s="19" t="s">
        <v>41</v>
      </c>
      <c r="R7" s="19" t="s">
        <v>42</v>
      </c>
      <c r="S7" s="20" t="s">
        <v>40</v>
      </c>
      <c r="T7" s="19" t="s">
        <v>41</v>
      </c>
      <c r="U7" s="19" t="s">
        <v>42</v>
      </c>
      <c r="V7" s="20" t="s">
        <v>40</v>
      </c>
      <c r="W7" s="19" t="s">
        <v>41</v>
      </c>
      <c r="X7" s="19" t="s">
        <v>42</v>
      </c>
      <c r="Y7" s="20" t="s">
        <v>40</v>
      </c>
      <c r="Z7" s="19" t="s">
        <v>41</v>
      </c>
      <c r="AA7" s="19" t="s">
        <v>42</v>
      </c>
      <c r="AB7" s="20" t="s">
        <v>40</v>
      </c>
      <c r="AC7" s="19" t="s">
        <v>41</v>
      </c>
      <c r="AD7" s="19" t="s">
        <v>42</v>
      </c>
      <c r="AE7" s="20" t="s">
        <v>40</v>
      </c>
      <c r="AF7" s="19" t="s">
        <v>41</v>
      </c>
      <c r="AG7" s="19" t="s">
        <v>42</v>
      </c>
      <c r="AH7" s="20" t="s">
        <v>40</v>
      </c>
      <c r="AI7" s="19" t="s">
        <v>41</v>
      </c>
      <c r="AJ7" s="19" t="s">
        <v>42</v>
      </c>
      <c r="AK7" s="20" t="s">
        <v>40</v>
      </c>
      <c r="AL7" s="19" t="s">
        <v>41</v>
      </c>
      <c r="AM7" s="19" t="s">
        <v>42</v>
      </c>
      <c r="AN7" s="20" t="s">
        <v>40</v>
      </c>
      <c r="AO7" s="19" t="s">
        <v>41</v>
      </c>
      <c r="AP7" s="19" t="s">
        <v>42</v>
      </c>
      <c r="AQ7" s="20" t="s">
        <v>40</v>
      </c>
      <c r="AR7" s="154"/>
      <c r="AS7" s="154"/>
    </row>
    <row r="8" spans="1:45" ht="13.15" customHeight="1" x14ac:dyDescent="0.25">
      <c r="A8" s="21" t="s">
        <v>44</v>
      </c>
      <c r="B8" s="22" t="s">
        <v>2</v>
      </c>
      <c r="C8" s="22"/>
      <c r="D8" s="22"/>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2"/>
      <c r="AQ8" s="22"/>
      <c r="AR8" s="24"/>
      <c r="AS8" s="24"/>
    </row>
    <row r="9" spans="1:45" ht="13.15" customHeight="1" x14ac:dyDescent="0.25">
      <c r="A9" s="101" t="s">
        <v>1</v>
      </c>
      <c r="B9" s="101" t="s">
        <v>145</v>
      </c>
      <c r="C9" s="101" t="s">
        <v>152</v>
      </c>
      <c r="D9" s="26" t="s">
        <v>3</v>
      </c>
      <c r="E9" s="1">
        <f>H9+K9+N9+Q9+T9+W9+Z9+AC9+AF9+AI9+AL9+AO9</f>
        <v>0</v>
      </c>
      <c r="F9" s="1">
        <f>I9+L9+O9+R9+U9+X9+AA9+AD9+AG9+AJ9+AM9+AP9</f>
        <v>0</v>
      </c>
      <c r="G9" s="1"/>
      <c r="H9" s="1">
        <f>H10+H11+H12+H13</f>
        <v>0</v>
      </c>
      <c r="I9" s="1"/>
      <c r="J9" s="1"/>
      <c r="K9" s="1">
        <f t="shared" ref="K9:AO9" si="0">K10+K11+K12+K13</f>
        <v>0</v>
      </c>
      <c r="L9" s="1"/>
      <c r="M9" s="1"/>
      <c r="N9" s="1">
        <f t="shared" si="0"/>
        <v>0</v>
      </c>
      <c r="O9" s="1"/>
      <c r="P9" s="1"/>
      <c r="Q9" s="1">
        <f t="shared" si="0"/>
        <v>0</v>
      </c>
      <c r="R9" s="1">
        <f t="shared" si="0"/>
        <v>0</v>
      </c>
      <c r="S9" s="1"/>
      <c r="T9" s="1">
        <f t="shared" si="0"/>
        <v>0</v>
      </c>
      <c r="U9" s="1">
        <f t="shared" si="0"/>
        <v>0</v>
      </c>
      <c r="V9" s="1"/>
      <c r="W9" s="1">
        <f t="shared" si="0"/>
        <v>0</v>
      </c>
      <c r="X9" s="1">
        <f t="shared" si="0"/>
        <v>0</v>
      </c>
      <c r="Y9" s="1"/>
      <c r="Z9" s="1">
        <f t="shared" si="0"/>
        <v>0</v>
      </c>
      <c r="AA9" s="1">
        <f t="shared" si="0"/>
        <v>0</v>
      </c>
      <c r="AB9" s="1"/>
      <c r="AC9" s="1">
        <f t="shared" si="0"/>
        <v>0</v>
      </c>
      <c r="AD9" s="1">
        <f t="shared" si="0"/>
        <v>0</v>
      </c>
      <c r="AE9" s="1"/>
      <c r="AF9" s="1">
        <f t="shared" si="0"/>
        <v>0</v>
      </c>
      <c r="AG9" s="1">
        <f t="shared" si="0"/>
        <v>0</v>
      </c>
      <c r="AH9" s="1"/>
      <c r="AI9" s="1">
        <f t="shared" si="0"/>
        <v>0</v>
      </c>
      <c r="AJ9" s="1"/>
      <c r="AK9" s="1"/>
      <c r="AL9" s="1">
        <f t="shared" si="0"/>
        <v>0</v>
      </c>
      <c r="AM9" s="1">
        <f t="shared" si="0"/>
        <v>0</v>
      </c>
      <c r="AN9" s="1"/>
      <c r="AO9" s="1">
        <f t="shared" si="0"/>
        <v>0</v>
      </c>
      <c r="AP9" s="1"/>
      <c r="AQ9" s="1"/>
      <c r="AR9" s="24"/>
      <c r="AS9" s="24"/>
    </row>
    <row r="10" spans="1:45" x14ac:dyDescent="0.25">
      <c r="A10" s="101"/>
      <c r="B10" s="101"/>
      <c r="C10" s="101"/>
      <c r="D10" s="26" t="s">
        <v>20</v>
      </c>
      <c r="E10" s="1">
        <f t="shared" ref="E10:F33" si="1">H10+K10+N10+Q10+T10+W10+Z10+AC10+AF10+AI10+AL10+AO10</f>
        <v>0</v>
      </c>
      <c r="F10" s="1">
        <f t="shared" si="1"/>
        <v>0</v>
      </c>
      <c r="G10" s="27"/>
      <c r="H10" s="1"/>
      <c r="I10" s="1"/>
      <c r="J10" s="1"/>
      <c r="K10" s="1"/>
      <c r="L10" s="1"/>
      <c r="M10" s="1"/>
      <c r="N10" s="1"/>
      <c r="O10" s="1"/>
      <c r="P10" s="1"/>
      <c r="Q10" s="1"/>
      <c r="R10" s="1"/>
      <c r="S10" s="27"/>
      <c r="T10" s="1"/>
      <c r="U10" s="1"/>
      <c r="V10" s="1"/>
      <c r="W10" s="1"/>
      <c r="X10" s="1"/>
      <c r="Y10" s="27"/>
      <c r="Z10" s="1"/>
      <c r="AA10" s="1"/>
      <c r="AB10" s="1"/>
      <c r="AC10" s="1"/>
      <c r="AD10" s="1"/>
      <c r="AE10" s="27"/>
      <c r="AF10" s="1"/>
      <c r="AG10" s="1"/>
      <c r="AH10" s="1"/>
      <c r="AI10" s="1"/>
      <c r="AJ10" s="1"/>
      <c r="AK10" s="1"/>
      <c r="AL10" s="1"/>
      <c r="AM10" s="1"/>
      <c r="AN10" s="1"/>
      <c r="AO10" s="1"/>
      <c r="AP10" s="1"/>
      <c r="AQ10" s="1"/>
      <c r="AR10" s="24"/>
      <c r="AS10" s="24"/>
    </row>
    <row r="11" spans="1:45" ht="24" x14ac:dyDescent="0.25">
      <c r="A11" s="101"/>
      <c r="B11" s="101"/>
      <c r="C11" s="101"/>
      <c r="D11" s="26" t="s">
        <v>4</v>
      </c>
      <c r="E11" s="1">
        <f t="shared" si="1"/>
        <v>0</v>
      </c>
      <c r="F11" s="1">
        <f t="shared" si="1"/>
        <v>0</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28"/>
      <c r="AS11" s="98"/>
    </row>
    <row r="12" spans="1:45" x14ac:dyDescent="0.25">
      <c r="A12" s="101"/>
      <c r="B12" s="101"/>
      <c r="C12" s="101"/>
      <c r="D12" s="26" t="s">
        <v>43</v>
      </c>
      <c r="E12" s="1">
        <f t="shared" si="1"/>
        <v>0</v>
      </c>
      <c r="F12" s="1">
        <f t="shared" si="1"/>
        <v>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24"/>
      <c r="AS12" s="100"/>
    </row>
    <row r="13" spans="1:45" x14ac:dyDescent="0.25">
      <c r="A13" s="101"/>
      <c r="B13" s="101"/>
      <c r="C13" s="101"/>
      <c r="D13" s="26" t="s">
        <v>21</v>
      </c>
      <c r="E13" s="1">
        <f t="shared" si="1"/>
        <v>0</v>
      </c>
      <c r="F13" s="1">
        <f t="shared" si="1"/>
        <v>0</v>
      </c>
      <c r="G13" s="27"/>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24"/>
      <c r="AS13" s="24"/>
    </row>
    <row r="14" spans="1:45" ht="13.15" customHeight="1" x14ac:dyDescent="0.25">
      <c r="A14" s="137" t="s">
        <v>144</v>
      </c>
      <c r="B14" s="101" t="s">
        <v>146</v>
      </c>
      <c r="C14" s="101" t="s">
        <v>152</v>
      </c>
      <c r="D14" s="26" t="s">
        <v>3</v>
      </c>
      <c r="E14" s="1">
        <f>H14+K14+N14+Q14+T14+W14+Z14+AC14+AF14+AI14+AL14+AO14</f>
        <v>0</v>
      </c>
      <c r="F14" s="1">
        <f>I14+L14+O14+R14+U14+X14+AA14+AD14+AG14+AJ14+AM14+AP14</f>
        <v>0</v>
      </c>
      <c r="G14" s="1"/>
      <c r="H14" s="1">
        <f>H15+H16+H17+H18</f>
        <v>0</v>
      </c>
      <c r="I14" s="1"/>
      <c r="J14" s="1"/>
      <c r="K14" s="1">
        <f t="shared" ref="K14" si="2">K15+K16+K17+K18</f>
        <v>0</v>
      </c>
      <c r="L14" s="1"/>
      <c r="M14" s="1"/>
      <c r="N14" s="1">
        <f t="shared" ref="N14" si="3">N15+N16+N17+N18</f>
        <v>0</v>
      </c>
      <c r="O14" s="1"/>
      <c r="P14" s="1"/>
      <c r="Q14" s="1">
        <f t="shared" ref="Q14:R14" si="4">Q15+Q16+Q17+Q18</f>
        <v>0</v>
      </c>
      <c r="R14" s="1">
        <f t="shared" si="4"/>
        <v>0</v>
      </c>
      <c r="S14" s="1"/>
      <c r="T14" s="1">
        <f t="shared" ref="T14:U14" si="5">T15+T16+T17+T18</f>
        <v>0</v>
      </c>
      <c r="U14" s="1">
        <f t="shared" si="5"/>
        <v>0</v>
      </c>
      <c r="V14" s="1"/>
      <c r="W14" s="1">
        <f t="shared" ref="W14:X14" si="6">W15+W16+W17+W18</f>
        <v>0</v>
      </c>
      <c r="X14" s="1">
        <f t="shared" si="6"/>
        <v>0</v>
      </c>
      <c r="Y14" s="1"/>
      <c r="Z14" s="1">
        <f t="shared" ref="Z14:AA14" si="7">Z15+Z16+Z17+Z18</f>
        <v>0</v>
      </c>
      <c r="AA14" s="1">
        <f t="shared" si="7"/>
        <v>0</v>
      </c>
      <c r="AB14" s="1"/>
      <c r="AC14" s="1">
        <f t="shared" ref="AC14:AD14" si="8">AC15+AC16+AC17+AC18</f>
        <v>0</v>
      </c>
      <c r="AD14" s="1">
        <f t="shared" si="8"/>
        <v>0</v>
      </c>
      <c r="AE14" s="1"/>
      <c r="AF14" s="1">
        <f t="shared" ref="AF14:AG14" si="9">AF15+AF16+AF17+AF18</f>
        <v>0</v>
      </c>
      <c r="AG14" s="1">
        <f t="shared" si="9"/>
        <v>0</v>
      </c>
      <c r="AH14" s="1"/>
      <c r="AI14" s="1">
        <f t="shared" ref="AI14" si="10">AI15+AI16+AI17+AI18</f>
        <v>0</v>
      </c>
      <c r="AJ14" s="1"/>
      <c r="AK14" s="1"/>
      <c r="AL14" s="1">
        <f t="shared" ref="AL14:AM14" si="11">AL15+AL16+AL17+AL18</f>
        <v>0</v>
      </c>
      <c r="AM14" s="1">
        <f t="shared" si="11"/>
        <v>0</v>
      </c>
      <c r="AN14" s="1"/>
      <c r="AO14" s="1">
        <f t="shared" ref="AO14" si="12">AO15+AO16+AO17+AO18</f>
        <v>0</v>
      </c>
      <c r="AP14" s="1"/>
      <c r="AQ14" s="1"/>
      <c r="AR14" s="24"/>
      <c r="AS14" s="24"/>
    </row>
    <row r="15" spans="1:45" x14ac:dyDescent="0.25">
      <c r="A15" s="101"/>
      <c r="B15" s="101"/>
      <c r="C15" s="101"/>
      <c r="D15" s="26" t="s">
        <v>20</v>
      </c>
      <c r="E15" s="1">
        <f t="shared" ref="E15:F18" si="13">H15+K15+N15+Q15+T15+W15+Z15+AC15+AF15+AI15+AL15+AO15</f>
        <v>0</v>
      </c>
      <c r="F15" s="1">
        <f t="shared" si="13"/>
        <v>0</v>
      </c>
      <c r="G15" s="27"/>
      <c r="H15" s="1"/>
      <c r="I15" s="1"/>
      <c r="J15" s="1"/>
      <c r="K15" s="1"/>
      <c r="L15" s="1"/>
      <c r="M15" s="1"/>
      <c r="N15" s="1"/>
      <c r="O15" s="1"/>
      <c r="P15" s="1"/>
      <c r="Q15" s="1"/>
      <c r="R15" s="1"/>
      <c r="S15" s="27"/>
      <c r="T15" s="1"/>
      <c r="U15" s="1"/>
      <c r="V15" s="1"/>
      <c r="W15" s="1"/>
      <c r="X15" s="1"/>
      <c r="Y15" s="27"/>
      <c r="Z15" s="1"/>
      <c r="AA15" s="1"/>
      <c r="AB15" s="1"/>
      <c r="AC15" s="1"/>
      <c r="AD15" s="1"/>
      <c r="AE15" s="27"/>
      <c r="AF15" s="1"/>
      <c r="AG15" s="1"/>
      <c r="AH15" s="1"/>
      <c r="AI15" s="1"/>
      <c r="AJ15" s="1"/>
      <c r="AK15" s="1"/>
      <c r="AL15" s="1"/>
      <c r="AM15" s="1"/>
      <c r="AN15" s="1"/>
      <c r="AO15" s="1"/>
      <c r="AP15" s="1"/>
      <c r="AQ15" s="1"/>
      <c r="AR15" s="24"/>
      <c r="AS15" s="24"/>
    </row>
    <row r="16" spans="1:45" ht="24" x14ac:dyDescent="0.25">
      <c r="A16" s="101"/>
      <c r="B16" s="101"/>
      <c r="C16" s="101"/>
      <c r="D16" s="26" t="s">
        <v>4</v>
      </c>
      <c r="E16" s="1">
        <f t="shared" si="13"/>
        <v>0</v>
      </c>
      <c r="F16" s="1">
        <f t="shared" si="13"/>
        <v>0</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28"/>
      <c r="AS16" s="98"/>
    </row>
    <row r="17" spans="1:45" x14ac:dyDescent="0.25">
      <c r="A17" s="101"/>
      <c r="B17" s="101"/>
      <c r="C17" s="101"/>
      <c r="D17" s="26" t="s">
        <v>43</v>
      </c>
      <c r="E17" s="1">
        <f t="shared" si="13"/>
        <v>0</v>
      </c>
      <c r="F17" s="1">
        <f t="shared" si="13"/>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24"/>
      <c r="AS17" s="100"/>
    </row>
    <row r="18" spans="1:45" x14ac:dyDescent="0.25">
      <c r="A18" s="101"/>
      <c r="B18" s="101"/>
      <c r="C18" s="101"/>
      <c r="D18" s="26" t="s">
        <v>21</v>
      </c>
      <c r="E18" s="1">
        <f t="shared" si="13"/>
        <v>0</v>
      </c>
      <c r="F18" s="1">
        <f t="shared" si="13"/>
        <v>0</v>
      </c>
      <c r="G18" s="27"/>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24"/>
      <c r="AS18" s="24"/>
    </row>
    <row r="19" spans="1:45" ht="13.15" customHeight="1" x14ac:dyDescent="0.25">
      <c r="A19" s="101" t="s">
        <v>19</v>
      </c>
      <c r="B19" s="101" t="s">
        <v>82</v>
      </c>
      <c r="C19" s="101" t="s">
        <v>152</v>
      </c>
      <c r="D19" s="26" t="s">
        <v>3</v>
      </c>
      <c r="E19" s="1">
        <f t="shared" si="1"/>
        <v>0</v>
      </c>
      <c r="F19" s="1">
        <f t="shared" si="1"/>
        <v>0</v>
      </c>
      <c r="G19" s="27"/>
      <c r="H19" s="1">
        <f>H20+H21+H22+H23</f>
        <v>0</v>
      </c>
      <c r="I19" s="1"/>
      <c r="J19" s="1"/>
      <c r="K19" s="1">
        <f t="shared" ref="K19:AO19" si="14">K20+K21+K22+K23</f>
        <v>0</v>
      </c>
      <c r="L19" s="1"/>
      <c r="M19" s="1"/>
      <c r="N19" s="1">
        <f t="shared" si="14"/>
        <v>0</v>
      </c>
      <c r="O19" s="1"/>
      <c r="P19" s="1"/>
      <c r="Q19" s="1">
        <f t="shared" si="14"/>
        <v>0</v>
      </c>
      <c r="R19" s="1"/>
      <c r="S19" s="1"/>
      <c r="T19" s="1">
        <f t="shared" si="14"/>
        <v>0</v>
      </c>
      <c r="U19" s="1">
        <f t="shared" si="14"/>
        <v>0</v>
      </c>
      <c r="V19" s="1"/>
      <c r="W19" s="1">
        <f t="shared" si="14"/>
        <v>0</v>
      </c>
      <c r="X19" s="1"/>
      <c r="Y19" s="1"/>
      <c r="Z19" s="1">
        <f t="shared" si="14"/>
        <v>0</v>
      </c>
      <c r="AA19" s="1"/>
      <c r="AB19" s="1"/>
      <c r="AC19" s="1">
        <f t="shared" si="14"/>
        <v>0</v>
      </c>
      <c r="AD19" s="1">
        <f t="shared" si="14"/>
        <v>0</v>
      </c>
      <c r="AE19" s="1"/>
      <c r="AF19" s="1">
        <f t="shared" si="14"/>
        <v>0</v>
      </c>
      <c r="AG19" s="1">
        <f t="shared" si="14"/>
        <v>0</v>
      </c>
      <c r="AH19" s="1"/>
      <c r="AI19" s="1">
        <f t="shared" si="14"/>
        <v>0</v>
      </c>
      <c r="AJ19" s="1"/>
      <c r="AK19" s="1"/>
      <c r="AL19" s="1">
        <f t="shared" si="14"/>
        <v>0</v>
      </c>
      <c r="AM19" s="1"/>
      <c r="AN19" s="1"/>
      <c r="AO19" s="1">
        <f t="shared" si="14"/>
        <v>0</v>
      </c>
      <c r="AP19" s="1"/>
      <c r="AQ19" s="1"/>
      <c r="AR19" s="24"/>
      <c r="AS19" s="24"/>
    </row>
    <row r="20" spans="1:45" x14ac:dyDescent="0.25">
      <c r="A20" s="101"/>
      <c r="B20" s="101"/>
      <c r="C20" s="101"/>
      <c r="D20" s="26" t="s">
        <v>20</v>
      </c>
      <c r="E20" s="1">
        <f t="shared" si="1"/>
        <v>0</v>
      </c>
      <c r="F20" s="1">
        <f t="shared" si="1"/>
        <v>0</v>
      </c>
      <c r="G20" s="27"/>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24"/>
      <c r="AS20" s="24"/>
    </row>
    <row r="21" spans="1:45" ht="24" x14ac:dyDescent="0.25">
      <c r="A21" s="101"/>
      <c r="B21" s="101"/>
      <c r="C21" s="101"/>
      <c r="D21" s="26" t="s">
        <v>4</v>
      </c>
      <c r="E21" s="1">
        <f t="shared" si="1"/>
        <v>0</v>
      </c>
      <c r="F21" s="1">
        <f t="shared" si="1"/>
        <v>0</v>
      </c>
      <c r="G21" s="27"/>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24"/>
      <c r="AS21" s="24"/>
    </row>
    <row r="22" spans="1:45" x14ac:dyDescent="0.25">
      <c r="A22" s="101"/>
      <c r="B22" s="101"/>
      <c r="C22" s="101"/>
      <c r="D22" s="26" t="s">
        <v>43</v>
      </c>
      <c r="E22" s="1">
        <f t="shared" si="1"/>
        <v>0</v>
      </c>
      <c r="F22" s="1">
        <f t="shared" si="1"/>
        <v>0</v>
      </c>
      <c r="G22" s="27"/>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24"/>
      <c r="AS22" s="24"/>
    </row>
    <row r="23" spans="1:45" x14ac:dyDescent="0.25">
      <c r="A23" s="101"/>
      <c r="B23" s="101"/>
      <c r="C23" s="101"/>
      <c r="D23" s="26" t="s">
        <v>21</v>
      </c>
      <c r="E23" s="1">
        <f t="shared" si="1"/>
        <v>0</v>
      </c>
      <c r="F23" s="1">
        <f t="shared" si="1"/>
        <v>0</v>
      </c>
      <c r="G23" s="27"/>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24"/>
      <c r="AS23" s="24"/>
    </row>
    <row r="24" spans="1:45" ht="13.15" customHeight="1" x14ac:dyDescent="0.25">
      <c r="A24" s="101" t="s">
        <v>132</v>
      </c>
      <c r="B24" s="101" t="s">
        <v>108</v>
      </c>
      <c r="C24" s="101" t="s">
        <v>152</v>
      </c>
      <c r="D24" s="26" t="s">
        <v>3</v>
      </c>
      <c r="E24" s="1">
        <f>H24+K24+N24+Q24+T24+W24+Z24+AC24+AF24+AI24+AL24+AO24</f>
        <v>758236.39999999991</v>
      </c>
      <c r="F24" s="1">
        <f>I24+L24+O24+R24+U24+X24+AA24+AD24+AG24+AJ24+AM24+AP24</f>
        <v>519179.1</v>
      </c>
      <c r="G24" s="1">
        <f>F24/E24*100</f>
        <v>68.471930390047234</v>
      </c>
      <c r="H24" s="1">
        <f>H25+H26+H27+H28</f>
        <v>15897</v>
      </c>
      <c r="I24" s="1">
        <f>I25+I26+I27+I28</f>
        <v>15897</v>
      </c>
      <c r="J24" s="1">
        <f>I24/H24*100</f>
        <v>100</v>
      </c>
      <c r="K24" s="1">
        <f t="shared" ref="K24:AO24" si="15">K25+K26+K27+K28</f>
        <v>61553.5</v>
      </c>
      <c r="L24" s="1">
        <f t="shared" si="15"/>
        <v>61553.5</v>
      </c>
      <c r="M24" s="1">
        <f>L24/K24*100</f>
        <v>100</v>
      </c>
      <c r="N24" s="1">
        <f t="shared" si="15"/>
        <v>57272.5</v>
      </c>
      <c r="O24" s="1">
        <f t="shared" si="15"/>
        <v>57272.5</v>
      </c>
      <c r="P24" s="1">
        <f>O24/N24*100</f>
        <v>100</v>
      </c>
      <c r="Q24" s="1">
        <f t="shared" si="15"/>
        <v>62385.300000000017</v>
      </c>
      <c r="R24" s="1">
        <f t="shared" si="15"/>
        <v>62515.300000000017</v>
      </c>
      <c r="S24" s="1">
        <f>R24/Q24*100</f>
        <v>100.20838242342347</v>
      </c>
      <c r="T24" s="1">
        <f t="shared" si="15"/>
        <v>90790.299999999988</v>
      </c>
      <c r="U24" s="1">
        <f t="shared" si="15"/>
        <v>90790.299999999988</v>
      </c>
      <c r="V24" s="1">
        <f>U24/T24*100</f>
        <v>100</v>
      </c>
      <c r="W24" s="1">
        <f t="shared" si="15"/>
        <v>77861.500000000029</v>
      </c>
      <c r="X24" s="1">
        <f t="shared" si="15"/>
        <v>76331.500000000029</v>
      </c>
      <c r="Y24" s="1">
        <f>X24/W24*100</f>
        <v>98.034972354758139</v>
      </c>
      <c r="Z24" s="1">
        <f t="shared" si="15"/>
        <v>75446.100000000006</v>
      </c>
      <c r="AA24" s="1">
        <f t="shared" si="15"/>
        <v>77246.100000000006</v>
      </c>
      <c r="AB24" s="1">
        <f>AA24/Z24*100</f>
        <v>102.38580920683773</v>
      </c>
      <c r="AC24" s="1">
        <f t="shared" si="15"/>
        <v>41074.6</v>
      </c>
      <c r="AD24" s="1">
        <f t="shared" si="15"/>
        <v>41717.9</v>
      </c>
      <c r="AE24" s="1">
        <f>AD24/AC24*100</f>
        <v>101.566174716248</v>
      </c>
      <c r="AF24" s="1">
        <f t="shared" si="15"/>
        <v>36898.300000000003</v>
      </c>
      <c r="AG24" s="1">
        <f t="shared" si="15"/>
        <v>35855</v>
      </c>
      <c r="AH24" s="1">
        <f>AG24/AF24*100</f>
        <v>97.172498461988752</v>
      </c>
      <c r="AI24" s="1">
        <f t="shared" si="15"/>
        <v>59774.8</v>
      </c>
      <c r="AJ24" s="1">
        <f t="shared" si="15"/>
        <v>0</v>
      </c>
      <c r="AK24" s="1">
        <f>AJ24/AI24*100</f>
        <v>0</v>
      </c>
      <c r="AL24" s="1">
        <f>AL25+AL26+AL27+AL28</f>
        <v>59746.400000000001</v>
      </c>
      <c r="AM24" s="1">
        <f>AM25+AM26+AM27+AM28</f>
        <v>0</v>
      </c>
      <c r="AN24" s="1">
        <f>AM24/AL24*100</f>
        <v>0</v>
      </c>
      <c r="AO24" s="1">
        <f t="shared" si="15"/>
        <v>119536.1</v>
      </c>
      <c r="AP24" s="1"/>
      <c r="AQ24" s="1">
        <f>AP24/AO24*100</f>
        <v>0</v>
      </c>
      <c r="AR24" s="24"/>
      <c r="AS24" s="24"/>
    </row>
    <row r="25" spans="1:45" ht="12" customHeight="1" x14ac:dyDescent="0.25">
      <c r="A25" s="101"/>
      <c r="B25" s="101"/>
      <c r="C25" s="101"/>
      <c r="D25" s="26" t="s">
        <v>20</v>
      </c>
      <c r="E25" s="1">
        <f t="shared" si="1"/>
        <v>0</v>
      </c>
      <c r="F25" s="1">
        <f t="shared" si="1"/>
        <v>0</v>
      </c>
      <c r="G25" s="27"/>
      <c r="H25" s="1"/>
      <c r="I25" s="1"/>
      <c r="J25" s="27"/>
      <c r="K25" s="1"/>
      <c r="L25" s="1"/>
      <c r="M25" s="27"/>
      <c r="N25" s="1"/>
      <c r="O25" s="1"/>
      <c r="P25" s="27"/>
      <c r="Q25" s="1"/>
      <c r="R25" s="1"/>
      <c r="S25" s="27"/>
      <c r="T25" s="1"/>
      <c r="U25" s="1"/>
      <c r="V25" s="27"/>
      <c r="W25" s="1"/>
      <c r="X25" s="1"/>
      <c r="Y25" s="27"/>
      <c r="Z25" s="1"/>
      <c r="AA25" s="1"/>
      <c r="AB25" s="27"/>
      <c r="AC25" s="1"/>
      <c r="AD25" s="1"/>
      <c r="AE25" s="27"/>
      <c r="AF25" s="1"/>
      <c r="AG25" s="1"/>
      <c r="AH25" s="27"/>
      <c r="AI25" s="1"/>
      <c r="AJ25" s="1"/>
      <c r="AK25" s="27"/>
      <c r="AL25" s="1"/>
      <c r="AM25" s="1"/>
      <c r="AN25" s="27"/>
      <c r="AO25" s="1"/>
      <c r="AP25" s="1"/>
      <c r="AQ25" s="27"/>
      <c r="AR25" s="24"/>
      <c r="AS25" s="24"/>
    </row>
    <row r="26" spans="1:45" ht="60" customHeight="1" x14ac:dyDescent="0.25">
      <c r="A26" s="101"/>
      <c r="B26" s="101"/>
      <c r="C26" s="101"/>
      <c r="D26" s="26" t="s">
        <v>4</v>
      </c>
      <c r="E26" s="1">
        <f t="shared" si="1"/>
        <v>636585</v>
      </c>
      <c r="F26" s="1">
        <f t="shared" si="1"/>
        <v>433470.9</v>
      </c>
      <c r="G26" s="1">
        <f>F26/E26*100</f>
        <v>68.093169019062657</v>
      </c>
      <c r="H26" s="1">
        <v>13857</v>
      </c>
      <c r="I26" s="1">
        <v>13857</v>
      </c>
      <c r="J26" s="1">
        <f>I26/H26*100</f>
        <v>100</v>
      </c>
      <c r="K26" s="1">
        <f>48732.2+1500</f>
        <v>50232.2</v>
      </c>
      <c r="L26" s="1">
        <v>50232.2</v>
      </c>
      <c r="M26" s="1">
        <f>L26/K26*100</f>
        <v>100</v>
      </c>
      <c r="N26" s="1">
        <f>46282+1740</f>
        <v>48022</v>
      </c>
      <c r="O26" s="1">
        <v>48022</v>
      </c>
      <c r="P26" s="1">
        <f>O26/N26*100</f>
        <v>100</v>
      </c>
      <c r="Q26" s="1">
        <v>50565.000000000015</v>
      </c>
      <c r="R26" s="1">
        <v>50565.000000000015</v>
      </c>
      <c r="S26" s="1">
        <f>R26/Q26*100</f>
        <v>100</v>
      </c>
      <c r="T26" s="1">
        <v>80580.299999999988</v>
      </c>
      <c r="U26" s="1">
        <v>80580.299999999988</v>
      </c>
      <c r="V26" s="1">
        <f>U26/T26*100</f>
        <v>100</v>
      </c>
      <c r="W26" s="1">
        <v>66834.900000000023</v>
      </c>
      <c r="X26" s="1">
        <v>66834.900000000023</v>
      </c>
      <c r="Y26" s="1">
        <f>X26/W26*100</f>
        <v>100</v>
      </c>
      <c r="Z26" s="1">
        <v>63268</v>
      </c>
      <c r="AA26" s="1">
        <v>63268</v>
      </c>
      <c r="AB26" s="1">
        <f>AA26/Z26*100</f>
        <v>100</v>
      </c>
      <c r="AC26" s="1">
        <v>32567.5</v>
      </c>
      <c r="AD26" s="1">
        <v>32567.5</v>
      </c>
      <c r="AE26" s="1">
        <f>AD26/AC26*100</f>
        <v>100</v>
      </c>
      <c r="AF26" s="1">
        <v>27544</v>
      </c>
      <c r="AG26" s="1">
        <v>27544</v>
      </c>
      <c r="AH26" s="1">
        <f>AG26/AF26*100</f>
        <v>100</v>
      </c>
      <c r="AI26" s="1">
        <f>43545.1+6000</f>
        <v>49545.1</v>
      </c>
      <c r="AJ26" s="1"/>
      <c r="AK26" s="1">
        <f>AJ26/AI26*100</f>
        <v>0</v>
      </c>
      <c r="AL26" s="1">
        <f>44542+6000</f>
        <v>50542</v>
      </c>
      <c r="AM26" s="1"/>
      <c r="AN26" s="1">
        <f>AM26/AL26*100</f>
        <v>0</v>
      </c>
      <c r="AO26" s="1">
        <f>66334.4-5180+12829.6+8778.9+20264.1</f>
        <v>103027</v>
      </c>
      <c r="AP26" s="1"/>
      <c r="AQ26" s="1">
        <f>AP26/AO26*100</f>
        <v>0</v>
      </c>
      <c r="AR26" s="21" t="s">
        <v>209</v>
      </c>
      <c r="AS26" s="21"/>
    </row>
    <row r="27" spans="1:45" ht="61.5" customHeight="1" x14ac:dyDescent="0.25">
      <c r="A27" s="101"/>
      <c r="B27" s="101"/>
      <c r="C27" s="101"/>
      <c r="D27" s="26" t="s">
        <v>43</v>
      </c>
      <c r="E27" s="1">
        <f t="shared" si="1"/>
        <v>121651.4</v>
      </c>
      <c r="F27" s="1">
        <f t="shared" si="1"/>
        <v>85708.2</v>
      </c>
      <c r="G27" s="1">
        <f>F27/E27*100</f>
        <v>70.453936411747009</v>
      </c>
      <c r="H27" s="1">
        <v>2040</v>
      </c>
      <c r="I27" s="1">
        <v>2040</v>
      </c>
      <c r="J27" s="1">
        <f>I27/H27*100</f>
        <v>100</v>
      </c>
      <c r="K27" s="1">
        <f>11266.3+55</f>
        <v>11321.3</v>
      </c>
      <c r="L27" s="1">
        <v>11321.3</v>
      </c>
      <c r="M27" s="1">
        <f>L27/K27*100</f>
        <v>100</v>
      </c>
      <c r="N27" s="1">
        <f>10002.5-752</f>
        <v>9250.5</v>
      </c>
      <c r="O27" s="1">
        <v>9250.5</v>
      </c>
      <c r="P27" s="1">
        <f>O27/N27*100</f>
        <v>100</v>
      </c>
      <c r="Q27" s="1">
        <f>11912.3-92</f>
        <v>11820.3</v>
      </c>
      <c r="R27" s="1">
        <v>11950.3</v>
      </c>
      <c r="S27" s="1">
        <f>R27/Q27*100</f>
        <v>101.09980288148354</v>
      </c>
      <c r="T27" s="1">
        <v>10210</v>
      </c>
      <c r="U27" s="1">
        <v>10210</v>
      </c>
      <c r="V27" s="1">
        <f>U27/T27*100</f>
        <v>100</v>
      </c>
      <c r="W27" s="1">
        <v>11026.6</v>
      </c>
      <c r="X27" s="1">
        <v>9496.5999999999985</v>
      </c>
      <c r="Y27" s="1">
        <f>X27/W27*100</f>
        <v>86.124462663014882</v>
      </c>
      <c r="Z27" s="1">
        <v>12178.1</v>
      </c>
      <c r="AA27" s="1">
        <v>13978.1</v>
      </c>
      <c r="AB27" s="1">
        <f>AA27/Z27*100</f>
        <v>114.78063080447689</v>
      </c>
      <c r="AC27" s="1">
        <v>8507.1</v>
      </c>
      <c r="AD27" s="1">
        <v>9150.4</v>
      </c>
      <c r="AE27" s="1">
        <f>AD27/AC27*100</f>
        <v>107.56191886776926</v>
      </c>
      <c r="AF27" s="1">
        <f>8954.3+400</f>
        <v>9354.2999999999993</v>
      </c>
      <c r="AG27" s="1">
        <v>8311</v>
      </c>
      <c r="AH27" s="1">
        <f>AG27/AF27*100</f>
        <v>88.846840490469631</v>
      </c>
      <c r="AI27" s="1">
        <v>10229.700000000001</v>
      </c>
      <c r="AJ27" s="1"/>
      <c r="AK27" s="1">
        <f>AJ27/AI27*100</f>
        <v>0</v>
      </c>
      <c r="AL27" s="1">
        <v>9204.4</v>
      </c>
      <c r="AM27" s="1"/>
      <c r="AN27" s="1">
        <f>AM27/AL27*100</f>
        <v>0</v>
      </c>
      <c r="AO27" s="1">
        <f>16746.1+389-626</f>
        <v>16509.099999999999</v>
      </c>
      <c r="AP27" s="1"/>
      <c r="AQ27" s="1">
        <f>AP27/AO27*100</f>
        <v>0</v>
      </c>
      <c r="AR27" s="21" t="s">
        <v>210</v>
      </c>
      <c r="AS27" s="21"/>
    </row>
    <row r="28" spans="1:45" x14ac:dyDescent="0.25">
      <c r="A28" s="101"/>
      <c r="B28" s="101"/>
      <c r="C28" s="101"/>
      <c r="D28" s="26" t="s">
        <v>21</v>
      </c>
      <c r="E28" s="1">
        <f t="shared" si="1"/>
        <v>0</v>
      </c>
      <c r="F28" s="1">
        <f t="shared" si="1"/>
        <v>0</v>
      </c>
      <c r="G28" s="27"/>
      <c r="H28" s="1"/>
      <c r="I28" s="1"/>
      <c r="J28" s="1"/>
      <c r="K28" s="1"/>
      <c r="L28" s="1"/>
      <c r="M28" s="1"/>
      <c r="N28" s="1"/>
      <c r="O28" s="1"/>
      <c r="P28" s="1"/>
      <c r="Q28" s="1"/>
      <c r="R28" s="1"/>
      <c r="S28" s="1"/>
      <c r="T28" s="1"/>
      <c r="U28" s="1"/>
      <c r="V28" s="1"/>
      <c r="W28" s="1"/>
      <c r="X28" s="1"/>
      <c r="Y28" s="1"/>
      <c r="Z28" s="1"/>
      <c r="AA28" s="1"/>
      <c r="AB28" s="1"/>
      <c r="AC28" s="1"/>
      <c r="AD28" s="1"/>
      <c r="AE28" s="1"/>
      <c r="AF28" s="1"/>
      <c r="AG28" s="1"/>
      <c r="AH28" s="27"/>
      <c r="AI28" s="1"/>
      <c r="AJ28" s="1"/>
      <c r="AK28" s="27"/>
      <c r="AL28" s="1"/>
      <c r="AM28" s="1"/>
      <c r="AN28" s="1"/>
      <c r="AO28" s="1"/>
      <c r="AP28" s="1"/>
      <c r="AQ28" s="27"/>
      <c r="AR28" s="24"/>
      <c r="AS28" s="24"/>
    </row>
    <row r="29" spans="1:45" ht="12.6" customHeight="1" x14ac:dyDescent="0.25">
      <c r="A29" s="155" t="s">
        <v>131</v>
      </c>
      <c r="B29" s="101" t="s">
        <v>83</v>
      </c>
      <c r="C29" s="101" t="s">
        <v>152</v>
      </c>
      <c r="D29" s="26" t="s">
        <v>3</v>
      </c>
      <c r="E29" s="1">
        <f t="shared" si="1"/>
        <v>30820</v>
      </c>
      <c r="F29" s="1">
        <f t="shared" si="1"/>
        <v>20580.403500000004</v>
      </c>
      <c r="G29" s="1">
        <f>F29/E29*100</f>
        <v>66.776130759247252</v>
      </c>
      <c r="H29" s="1">
        <f>H30+H31+H32+H33</f>
        <v>0</v>
      </c>
      <c r="I29" s="1"/>
      <c r="J29" s="1"/>
      <c r="K29" s="1">
        <f t="shared" ref="K29:AO29" si="16">K30+K31+K32+K33</f>
        <v>2900</v>
      </c>
      <c r="L29" s="1">
        <f t="shared" si="16"/>
        <v>2791.2</v>
      </c>
      <c r="M29" s="1">
        <f t="shared" ref="M29" si="17">L29/K29*100</f>
        <v>96.248275862068951</v>
      </c>
      <c r="N29" s="1">
        <f t="shared" si="16"/>
        <v>2800</v>
      </c>
      <c r="O29" s="1">
        <f t="shared" si="16"/>
        <v>2493.6</v>
      </c>
      <c r="P29" s="1">
        <f t="shared" ref="P29:P31" si="18">O29/N29*100</f>
        <v>89.05714285714285</v>
      </c>
      <c r="Q29" s="1">
        <f t="shared" si="16"/>
        <v>3400</v>
      </c>
      <c r="R29" s="1">
        <f t="shared" si="16"/>
        <v>3292.8</v>
      </c>
      <c r="S29" s="1">
        <f>R29/Q29*100</f>
        <v>96.847058823529423</v>
      </c>
      <c r="T29" s="1">
        <f t="shared" si="16"/>
        <v>3300</v>
      </c>
      <c r="U29" s="1">
        <f t="shared" si="16"/>
        <v>3353.8</v>
      </c>
      <c r="V29" s="1">
        <f>U29/T29*100</f>
        <v>101.63030303030303</v>
      </c>
      <c r="W29" s="1">
        <f t="shared" si="16"/>
        <v>2900</v>
      </c>
      <c r="X29" s="1">
        <f t="shared" si="16"/>
        <v>3334.5035000000025</v>
      </c>
      <c r="Y29" s="1">
        <f>X29/W29*100</f>
        <v>114.98287931034493</v>
      </c>
      <c r="Z29" s="1">
        <f t="shared" si="16"/>
        <v>2200</v>
      </c>
      <c r="AA29" s="1">
        <f t="shared" si="16"/>
        <v>2103.4</v>
      </c>
      <c r="AB29" s="1">
        <f>AA29/Z29*100</f>
        <v>95.609090909090909</v>
      </c>
      <c r="AC29" s="1">
        <f t="shared" si="16"/>
        <v>1700</v>
      </c>
      <c r="AD29" s="1">
        <f t="shared" si="16"/>
        <v>1582.9</v>
      </c>
      <c r="AE29" s="1">
        <f>AD29/AC29*100</f>
        <v>93.111764705882365</v>
      </c>
      <c r="AF29" s="1">
        <f t="shared" si="16"/>
        <v>1700</v>
      </c>
      <c r="AG29" s="1">
        <f t="shared" si="16"/>
        <v>1628.2</v>
      </c>
      <c r="AH29" s="1">
        <f>AG29/AF29*100</f>
        <v>95.776470588235298</v>
      </c>
      <c r="AI29" s="1">
        <f t="shared" si="16"/>
        <v>2600</v>
      </c>
      <c r="AJ29" s="1">
        <f t="shared" si="16"/>
        <v>0</v>
      </c>
      <c r="AK29" s="1">
        <f>AJ29/AI29*100</f>
        <v>0</v>
      </c>
      <c r="AL29" s="1">
        <f t="shared" si="16"/>
        <v>3000</v>
      </c>
      <c r="AM29" s="1">
        <f t="shared" si="16"/>
        <v>0</v>
      </c>
      <c r="AN29" s="1">
        <f>AM29/AL29*100</f>
        <v>0</v>
      </c>
      <c r="AO29" s="1">
        <f t="shared" si="16"/>
        <v>4320</v>
      </c>
      <c r="AP29" s="1"/>
      <c r="AQ29" s="1">
        <f>AP29/AO29*100</f>
        <v>0</v>
      </c>
      <c r="AR29" s="24"/>
      <c r="AS29" s="24"/>
    </row>
    <row r="30" spans="1:45" x14ac:dyDescent="0.25">
      <c r="A30" s="101"/>
      <c r="B30" s="101"/>
      <c r="C30" s="101"/>
      <c r="D30" s="26" t="s">
        <v>20</v>
      </c>
      <c r="E30" s="1">
        <f t="shared" si="1"/>
        <v>0</v>
      </c>
      <c r="F30" s="1">
        <f t="shared" si="1"/>
        <v>0</v>
      </c>
      <c r="G30" s="27"/>
      <c r="H30" s="1"/>
      <c r="I30" s="1"/>
      <c r="J30" s="1"/>
      <c r="K30" s="1"/>
      <c r="L30" s="1"/>
      <c r="M30" s="1"/>
      <c r="N30" s="1"/>
      <c r="O30" s="1"/>
      <c r="P30" s="1"/>
      <c r="Q30" s="1"/>
      <c r="R30" s="1"/>
      <c r="S30" s="27"/>
      <c r="T30" s="1"/>
      <c r="U30" s="1"/>
      <c r="V30" s="27"/>
      <c r="W30" s="1"/>
      <c r="X30" s="1"/>
      <c r="Y30" s="27"/>
      <c r="Z30" s="1"/>
      <c r="AA30" s="1"/>
      <c r="AB30" s="27"/>
      <c r="AC30" s="1"/>
      <c r="AD30" s="1"/>
      <c r="AE30" s="27"/>
      <c r="AF30" s="1"/>
      <c r="AG30" s="1"/>
      <c r="AH30" s="27"/>
      <c r="AI30" s="1"/>
      <c r="AJ30" s="1"/>
      <c r="AK30" s="27"/>
      <c r="AL30" s="1"/>
      <c r="AM30" s="1"/>
      <c r="AN30" s="27"/>
      <c r="AO30" s="1"/>
      <c r="AP30" s="1"/>
      <c r="AQ30" s="27"/>
      <c r="AR30" s="24"/>
      <c r="AS30" s="24"/>
    </row>
    <row r="31" spans="1:45" ht="99" customHeight="1" x14ac:dyDescent="0.25">
      <c r="A31" s="101"/>
      <c r="B31" s="101"/>
      <c r="C31" s="101"/>
      <c r="D31" s="26" t="s">
        <v>4</v>
      </c>
      <c r="E31" s="1">
        <f t="shared" si="1"/>
        <v>30820</v>
      </c>
      <c r="F31" s="1">
        <f t="shared" si="1"/>
        <v>20580.403500000004</v>
      </c>
      <c r="G31" s="1">
        <f>F31/E31*100</f>
        <v>66.776130759247252</v>
      </c>
      <c r="H31" s="1"/>
      <c r="I31" s="1"/>
      <c r="J31" s="1"/>
      <c r="K31" s="1">
        <v>2900</v>
      </c>
      <c r="L31" s="1">
        <v>2791.2</v>
      </c>
      <c r="M31" s="1">
        <f t="shared" ref="M31" si="19">L31/K31*100</f>
        <v>96.248275862068951</v>
      </c>
      <c r="N31" s="1">
        <v>2800</v>
      </c>
      <c r="O31" s="1">
        <v>2493.6</v>
      </c>
      <c r="P31" s="1">
        <f t="shared" si="18"/>
        <v>89.05714285714285</v>
      </c>
      <c r="Q31" s="1">
        <v>3400</v>
      </c>
      <c r="R31" s="1">
        <v>3292.8</v>
      </c>
      <c r="S31" s="1">
        <f>R31/Q31*100</f>
        <v>96.847058823529423</v>
      </c>
      <c r="T31" s="1">
        <v>3300</v>
      </c>
      <c r="U31" s="1">
        <v>3353.8</v>
      </c>
      <c r="V31" s="1">
        <f>U31/T31*100</f>
        <v>101.63030303030303</v>
      </c>
      <c r="W31" s="1">
        <v>2900</v>
      </c>
      <c r="X31" s="1">
        <v>3334.5035000000025</v>
      </c>
      <c r="Y31" s="1">
        <f>X31/W31*100</f>
        <v>114.98287931034493</v>
      </c>
      <c r="Z31" s="1">
        <v>2200</v>
      </c>
      <c r="AA31" s="1">
        <v>2103.4</v>
      </c>
      <c r="AB31" s="1">
        <f>AA31/Z31*100</f>
        <v>95.609090909090909</v>
      </c>
      <c r="AC31" s="1">
        <v>1700</v>
      </c>
      <c r="AD31" s="1">
        <v>1582.9</v>
      </c>
      <c r="AE31" s="1">
        <f>AD31/AC31*100</f>
        <v>93.111764705882365</v>
      </c>
      <c r="AF31" s="1">
        <v>1700</v>
      </c>
      <c r="AG31" s="1">
        <v>1628.2</v>
      </c>
      <c r="AH31" s="1">
        <f>AG31/AF31*100</f>
        <v>95.776470588235298</v>
      </c>
      <c r="AI31" s="1">
        <v>2600</v>
      </c>
      <c r="AJ31" s="1"/>
      <c r="AK31" s="1">
        <f>AJ31/AI31*100</f>
        <v>0</v>
      </c>
      <c r="AL31" s="1">
        <v>3000</v>
      </c>
      <c r="AM31" s="1"/>
      <c r="AN31" s="1">
        <f>AM31/AL31*100</f>
        <v>0</v>
      </c>
      <c r="AO31" s="1">
        <v>4320</v>
      </c>
      <c r="AP31" s="1"/>
      <c r="AQ31" s="1">
        <f>AP31/AO31*100</f>
        <v>0</v>
      </c>
      <c r="AR31" s="21" t="s">
        <v>203</v>
      </c>
      <c r="AS31" s="28" t="s">
        <v>199</v>
      </c>
    </row>
    <row r="32" spans="1:45" x14ac:dyDescent="0.25">
      <c r="A32" s="101"/>
      <c r="B32" s="101"/>
      <c r="C32" s="101"/>
      <c r="D32" s="26" t="s">
        <v>43</v>
      </c>
      <c r="E32" s="1">
        <f t="shared" si="1"/>
        <v>0</v>
      </c>
      <c r="F32" s="1">
        <f t="shared" si="1"/>
        <v>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24"/>
      <c r="AS32" s="29"/>
    </row>
    <row r="33" spans="1:45" x14ac:dyDescent="0.25">
      <c r="A33" s="101"/>
      <c r="B33" s="101"/>
      <c r="C33" s="101"/>
      <c r="D33" s="26" t="s">
        <v>21</v>
      </c>
      <c r="E33" s="1">
        <f t="shared" si="1"/>
        <v>0</v>
      </c>
      <c r="F33" s="1">
        <f t="shared" si="1"/>
        <v>0</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4"/>
      <c r="AS33" s="24"/>
    </row>
    <row r="34" spans="1:45" ht="12" customHeight="1" x14ac:dyDescent="0.25">
      <c r="A34" s="133" t="s">
        <v>5</v>
      </c>
      <c r="B34" s="133"/>
      <c r="C34" s="133"/>
      <c r="D34" s="30" t="s">
        <v>3</v>
      </c>
      <c r="E34" s="31">
        <f t="shared" ref="E34:F38" si="20">H34+K34+N34+Q34+T34+W34+Z34+AC34+AF34+AI34+AL34+AO34</f>
        <v>789056.4</v>
      </c>
      <c r="F34" s="31">
        <f t="shared" si="20"/>
        <v>539759.50349999999</v>
      </c>
      <c r="G34" s="31">
        <f>F34/E34*100</f>
        <v>68.405693623421598</v>
      </c>
      <c r="H34" s="31">
        <f>H36+H35+H37+H38</f>
        <v>15897</v>
      </c>
      <c r="I34" s="31">
        <f>I36+I35+I37+I38</f>
        <v>15897</v>
      </c>
      <c r="J34" s="31">
        <f>I34/H34*100</f>
        <v>100</v>
      </c>
      <c r="K34" s="31">
        <f t="shared" ref="K34:AO34" si="21">K36+K35+K37+K38</f>
        <v>64453.5</v>
      </c>
      <c r="L34" s="31">
        <f t="shared" si="21"/>
        <v>64344.7</v>
      </c>
      <c r="M34" s="31">
        <f>L34/K34*100</f>
        <v>99.831196133646742</v>
      </c>
      <c r="N34" s="31">
        <f t="shared" si="21"/>
        <v>60072.5</v>
      </c>
      <c r="O34" s="31">
        <f t="shared" si="21"/>
        <v>59766.1</v>
      </c>
      <c r="P34" s="31">
        <f>O34/N34*100</f>
        <v>99.489949644179944</v>
      </c>
      <c r="Q34" s="31">
        <f t="shared" si="21"/>
        <v>65785.300000000017</v>
      </c>
      <c r="R34" s="31">
        <f t="shared" si="21"/>
        <v>65808.10000000002</v>
      </c>
      <c r="S34" s="31">
        <f>R34/Q34*100</f>
        <v>100.03465819871613</v>
      </c>
      <c r="T34" s="31">
        <f t="shared" si="21"/>
        <v>94090.299999999988</v>
      </c>
      <c r="U34" s="31">
        <f t="shared" si="21"/>
        <v>94144.099999999991</v>
      </c>
      <c r="V34" s="31">
        <f>U34/T34*100</f>
        <v>100.05717911410635</v>
      </c>
      <c r="W34" s="31">
        <f t="shared" si="21"/>
        <v>80761.500000000029</v>
      </c>
      <c r="X34" s="31">
        <f t="shared" si="21"/>
        <v>79666.003500000021</v>
      </c>
      <c r="Y34" s="31">
        <f>X34/W34*100</f>
        <v>98.643541167511742</v>
      </c>
      <c r="Z34" s="31">
        <f t="shared" si="21"/>
        <v>77646.100000000006</v>
      </c>
      <c r="AA34" s="31">
        <f t="shared" si="21"/>
        <v>79349.5</v>
      </c>
      <c r="AB34" s="31">
        <f>AA34/Z34*100</f>
        <v>102.19379981737653</v>
      </c>
      <c r="AC34" s="31">
        <f t="shared" si="21"/>
        <v>42774.6</v>
      </c>
      <c r="AD34" s="31">
        <f t="shared" si="21"/>
        <v>43300.800000000003</v>
      </c>
      <c r="AE34" s="31">
        <f>AD34/AC34*100</f>
        <v>101.23016930608352</v>
      </c>
      <c r="AF34" s="31">
        <f t="shared" si="21"/>
        <v>38598.300000000003</v>
      </c>
      <c r="AG34" s="31">
        <f t="shared" si="21"/>
        <v>37483.199999999997</v>
      </c>
      <c r="AH34" s="31">
        <f>AG34/AF34*100</f>
        <v>97.111012661179359</v>
      </c>
      <c r="AI34" s="31">
        <f t="shared" si="21"/>
        <v>62374.8</v>
      </c>
      <c r="AJ34" s="31">
        <f t="shared" si="21"/>
        <v>0</v>
      </c>
      <c r="AK34" s="31">
        <f>AJ34/AI34*100</f>
        <v>0</v>
      </c>
      <c r="AL34" s="31">
        <f t="shared" si="21"/>
        <v>62746.400000000001</v>
      </c>
      <c r="AM34" s="31">
        <f t="shared" si="21"/>
        <v>0</v>
      </c>
      <c r="AN34" s="31">
        <f>AM34/AL34*100</f>
        <v>0</v>
      </c>
      <c r="AO34" s="31">
        <f t="shared" si="21"/>
        <v>123856.1</v>
      </c>
      <c r="AP34" s="31"/>
      <c r="AQ34" s="31">
        <f>AP34/AO34*100</f>
        <v>0</v>
      </c>
      <c r="AR34" s="24"/>
      <c r="AS34" s="24"/>
    </row>
    <row r="35" spans="1:45" ht="13.5" customHeight="1" x14ac:dyDescent="0.25">
      <c r="A35" s="133"/>
      <c r="B35" s="133"/>
      <c r="C35" s="133"/>
      <c r="D35" s="30" t="s">
        <v>20</v>
      </c>
      <c r="E35" s="31">
        <f t="shared" si="20"/>
        <v>0</v>
      </c>
      <c r="F35" s="31">
        <f t="shared" si="20"/>
        <v>0</v>
      </c>
      <c r="G35" s="32"/>
      <c r="H35" s="31">
        <f t="shared" ref="H35:I38" si="22">H10+H20+H25+H30</f>
        <v>0</v>
      </c>
      <c r="I35" s="31">
        <f t="shared" si="22"/>
        <v>0</v>
      </c>
      <c r="J35" s="32"/>
      <c r="K35" s="31">
        <f t="shared" ref="K35:L38" si="23">K10+K20+K25+K30</f>
        <v>0</v>
      </c>
      <c r="L35" s="31">
        <f t="shared" si="23"/>
        <v>0</v>
      </c>
      <c r="M35" s="32"/>
      <c r="N35" s="31">
        <f t="shared" ref="N35:O38" si="24">N10+N20+N25+N30</f>
        <v>0</v>
      </c>
      <c r="O35" s="31">
        <f t="shared" si="24"/>
        <v>0</v>
      </c>
      <c r="P35" s="32"/>
      <c r="Q35" s="31">
        <f t="shared" ref="Q35:R38" si="25">Q10+Q20+Q25+Q30</f>
        <v>0</v>
      </c>
      <c r="R35" s="31">
        <f t="shared" si="25"/>
        <v>0</v>
      </c>
      <c r="S35" s="32"/>
      <c r="T35" s="31">
        <f t="shared" ref="T35:U38" si="26">T10+T20+T25+T30</f>
        <v>0</v>
      </c>
      <c r="U35" s="31">
        <f t="shared" si="26"/>
        <v>0</v>
      </c>
      <c r="V35" s="32"/>
      <c r="W35" s="31">
        <f t="shared" ref="W35:X38" si="27">W10+W20+W25+W30</f>
        <v>0</v>
      </c>
      <c r="X35" s="31">
        <f t="shared" si="27"/>
        <v>0</v>
      </c>
      <c r="Y35" s="32"/>
      <c r="Z35" s="31">
        <f t="shared" ref="Z35:AA38" si="28">Z10+Z20+Z25+Z30</f>
        <v>0</v>
      </c>
      <c r="AA35" s="31">
        <f t="shared" si="28"/>
        <v>0</v>
      </c>
      <c r="AB35" s="32"/>
      <c r="AC35" s="31">
        <f t="shared" ref="AC35:AD38" si="29">AC10+AC20+AC25+AC30</f>
        <v>0</v>
      </c>
      <c r="AD35" s="31">
        <f t="shared" si="29"/>
        <v>0</v>
      </c>
      <c r="AE35" s="32"/>
      <c r="AF35" s="31">
        <f t="shared" ref="AF35:AG37" si="30">AF10+AF20+AF25+AF30</f>
        <v>0</v>
      </c>
      <c r="AG35" s="31">
        <f t="shared" si="30"/>
        <v>0</v>
      </c>
      <c r="AH35" s="32"/>
      <c r="AI35" s="31">
        <f t="shared" ref="AI35:AJ37" si="31">AI10+AI20+AI25+AI30</f>
        <v>0</v>
      </c>
      <c r="AJ35" s="31">
        <f t="shared" si="31"/>
        <v>0</v>
      </c>
      <c r="AK35" s="32"/>
      <c r="AL35" s="31">
        <f t="shared" ref="AL35:AM37" si="32">AL10+AL20+AL25+AL30</f>
        <v>0</v>
      </c>
      <c r="AM35" s="31">
        <f t="shared" si="32"/>
        <v>0</v>
      </c>
      <c r="AN35" s="32"/>
      <c r="AO35" s="31">
        <f>AO10+AO20+AO25+AO30</f>
        <v>0</v>
      </c>
      <c r="AP35" s="1"/>
      <c r="AQ35" s="32"/>
      <c r="AR35" s="24"/>
      <c r="AS35" s="24"/>
    </row>
    <row r="36" spans="1:45" ht="23.25" customHeight="1" x14ac:dyDescent="0.25">
      <c r="A36" s="133"/>
      <c r="B36" s="133"/>
      <c r="C36" s="133"/>
      <c r="D36" s="30" t="s">
        <v>4</v>
      </c>
      <c r="E36" s="31">
        <f t="shared" si="20"/>
        <v>667405</v>
      </c>
      <c r="F36" s="31">
        <f t="shared" si="20"/>
        <v>454051.3035000001</v>
      </c>
      <c r="G36" s="31">
        <f>F36/E36*100</f>
        <v>68.032349697709805</v>
      </c>
      <c r="H36" s="31">
        <f t="shared" si="22"/>
        <v>13857</v>
      </c>
      <c r="I36" s="31">
        <f t="shared" si="22"/>
        <v>13857</v>
      </c>
      <c r="J36" s="31">
        <f>I36/H36*100</f>
        <v>100</v>
      </c>
      <c r="K36" s="31">
        <f t="shared" si="23"/>
        <v>53132.2</v>
      </c>
      <c r="L36" s="31">
        <f t="shared" si="23"/>
        <v>53023.399999999994</v>
      </c>
      <c r="M36" s="31">
        <f>L36/K36*100</f>
        <v>99.795227752662214</v>
      </c>
      <c r="N36" s="31">
        <f t="shared" si="24"/>
        <v>50822</v>
      </c>
      <c r="O36" s="31">
        <f t="shared" si="24"/>
        <v>50515.6</v>
      </c>
      <c r="P36" s="31">
        <f>O36/N36*100</f>
        <v>99.397111487151236</v>
      </c>
      <c r="Q36" s="31">
        <f t="shared" si="25"/>
        <v>53965.000000000015</v>
      </c>
      <c r="R36" s="31">
        <f t="shared" si="25"/>
        <v>53857.800000000017</v>
      </c>
      <c r="S36" s="31">
        <f>R36/Q36*100</f>
        <v>99.801352728620401</v>
      </c>
      <c r="T36" s="31">
        <f t="shared" si="26"/>
        <v>83880.299999999988</v>
      </c>
      <c r="U36" s="31">
        <f t="shared" si="26"/>
        <v>83934.099999999991</v>
      </c>
      <c r="V36" s="31">
        <f>U36/T36*100</f>
        <v>100.06413901714706</v>
      </c>
      <c r="W36" s="31">
        <f t="shared" si="27"/>
        <v>69734.900000000023</v>
      </c>
      <c r="X36" s="31">
        <f t="shared" si="27"/>
        <v>70169.403500000029</v>
      </c>
      <c r="Y36" s="31">
        <f>X36/W36*100</f>
        <v>100.62307897480316</v>
      </c>
      <c r="Z36" s="31">
        <f t="shared" si="28"/>
        <v>65468</v>
      </c>
      <c r="AA36" s="31">
        <f t="shared" si="28"/>
        <v>65371.4</v>
      </c>
      <c r="AB36" s="31">
        <f>AA36/Z36*100</f>
        <v>99.852446997006169</v>
      </c>
      <c r="AC36" s="31">
        <f t="shared" si="29"/>
        <v>34267.5</v>
      </c>
      <c r="AD36" s="31">
        <f t="shared" si="29"/>
        <v>34150.400000000001</v>
      </c>
      <c r="AE36" s="31">
        <f>AD36/AC36*100</f>
        <v>99.658276792879548</v>
      </c>
      <c r="AF36" s="31">
        <f t="shared" si="30"/>
        <v>29244</v>
      </c>
      <c r="AG36" s="31">
        <f t="shared" si="30"/>
        <v>29172.2</v>
      </c>
      <c r="AH36" s="31">
        <f>AG36/AF36*100</f>
        <v>99.754479551360959</v>
      </c>
      <c r="AI36" s="31">
        <f t="shared" si="31"/>
        <v>52145.1</v>
      </c>
      <c r="AJ36" s="31">
        <f t="shared" si="31"/>
        <v>0</v>
      </c>
      <c r="AK36" s="31">
        <f>AJ36/AI36*100</f>
        <v>0</v>
      </c>
      <c r="AL36" s="31">
        <f t="shared" si="32"/>
        <v>53542</v>
      </c>
      <c r="AM36" s="31">
        <f t="shared" si="32"/>
        <v>0</v>
      </c>
      <c r="AN36" s="31">
        <f>AM36/AL36*100</f>
        <v>0</v>
      </c>
      <c r="AO36" s="31">
        <f>AO11+AO21+AO26+AO31</f>
        <v>107347</v>
      </c>
      <c r="AP36" s="1"/>
      <c r="AQ36" s="31">
        <f>AP36/AO36*100</f>
        <v>0</v>
      </c>
      <c r="AR36" s="24"/>
      <c r="AS36" s="24"/>
    </row>
    <row r="37" spans="1:45" ht="13.5" customHeight="1" x14ac:dyDescent="0.25">
      <c r="A37" s="133"/>
      <c r="B37" s="133"/>
      <c r="C37" s="133"/>
      <c r="D37" s="30" t="s">
        <v>43</v>
      </c>
      <c r="E37" s="31">
        <f t="shared" si="20"/>
        <v>121651.4</v>
      </c>
      <c r="F37" s="31">
        <f t="shared" si="20"/>
        <v>85708.2</v>
      </c>
      <c r="G37" s="31">
        <f>F37/E37*100</f>
        <v>70.453936411747009</v>
      </c>
      <c r="H37" s="31">
        <f t="shared" si="22"/>
        <v>2040</v>
      </c>
      <c r="I37" s="31">
        <f t="shared" si="22"/>
        <v>2040</v>
      </c>
      <c r="J37" s="31">
        <f>I37/H37*100</f>
        <v>100</v>
      </c>
      <c r="K37" s="31">
        <f t="shared" si="23"/>
        <v>11321.3</v>
      </c>
      <c r="L37" s="31">
        <f t="shared" si="23"/>
        <v>11321.3</v>
      </c>
      <c r="M37" s="31">
        <f>L37/K37*100</f>
        <v>100</v>
      </c>
      <c r="N37" s="31">
        <f t="shared" si="24"/>
        <v>9250.5</v>
      </c>
      <c r="O37" s="31">
        <f t="shared" si="24"/>
        <v>9250.5</v>
      </c>
      <c r="P37" s="31">
        <f>O37/N37*100</f>
        <v>100</v>
      </c>
      <c r="Q37" s="31">
        <f t="shared" si="25"/>
        <v>11820.3</v>
      </c>
      <c r="R37" s="31">
        <f t="shared" si="25"/>
        <v>11950.3</v>
      </c>
      <c r="S37" s="31">
        <f>R37/Q37*100</f>
        <v>101.09980288148354</v>
      </c>
      <c r="T37" s="31">
        <f t="shared" si="26"/>
        <v>10210</v>
      </c>
      <c r="U37" s="31">
        <f t="shared" si="26"/>
        <v>10210</v>
      </c>
      <c r="V37" s="31">
        <f>U37/T37*100</f>
        <v>100</v>
      </c>
      <c r="W37" s="31">
        <f t="shared" si="27"/>
        <v>11026.6</v>
      </c>
      <c r="X37" s="31">
        <f t="shared" si="27"/>
        <v>9496.5999999999985</v>
      </c>
      <c r="Y37" s="31">
        <f>X37/W37*100</f>
        <v>86.124462663014882</v>
      </c>
      <c r="Z37" s="31">
        <f t="shared" si="28"/>
        <v>12178.1</v>
      </c>
      <c r="AA37" s="31">
        <f t="shared" si="28"/>
        <v>13978.1</v>
      </c>
      <c r="AB37" s="31">
        <f>AA37/Z37*100</f>
        <v>114.78063080447689</v>
      </c>
      <c r="AC37" s="31">
        <f t="shared" si="29"/>
        <v>8507.1</v>
      </c>
      <c r="AD37" s="31">
        <f t="shared" si="29"/>
        <v>9150.4</v>
      </c>
      <c r="AE37" s="31">
        <f>AD37/AC37*100</f>
        <v>107.56191886776926</v>
      </c>
      <c r="AF37" s="31">
        <f t="shared" si="30"/>
        <v>9354.2999999999993</v>
      </c>
      <c r="AG37" s="31">
        <f t="shared" si="30"/>
        <v>8311</v>
      </c>
      <c r="AH37" s="31">
        <f>AG37/AF37*100</f>
        <v>88.846840490469631</v>
      </c>
      <c r="AI37" s="31">
        <f t="shared" si="31"/>
        <v>10229.700000000001</v>
      </c>
      <c r="AJ37" s="31">
        <f t="shared" si="31"/>
        <v>0</v>
      </c>
      <c r="AK37" s="31">
        <f>AJ37/AI37*100</f>
        <v>0</v>
      </c>
      <c r="AL37" s="31">
        <f t="shared" si="32"/>
        <v>9204.4</v>
      </c>
      <c r="AM37" s="31">
        <f t="shared" si="32"/>
        <v>0</v>
      </c>
      <c r="AN37" s="31">
        <f>AM37/AL37*100</f>
        <v>0</v>
      </c>
      <c r="AO37" s="31">
        <f>AO12+AO22+AO27+AO32</f>
        <v>16509.099999999999</v>
      </c>
      <c r="AP37" s="1"/>
      <c r="AQ37" s="31">
        <f>AP37/AO37*100</f>
        <v>0</v>
      </c>
      <c r="AR37" s="24"/>
      <c r="AS37" s="24"/>
    </row>
    <row r="38" spans="1:45" ht="15" hidden="1" customHeight="1" x14ac:dyDescent="0.25">
      <c r="A38" s="133"/>
      <c r="B38" s="133"/>
      <c r="C38" s="133"/>
      <c r="D38" s="30" t="s">
        <v>21</v>
      </c>
      <c r="E38" s="31">
        <f t="shared" si="20"/>
        <v>0</v>
      </c>
      <c r="F38" s="31">
        <f t="shared" si="20"/>
        <v>0</v>
      </c>
      <c r="G38" s="32"/>
      <c r="H38" s="31">
        <f t="shared" si="22"/>
        <v>0</v>
      </c>
      <c r="I38" s="31">
        <f t="shared" si="22"/>
        <v>0</v>
      </c>
      <c r="J38" s="31"/>
      <c r="K38" s="31">
        <f t="shared" si="23"/>
        <v>0</v>
      </c>
      <c r="L38" s="31">
        <f t="shared" si="23"/>
        <v>0</v>
      </c>
      <c r="M38" s="31"/>
      <c r="N38" s="31">
        <f t="shared" si="24"/>
        <v>0</v>
      </c>
      <c r="O38" s="31">
        <f t="shared" si="24"/>
        <v>0</v>
      </c>
      <c r="P38" s="31"/>
      <c r="Q38" s="31">
        <f t="shared" si="25"/>
        <v>0</v>
      </c>
      <c r="R38" s="31">
        <f t="shared" si="25"/>
        <v>0</v>
      </c>
      <c r="S38" s="31"/>
      <c r="T38" s="31">
        <f t="shared" si="26"/>
        <v>0</v>
      </c>
      <c r="U38" s="31">
        <f t="shared" si="26"/>
        <v>0</v>
      </c>
      <c r="V38" s="31"/>
      <c r="W38" s="31">
        <f t="shared" si="27"/>
        <v>0</v>
      </c>
      <c r="X38" s="31">
        <f t="shared" si="27"/>
        <v>0</v>
      </c>
      <c r="Y38" s="31"/>
      <c r="Z38" s="31">
        <f t="shared" si="28"/>
        <v>0</v>
      </c>
      <c r="AA38" s="31">
        <f t="shared" si="28"/>
        <v>0</v>
      </c>
      <c r="AB38" s="31"/>
      <c r="AC38" s="31">
        <f t="shared" si="29"/>
        <v>0</v>
      </c>
      <c r="AD38" s="31">
        <f t="shared" si="29"/>
        <v>0</v>
      </c>
      <c r="AE38" s="31"/>
      <c r="AF38" s="31">
        <f>AF13+AF23+AF28+AF33</f>
        <v>0</v>
      </c>
      <c r="AG38" s="31"/>
      <c r="AH38" s="31"/>
      <c r="AI38" s="31">
        <f>AI13+AI23+AI28+AI33</f>
        <v>0</v>
      </c>
      <c r="AJ38" s="31"/>
      <c r="AK38" s="31"/>
      <c r="AL38" s="31">
        <f>AL13+AL23+AL28+AL33</f>
        <v>0</v>
      </c>
      <c r="AM38" s="31"/>
      <c r="AN38" s="31"/>
      <c r="AO38" s="31">
        <f>AO13+AO23+AO28+AO33</f>
        <v>0</v>
      </c>
      <c r="AP38" s="1"/>
      <c r="AQ38" s="1"/>
      <c r="AR38" s="24"/>
      <c r="AS38" s="24"/>
    </row>
    <row r="39" spans="1:45" ht="15.75" x14ac:dyDescent="0.25">
      <c r="A39" s="21" t="s">
        <v>46</v>
      </c>
      <c r="B39" s="22" t="s">
        <v>6</v>
      </c>
      <c r="C39" s="22"/>
      <c r="D39" s="22"/>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2"/>
      <c r="AQ39" s="22"/>
      <c r="AR39" s="24"/>
      <c r="AS39" s="24"/>
    </row>
    <row r="40" spans="1:45" ht="14.45" customHeight="1" x14ac:dyDescent="0.25">
      <c r="A40" s="101" t="s">
        <v>45</v>
      </c>
      <c r="B40" s="101" t="s">
        <v>84</v>
      </c>
      <c r="C40" s="101" t="s">
        <v>152</v>
      </c>
      <c r="D40" s="26" t="s">
        <v>3</v>
      </c>
      <c r="E40" s="1">
        <f t="shared" ref="E40:F56" si="33">H40+K40+N40+Q40+T40+W40+Z40+AC40+AF40+AI40+AL40+AO40</f>
        <v>0</v>
      </c>
      <c r="F40" s="1">
        <f t="shared" si="33"/>
        <v>0</v>
      </c>
      <c r="G40" s="1"/>
      <c r="H40" s="1">
        <f>H41+H42+H43+H44</f>
        <v>0</v>
      </c>
      <c r="I40" s="1"/>
      <c r="J40" s="1"/>
      <c r="K40" s="1">
        <f t="shared" ref="K40:AO40" si="34">K41+K42+K43+K44</f>
        <v>0</v>
      </c>
      <c r="L40" s="1"/>
      <c r="M40" s="1"/>
      <c r="N40" s="1">
        <f t="shared" si="34"/>
        <v>0</v>
      </c>
      <c r="O40" s="1"/>
      <c r="P40" s="1"/>
      <c r="Q40" s="1">
        <f t="shared" si="34"/>
        <v>0</v>
      </c>
      <c r="R40" s="1"/>
      <c r="S40" s="1"/>
      <c r="T40" s="1">
        <f t="shared" si="34"/>
        <v>0</v>
      </c>
      <c r="U40" s="1"/>
      <c r="V40" s="1"/>
      <c r="W40" s="1">
        <f t="shared" si="34"/>
        <v>0</v>
      </c>
      <c r="X40" s="1"/>
      <c r="Y40" s="1"/>
      <c r="Z40" s="1">
        <f t="shared" si="34"/>
        <v>0</v>
      </c>
      <c r="AA40" s="1"/>
      <c r="AB40" s="1"/>
      <c r="AC40" s="1">
        <f t="shared" si="34"/>
        <v>0</v>
      </c>
      <c r="AD40" s="1">
        <f t="shared" si="34"/>
        <v>0</v>
      </c>
      <c r="AE40" s="1"/>
      <c r="AF40" s="1">
        <f t="shared" si="34"/>
        <v>0</v>
      </c>
      <c r="AG40" s="1"/>
      <c r="AH40" s="1"/>
      <c r="AI40" s="1">
        <f t="shared" si="34"/>
        <v>0</v>
      </c>
      <c r="AJ40" s="1"/>
      <c r="AK40" s="1"/>
      <c r="AL40" s="1">
        <f t="shared" si="34"/>
        <v>0</v>
      </c>
      <c r="AM40" s="1"/>
      <c r="AN40" s="1"/>
      <c r="AO40" s="1">
        <f t="shared" si="34"/>
        <v>0</v>
      </c>
      <c r="AP40" s="1"/>
      <c r="AQ40" s="1"/>
      <c r="AR40" s="24"/>
      <c r="AS40" s="24"/>
    </row>
    <row r="41" spans="1:45" x14ac:dyDescent="0.25">
      <c r="A41" s="101"/>
      <c r="B41" s="101"/>
      <c r="C41" s="101"/>
      <c r="D41" s="26" t="s">
        <v>20</v>
      </c>
      <c r="E41" s="1">
        <f t="shared" si="33"/>
        <v>0</v>
      </c>
      <c r="F41" s="1">
        <f t="shared" si="33"/>
        <v>0</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24"/>
      <c r="AS41" s="24"/>
    </row>
    <row r="42" spans="1:45" ht="24" x14ac:dyDescent="0.25">
      <c r="A42" s="101"/>
      <c r="B42" s="101"/>
      <c r="C42" s="101"/>
      <c r="D42" s="26" t="s">
        <v>4</v>
      </c>
      <c r="E42" s="1">
        <f t="shared" si="33"/>
        <v>0</v>
      </c>
      <c r="F42" s="1">
        <f t="shared" si="33"/>
        <v>0</v>
      </c>
      <c r="G42" s="1"/>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24"/>
      <c r="AS42" s="24"/>
    </row>
    <row r="43" spans="1:45" x14ac:dyDescent="0.25">
      <c r="A43" s="101"/>
      <c r="B43" s="101"/>
      <c r="C43" s="101"/>
      <c r="D43" s="26" t="s">
        <v>43</v>
      </c>
      <c r="E43" s="1">
        <f t="shared" si="33"/>
        <v>0</v>
      </c>
      <c r="F43" s="1">
        <f t="shared" si="33"/>
        <v>0</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24"/>
      <c r="AS43" s="24"/>
    </row>
    <row r="44" spans="1:45" x14ac:dyDescent="0.25">
      <c r="A44" s="101"/>
      <c r="B44" s="101"/>
      <c r="C44" s="101"/>
      <c r="D44" s="26" t="s">
        <v>21</v>
      </c>
      <c r="E44" s="1">
        <f t="shared" si="33"/>
        <v>0</v>
      </c>
      <c r="F44" s="1">
        <f t="shared" si="33"/>
        <v>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24"/>
      <c r="AS44" s="24"/>
    </row>
    <row r="45" spans="1:45" ht="14.45" customHeight="1" x14ac:dyDescent="0.25">
      <c r="A45" s="98" t="s">
        <v>47</v>
      </c>
      <c r="B45" s="98" t="s">
        <v>85</v>
      </c>
      <c r="C45" s="98" t="s">
        <v>115</v>
      </c>
      <c r="D45" s="26" t="s">
        <v>3</v>
      </c>
      <c r="E45" s="1">
        <f>H45+K45+N45+Q45+T45+W45+Z45+AC45+AF45+AI45+AL45+AO45</f>
        <v>12507.199999999999</v>
      </c>
      <c r="F45" s="1">
        <f>I45+L45+O45+R45+U45+X45+AA45+AD45+AG45+AJ45+AM45+AP45</f>
        <v>945</v>
      </c>
      <c r="G45" s="1">
        <f>F45/E45*100</f>
        <v>7.5556479467826536</v>
      </c>
      <c r="H45" s="1">
        <f>H46+H47+H48+H49</f>
        <v>0</v>
      </c>
      <c r="I45" s="1"/>
      <c r="J45" s="1"/>
      <c r="K45" s="1">
        <f t="shared" ref="K45:AO45" si="35">K46+K47+K48+K49</f>
        <v>0</v>
      </c>
      <c r="L45" s="1"/>
      <c r="M45" s="1"/>
      <c r="N45" s="1">
        <f t="shared" si="35"/>
        <v>0</v>
      </c>
      <c r="O45" s="1">
        <f t="shared" si="35"/>
        <v>0</v>
      </c>
      <c r="P45" s="1"/>
      <c r="Q45" s="1">
        <f t="shared" si="35"/>
        <v>0</v>
      </c>
      <c r="R45" s="1">
        <f t="shared" si="35"/>
        <v>0</v>
      </c>
      <c r="S45" s="1"/>
      <c r="T45" s="1">
        <f t="shared" si="35"/>
        <v>320</v>
      </c>
      <c r="U45" s="1">
        <f t="shared" si="35"/>
        <v>320</v>
      </c>
      <c r="V45" s="1">
        <f>U45/T45*100</f>
        <v>100</v>
      </c>
      <c r="W45" s="1">
        <f t="shared" si="35"/>
        <v>625</v>
      </c>
      <c r="X45" s="1">
        <f t="shared" si="35"/>
        <v>625</v>
      </c>
      <c r="Y45" s="1">
        <f>X45/W45*100</f>
        <v>100</v>
      </c>
      <c r="Z45" s="1">
        <f t="shared" si="35"/>
        <v>0</v>
      </c>
      <c r="AA45" s="1">
        <f t="shared" si="35"/>
        <v>0</v>
      </c>
      <c r="AB45" s="1"/>
      <c r="AC45" s="1">
        <f t="shared" si="35"/>
        <v>0</v>
      </c>
      <c r="AD45" s="1">
        <f t="shared" si="35"/>
        <v>0</v>
      </c>
      <c r="AE45" s="1"/>
      <c r="AF45" s="1">
        <f t="shared" si="35"/>
        <v>8355.2000000000007</v>
      </c>
      <c r="AG45" s="1">
        <f t="shared" si="35"/>
        <v>0</v>
      </c>
      <c r="AH45" s="1"/>
      <c r="AI45" s="1">
        <f t="shared" si="35"/>
        <v>0</v>
      </c>
      <c r="AJ45" s="1">
        <f t="shared" si="35"/>
        <v>0</v>
      </c>
      <c r="AK45" s="1" t="e">
        <f>AJ45/AI45*100</f>
        <v>#DIV/0!</v>
      </c>
      <c r="AL45" s="1">
        <f t="shared" si="35"/>
        <v>0</v>
      </c>
      <c r="AM45" s="1"/>
      <c r="AN45" s="1" t="e">
        <f>AM45/AL45*100</f>
        <v>#DIV/0!</v>
      </c>
      <c r="AO45" s="1">
        <f t="shared" si="35"/>
        <v>3206.9999999999982</v>
      </c>
      <c r="AP45" s="1"/>
      <c r="AQ45" s="1"/>
      <c r="AR45" s="34"/>
      <c r="AS45" s="34"/>
    </row>
    <row r="46" spans="1:45" x14ac:dyDescent="0.25">
      <c r="A46" s="99"/>
      <c r="B46" s="99"/>
      <c r="C46" s="99"/>
      <c r="D46" s="26" t="s">
        <v>20</v>
      </c>
      <c r="E46" s="1">
        <f t="shared" si="33"/>
        <v>0</v>
      </c>
      <c r="F46" s="1">
        <f t="shared" si="33"/>
        <v>0</v>
      </c>
      <c r="G46" s="1"/>
      <c r="H46" s="1"/>
      <c r="I46" s="1"/>
      <c r="J46" s="1"/>
      <c r="K46" s="1"/>
      <c r="L46" s="1"/>
      <c r="M46" s="1"/>
      <c r="N46" s="1"/>
      <c r="O46" s="1"/>
      <c r="P46" s="27"/>
      <c r="Q46" s="1"/>
      <c r="R46" s="1"/>
      <c r="S46" s="1"/>
      <c r="T46" s="1"/>
      <c r="U46" s="1"/>
      <c r="V46" s="1"/>
      <c r="W46" s="1"/>
      <c r="X46" s="1"/>
      <c r="Y46" s="1"/>
      <c r="Z46" s="1"/>
      <c r="AA46" s="1"/>
      <c r="AB46" s="1"/>
      <c r="AC46" s="1"/>
      <c r="AD46" s="1"/>
      <c r="AE46" s="1"/>
      <c r="AF46" s="1">
        <v>0</v>
      </c>
      <c r="AG46" s="1"/>
      <c r="AH46" s="1"/>
      <c r="AI46" s="1"/>
      <c r="AJ46" s="1"/>
      <c r="AK46" s="1"/>
      <c r="AL46" s="1"/>
      <c r="AM46" s="1"/>
      <c r="AN46" s="1"/>
      <c r="AO46" s="1"/>
      <c r="AP46" s="1"/>
      <c r="AQ46" s="1"/>
      <c r="AR46" s="28"/>
      <c r="AS46" s="28"/>
    </row>
    <row r="47" spans="1:45" ht="24" x14ac:dyDescent="0.25">
      <c r="A47" s="99"/>
      <c r="B47" s="99"/>
      <c r="C47" s="99"/>
      <c r="D47" s="26" t="s">
        <v>4</v>
      </c>
      <c r="E47" s="1">
        <f t="shared" si="33"/>
        <v>0</v>
      </c>
      <c r="F47" s="1">
        <f t="shared" si="33"/>
        <v>0</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28"/>
      <c r="AS47" s="28"/>
    </row>
    <row r="48" spans="1:45" ht="75.75" customHeight="1" x14ac:dyDescent="0.25">
      <c r="A48" s="99"/>
      <c r="B48" s="99"/>
      <c r="C48" s="99"/>
      <c r="D48" s="26" t="s">
        <v>43</v>
      </c>
      <c r="E48" s="1">
        <f t="shared" si="33"/>
        <v>12507.199999999999</v>
      </c>
      <c r="F48" s="1">
        <f t="shared" si="33"/>
        <v>945</v>
      </c>
      <c r="G48" s="1">
        <f>F48/E48*100</f>
        <v>7.5556479467826536</v>
      </c>
      <c r="H48" s="1"/>
      <c r="I48" s="1"/>
      <c r="J48" s="1"/>
      <c r="K48" s="1"/>
      <c r="L48" s="1"/>
      <c r="M48" s="1"/>
      <c r="N48" s="1"/>
      <c r="O48" s="1"/>
      <c r="P48" s="1"/>
      <c r="Q48" s="1"/>
      <c r="R48" s="1"/>
      <c r="S48" s="1"/>
      <c r="T48" s="1">
        <v>320</v>
      </c>
      <c r="U48" s="1">
        <v>320</v>
      </c>
      <c r="V48" s="1">
        <f>U48/T48*100</f>
        <v>100</v>
      </c>
      <c r="W48" s="1">
        <f>689.1-64.1</f>
        <v>625</v>
      </c>
      <c r="X48" s="1">
        <v>625</v>
      </c>
      <c r="Y48" s="1">
        <f>X48/W48*100</f>
        <v>100</v>
      </c>
      <c r="Z48" s="1"/>
      <c r="AA48" s="1"/>
      <c r="AB48" s="1"/>
      <c r="AC48" s="1"/>
      <c r="AD48" s="1"/>
      <c r="AE48" s="1"/>
      <c r="AF48" s="1">
        <v>8355.2000000000007</v>
      </c>
      <c r="AG48" s="1"/>
      <c r="AH48" s="1"/>
      <c r="AI48" s="1"/>
      <c r="AJ48" s="1"/>
      <c r="AK48" s="1"/>
      <c r="AL48" s="1"/>
      <c r="AM48" s="1"/>
      <c r="AN48" s="1"/>
      <c r="AO48" s="1">
        <f>19149.3-6917.6+64.1-733.6-8355.2</f>
        <v>3206.9999999999982</v>
      </c>
      <c r="AP48" s="1"/>
      <c r="AQ48" s="1"/>
      <c r="AR48" s="28" t="s">
        <v>221</v>
      </c>
      <c r="AS48" s="28" t="s">
        <v>223</v>
      </c>
    </row>
    <row r="49" spans="1:45" ht="15" customHeight="1" x14ac:dyDescent="0.25">
      <c r="A49" s="99"/>
      <c r="B49" s="99"/>
      <c r="C49" s="99"/>
      <c r="D49" s="26" t="s">
        <v>21</v>
      </c>
      <c r="E49" s="1">
        <f t="shared" si="33"/>
        <v>0</v>
      </c>
      <c r="F49" s="1">
        <f t="shared" si="33"/>
        <v>0</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34"/>
      <c r="AS49" s="35"/>
    </row>
    <row r="50" spans="1:45" ht="15" customHeight="1" x14ac:dyDescent="0.25">
      <c r="A50" s="100"/>
      <c r="B50" s="100"/>
      <c r="C50" s="100"/>
      <c r="D50" s="30" t="s">
        <v>119</v>
      </c>
      <c r="E50" s="1"/>
      <c r="F50" s="1">
        <f t="shared" si="33"/>
        <v>1472.3</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v>1472.3</v>
      </c>
      <c r="AH50" s="1"/>
      <c r="AI50" s="1"/>
      <c r="AJ50" s="1"/>
      <c r="AK50" s="1"/>
      <c r="AL50" s="1"/>
      <c r="AM50" s="1"/>
      <c r="AN50" s="1"/>
      <c r="AO50" s="1"/>
      <c r="AP50" s="1"/>
      <c r="AQ50" s="1"/>
      <c r="AR50" s="35"/>
      <c r="AS50" s="35"/>
    </row>
    <row r="51" spans="1:45" ht="21.6" customHeight="1" x14ac:dyDescent="0.25">
      <c r="A51" s="101" t="s">
        <v>48</v>
      </c>
      <c r="B51" s="101" t="s">
        <v>123</v>
      </c>
      <c r="C51" s="101" t="s">
        <v>167</v>
      </c>
      <c r="D51" s="26" t="s">
        <v>3</v>
      </c>
      <c r="E51" s="1">
        <f t="shared" si="33"/>
        <v>831997</v>
      </c>
      <c r="F51" s="1">
        <f t="shared" si="33"/>
        <v>37750.699999999997</v>
      </c>
      <c r="G51" s="1">
        <f>F51/E51*100</f>
        <v>4.5373601106734762</v>
      </c>
      <c r="H51" s="1">
        <f>H52+H53+H54+H55</f>
        <v>0</v>
      </c>
      <c r="I51" s="1">
        <f>I52+I53+I54+I55</f>
        <v>0</v>
      </c>
      <c r="J51" s="1"/>
      <c r="K51" s="1">
        <f>K52+K53+K54+K55</f>
        <v>0</v>
      </c>
      <c r="L51" s="1">
        <f>L52+L53+L54+L55</f>
        <v>0</v>
      </c>
      <c r="M51" s="1"/>
      <c r="N51" s="1">
        <f>N52+N53+N54+N55</f>
        <v>0</v>
      </c>
      <c r="O51" s="1">
        <f>O52+O53+O54+O55</f>
        <v>0</v>
      </c>
      <c r="P51" s="1"/>
      <c r="Q51" s="1">
        <f>Q52+Q53+Q54+Q55</f>
        <v>0</v>
      </c>
      <c r="R51" s="1">
        <f>R52+R53+R54+R55</f>
        <v>0</v>
      </c>
      <c r="S51" s="1"/>
      <c r="T51" s="1">
        <f>T52+T53+T54+T55</f>
        <v>0</v>
      </c>
      <c r="U51" s="1">
        <f>U52+U53+U54+U55</f>
        <v>0</v>
      </c>
      <c r="V51" s="1"/>
      <c r="W51" s="1">
        <f>W52+W53+W54+W55</f>
        <v>0</v>
      </c>
      <c r="X51" s="1">
        <f>X52+X53+X54+X55</f>
        <v>0</v>
      </c>
      <c r="Y51" s="1"/>
      <c r="Z51" s="1">
        <f t="shared" ref="Z51:AO51" si="36">Z52+Z53+Z54+Z55</f>
        <v>58539.4</v>
      </c>
      <c r="AA51" s="1">
        <f t="shared" si="36"/>
        <v>37750.699999999997</v>
      </c>
      <c r="AB51" s="1"/>
      <c r="AC51" s="1">
        <f t="shared" si="36"/>
        <v>0</v>
      </c>
      <c r="AD51" s="1">
        <f t="shared" si="36"/>
        <v>0</v>
      </c>
      <c r="AE51" s="1"/>
      <c r="AF51" s="1">
        <f t="shared" si="36"/>
        <v>572761.39999999991</v>
      </c>
      <c r="AG51" s="1">
        <f t="shared" si="36"/>
        <v>0</v>
      </c>
      <c r="AH51" s="1">
        <f>AG51/AF51*100</f>
        <v>0</v>
      </c>
      <c r="AI51" s="1">
        <f t="shared" si="36"/>
        <v>83615</v>
      </c>
      <c r="AJ51" s="1">
        <f t="shared" si="36"/>
        <v>0</v>
      </c>
      <c r="AK51" s="1"/>
      <c r="AL51" s="1">
        <f t="shared" si="36"/>
        <v>58540.6</v>
      </c>
      <c r="AM51" s="1"/>
      <c r="AN51" s="1"/>
      <c r="AO51" s="1">
        <f t="shared" si="36"/>
        <v>58540.600000000115</v>
      </c>
      <c r="AP51" s="1"/>
      <c r="AQ51" s="1"/>
      <c r="AR51" s="24"/>
      <c r="AS51" s="24"/>
    </row>
    <row r="52" spans="1:45" ht="21.6" customHeight="1" x14ac:dyDescent="0.25">
      <c r="A52" s="101"/>
      <c r="B52" s="101"/>
      <c r="C52" s="101"/>
      <c r="D52" s="26" t="s">
        <v>20</v>
      </c>
      <c r="E52" s="1">
        <f t="shared" si="33"/>
        <v>13344.8</v>
      </c>
      <c r="F52" s="1">
        <f t="shared" si="33"/>
        <v>13250.5</v>
      </c>
      <c r="G52" s="1">
        <f>F52/E52*100</f>
        <v>99.293357712367367</v>
      </c>
      <c r="H52" s="1">
        <f>H57+H62+H67</f>
        <v>0</v>
      </c>
      <c r="I52" s="1">
        <f>I57+I62+I67</f>
        <v>0</v>
      </c>
      <c r="J52" s="1"/>
      <c r="K52" s="1">
        <f>K57+K62+K67</f>
        <v>0</v>
      </c>
      <c r="L52" s="1">
        <f>L57+L62+L67</f>
        <v>0</v>
      </c>
      <c r="M52" s="27"/>
      <c r="N52" s="1">
        <f>N57+N62+N67</f>
        <v>0</v>
      </c>
      <c r="O52" s="1">
        <f>O57+O62+O67</f>
        <v>0</v>
      </c>
      <c r="P52" s="1"/>
      <c r="Q52" s="1">
        <f>Q57+Q62+Q67</f>
        <v>0</v>
      </c>
      <c r="R52" s="1">
        <f>R57+R62+R67</f>
        <v>0</v>
      </c>
      <c r="S52" s="1"/>
      <c r="T52" s="1">
        <f>T57+T62+T67</f>
        <v>0</v>
      </c>
      <c r="U52" s="1">
        <f>U57+U62+U67</f>
        <v>0</v>
      </c>
      <c r="V52" s="1"/>
      <c r="W52" s="1">
        <f>W57+W62+W67</f>
        <v>0</v>
      </c>
      <c r="X52" s="1">
        <f>X57+X62+X67</f>
        <v>0</v>
      </c>
      <c r="Y52" s="1"/>
      <c r="Z52" s="1">
        <f>Z57+Z62+Z67</f>
        <v>13344.8</v>
      </c>
      <c r="AA52" s="1">
        <f>AA57+AA62+AA67</f>
        <v>13250.5</v>
      </c>
      <c r="AB52" s="1"/>
      <c r="AC52" s="1">
        <f>AC57+AC62+AC67</f>
        <v>0</v>
      </c>
      <c r="AD52" s="1">
        <f>AD57+AD62+AD67</f>
        <v>0</v>
      </c>
      <c r="AE52" s="1"/>
      <c r="AF52" s="1">
        <f>AF57+AF62+AF67</f>
        <v>0</v>
      </c>
      <c r="AG52" s="1"/>
      <c r="AH52" s="1"/>
      <c r="AI52" s="1">
        <f>AI57+AI62+AI67</f>
        <v>0</v>
      </c>
      <c r="AJ52" s="1"/>
      <c r="AK52" s="1"/>
      <c r="AL52" s="1">
        <f>AL57+AL62+AL67</f>
        <v>0</v>
      </c>
      <c r="AM52" s="1"/>
      <c r="AN52" s="1"/>
      <c r="AO52" s="1">
        <f>AO57+AO62+AO67</f>
        <v>0</v>
      </c>
      <c r="AP52" s="1"/>
      <c r="AQ52" s="1"/>
      <c r="AR52" s="24"/>
      <c r="AS52" s="24"/>
    </row>
    <row r="53" spans="1:45" ht="21.6" customHeight="1" x14ac:dyDescent="0.25">
      <c r="A53" s="101"/>
      <c r="B53" s="101"/>
      <c r="C53" s="101"/>
      <c r="D53" s="26" t="s">
        <v>4</v>
      </c>
      <c r="E53" s="1">
        <f t="shared" si="33"/>
        <v>735449.4</v>
      </c>
      <c r="F53" s="1">
        <f t="shared" si="33"/>
        <v>20725.099999999999</v>
      </c>
      <c r="G53" s="1">
        <f>F53/E53*100</f>
        <v>2.8180184795854069</v>
      </c>
      <c r="H53" s="1">
        <f t="shared" ref="H53:I55" si="37">H58+H63+H68</f>
        <v>0</v>
      </c>
      <c r="I53" s="1">
        <f t="shared" si="37"/>
        <v>0</v>
      </c>
      <c r="J53" s="1"/>
      <c r="K53" s="1">
        <f t="shared" ref="K53:L54" si="38">K58+K63+K68</f>
        <v>0</v>
      </c>
      <c r="L53" s="1">
        <f t="shared" si="38"/>
        <v>0</v>
      </c>
      <c r="M53" s="1"/>
      <c r="N53" s="1">
        <f t="shared" ref="N53:O55" si="39">N58+N63+N68</f>
        <v>0</v>
      </c>
      <c r="O53" s="1">
        <f t="shared" si="39"/>
        <v>0</v>
      </c>
      <c r="P53" s="1"/>
      <c r="Q53" s="1">
        <f t="shared" ref="Q53:R55" si="40">Q58+Q63+Q68</f>
        <v>0</v>
      </c>
      <c r="R53" s="1">
        <f t="shared" si="40"/>
        <v>0</v>
      </c>
      <c r="S53" s="1"/>
      <c r="T53" s="1">
        <f t="shared" ref="T53:U55" si="41">T58+T63+T68</f>
        <v>0</v>
      </c>
      <c r="U53" s="1">
        <f t="shared" si="41"/>
        <v>0</v>
      </c>
      <c r="V53" s="1"/>
      <c r="W53" s="1">
        <f t="shared" ref="W53:X55" si="42">W58+W63+W68</f>
        <v>0</v>
      </c>
      <c r="X53" s="1">
        <f t="shared" si="42"/>
        <v>0</v>
      </c>
      <c r="Y53" s="1"/>
      <c r="Z53" s="1">
        <f t="shared" ref="Z53:AA55" si="43">Z58+Z63+Z68</f>
        <v>39340.699999999997</v>
      </c>
      <c r="AA53" s="1">
        <f t="shared" si="43"/>
        <v>20725.099999999999</v>
      </c>
      <c r="AB53" s="1"/>
      <c r="AC53" s="1">
        <f t="shared" ref="AC53:AD55" si="44">AC58+AC63+AC68</f>
        <v>0</v>
      </c>
      <c r="AD53" s="1">
        <f t="shared" si="44"/>
        <v>0</v>
      </c>
      <c r="AE53" s="1"/>
      <c r="AF53" s="1">
        <f t="shared" ref="AF53:AG55" si="45">AF58+AF63+AF68</f>
        <v>538052.19999999995</v>
      </c>
      <c r="AG53" s="1"/>
      <c r="AH53" s="1">
        <f>AG53/AF53*100</f>
        <v>0</v>
      </c>
      <c r="AI53" s="1">
        <f t="shared" ref="AI53:AI55" si="46">AI58+AI63+AI68</f>
        <v>52685.5</v>
      </c>
      <c r="AJ53" s="1"/>
      <c r="AK53" s="1"/>
      <c r="AL53" s="1">
        <f t="shared" ref="AL53:AL55" si="47">AL58+AL63+AL68</f>
        <v>52685.5</v>
      </c>
      <c r="AM53" s="1"/>
      <c r="AN53" s="1"/>
      <c r="AO53" s="1">
        <f t="shared" ref="AO53:AO55" si="48">AO58+AO63+AO68</f>
        <v>52685.500000000116</v>
      </c>
      <c r="AP53" s="1"/>
      <c r="AQ53" s="1"/>
      <c r="AR53" s="24"/>
      <c r="AS53" s="24"/>
    </row>
    <row r="54" spans="1:45" ht="21.6" customHeight="1" x14ac:dyDescent="0.25">
      <c r="A54" s="101"/>
      <c r="B54" s="101"/>
      <c r="C54" s="101"/>
      <c r="D54" s="26" t="s">
        <v>43</v>
      </c>
      <c r="E54" s="1">
        <f t="shared" si="33"/>
        <v>83202.800000000017</v>
      </c>
      <c r="F54" s="1">
        <f t="shared" si="33"/>
        <v>3775.1</v>
      </c>
      <c r="G54" s="1">
        <f>F54/E54*100</f>
        <v>4.5372271125490959</v>
      </c>
      <c r="H54" s="1">
        <f t="shared" si="37"/>
        <v>0</v>
      </c>
      <c r="I54" s="1">
        <f t="shared" si="37"/>
        <v>0</v>
      </c>
      <c r="J54" s="1"/>
      <c r="K54" s="1">
        <f t="shared" si="38"/>
        <v>0</v>
      </c>
      <c r="L54" s="1">
        <f t="shared" si="38"/>
        <v>0</v>
      </c>
      <c r="M54" s="1"/>
      <c r="N54" s="1">
        <f t="shared" si="39"/>
        <v>0</v>
      </c>
      <c r="O54" s="1">
        <f t="shared" si="39"/>
        <v>0</v>
      </c>
      <c r="P54" s="1"/>
      <c r="Q54" s="1">
        <f t="shared" si="40"/>
        <v>0</v>
      </c>
      <c r="R54" s="1">
        <f t="shared" si="40"/>
        <v>0</v>
      </c>
      <c r="S54" s="1"/>
      <c r="T54" s="1">
        <f t="shared" si="41"/>
        <v>0</v>
      </c>
      <c r="U54" s="1">
        <f t="shared" si="41"/>
        <v>0</v>
      </c>
      <c r="V54" s="1"/>
      <c r="W54" s="1">
        <f t="shared" si="42"/>
        <v>0</v>
      </c>
      <c r="X54" s="1">
        <f t="shared" si="42"/>
        <v>0</v>
      </c>
      <c r="Y54" s="1"/>
      <c r="Z54" s="1">
        <f t="shared" si="43"/>
        <v>5853.9</v>
      </c>
      <c r="AA54" s="1">
        <f t="shared" si="43"/>
        <v>3775.1</v>
      </c>
      <c r="AB54" s="1"/>
      <c r="AC54" s="1">
        <f t="shared" si="44"/>
        <v>0</v>
      </c>
      <c r="AD54" s="1">
        <f t="shared" si="44"/>
        <v>0</v>
      </c>
      <c r="AE54" s="1"/>
      <c r="AF54" s="1">
        <f t="shared" si="45"/>
        <v>34709.199999999997</v>
      </c>
      <c r="AG54" s="1">
        <f t="shared" si="45"/>
        <v>0</v>
      </c>
      <c r="AH54" s="1">
        <f>AG54/AF54*100</f>
        <v>0</v>
      </c>
      <c r="AI54" s="1">
        <f t="shared" si="46"/>
        <v>30929.5</v>
      </c>
      <c r="AJ54" s="1"/>
      <c r="AK54" s="1"/>
      <c r="AL54" s="1">
        <f t="shared" si="47"/>
        <v>5855.1</v>
      </c>
      <c r="AM54" s="1"/>
      <c r="AN54" s="1"/>
      <c r="AO54" s="1">
        <f t="shared" si="48"/>
        <v>5855.1</v>
      </c>
      <c r="AP54" s="1"/>
      <c r="AQ54" s="1"/>
      <c r="AR54" s="21"/>
      <c r="AS54" s="21"/>
    </row>
    <row r="55" spans="1:45" ht="21.6" customHeight="1" x14ac:dyDescent="0.25">
      <c r="A55" s="101"/>
      <c r="B55" s="101"/>
      <c r="C55" s="101"/>
      <c r="D55" s="26" t="s">
        <v>21</v>
      </c>
      <c r="E55" s="1">
        <f t="shared" si="33"/>
        <v>0</v>
      </c>
      <c r="F55" s="1">
        <f t="shared" si="33"/>
        <v>0</v>
      </c>
      <c r="G55" s="27"/>
      <c r="H55" s="1">
        <f t="shared" si="37"/>
        <v>0</v>
      </c>
      <c r="I55" s="1">
        <f t="shared" si="37"/>
        <v>0</v>
      </c>
      <c r="J55" s="1"/>
      <c r="K55" s="1"/>
      <c r="L55" s="1"/>
      <c r="M55" s="27"/>
      <c r="N55" s="1">
        <f t="shared" si="39"/>
        <v>0</v>
      </c>
      <c r="O55" s="1">
        <f t="shared" si="39"/>
        <v>0</v>
      </c>
      <c r="P55" s="1"/>
      <c r="Q55" s="1">
        <f t="shared" si="40"/>
        <v>0</v>
      </c>
      <c r="R55" s="1">
        <f t="shared" si="40"/>
        <v>0</v>
      </c>
      <c r="S55" s="1"/>
      <c r="T55" s="1">
        <f t="shared" si="41"/>
        <v>0</v>
      </c>
      <c r="U55" s="1">
        <f t="shared" si="41"/>
        <v>0</v>
      </c>
      <c r="V55" s="1"/>
      <c r="W55" s="1">
        <f t="shared" si="42"/>
        <v>0</v>
      </c>
      <c r="X55" s="1">
        <f t="shared" si="42"/>
        <v>0</v>
      </c>
      <c r="Y55" s="1"/>
      <c r="Z55" s="1">
        <f t="shared" si="43"/>
        <v>0</v>
      </c>
      <c r="AA55" s="1">
        <f t="shared" si="43"/>
        <v>0</v>
      </c>
      <c r="AB55" s="1"/>
      <c r="AC55" s="1">
        <f t="shared" si="44"/>
        <v>0</v>
      </c>
      <c r="AD55" s="1"/>
      <c r="AE55" s="1"/>
      <c r="AF55" s="1">
        <f t="shared" si="45"/>
        <v>0</v>
      </c>
      <c r="AG55" s="1"/>
      <c r="AH55" s="27"/>
      <c r="AI55" s="1">
        <f t="shared" si="46"/>
        <v>0</v>
      </c>
      <c r="AJ55" s="1"/>
      <c r="AK55" s="1"/>
      <c r="AL55" s="1">
        <f t="shared" si="47"/>
        <v>0</v>
      </c>
      <c r="AM55" s="1"/>
      <c r="AN55" s="1"/>
      <c r="AO55" s="1">
        <f t="shared" si="48"/>
        <v>0</v>
      </c>
      <c r="AP55" s="1"/>
      <c r="AQ55" s="1"/>
      <c r="AR55" s="24"/>
      <c r="AS55" s="24"/>
    </row>
    <row r="56" spans="1:45" ht="15" customHeight="1" x14ac:dyDescent="0.25">
      <c r="A56" s="101" t="s">
        <v>120</v>
      </c>
      <c r="B56" s="101" t="s">
        <v>124</v>
      </c>
      <c r="C56" s="101" t="s">
        <v>153</v>
      </c>
      <c r="D56" s="26" t="s">
        <v>3</v>
      </c>
      <c r="E56" s="1">
        <f t="shared" si="33"/>
        <v>831997</v>
      </c>
      <c r="F56" s="1">
        <f t="shared" si="33"/>
        <v>37750.699999999997</v>
      </c>
      <c r="G56" s="1">
        <f>F56/E56*100</f>
        <v>4.5373601106734762</v>
      </c>
      <c r="H56" s="1">
        <f>H57+H58+H59+H60</f>
        <v>0</v>
      </c>
      <c r="I56" s="1"/>
      <c r="J56" s="1"/>
      <c r="K56" s="1">
        <f t="shared" ref="K56:AO56" si="49">K57+K58+K59+K60</f>
        <v>0</v>
      </c>
      <c r="L56" s="1">
        <f t="shared" si="49"/>
        <v>0</v>
      </c>
      <c r="M56" s="1"/>
      <c r="N56" s="1">
        <f t="shared" si="49"/>
        <v>0</v>
      </c>
      <c r="O56" s="1"/>
      <c r="P56" s="1"/>
      <c r="Q56" s="1">
        <f t="shared" si="49"/>
        <v>0</v>
      </c>
      <c r="R56" s="1"/>
      <c r="S56" s="1"/>
      <c r="T56" s="1">
        <f t="shared" si="49"/>
        <v>0</v>
      </c>
      <c r="U56" s="1"/>
      <c r="V56" s="1"/>
      <c r="W56" s="1">
        <f t="shared" si="49"/>
        <v>0</v>
      </c>
      <c r="X56" s="1"/>
      <c r="Y56" s="1"/>
      <c r="Z56" s="1">
        <f t="shared" ref="Z56" si="50">Z57+Z58+Z59+Z60</f>
        <v>58539.4</v>
      </c>
      <c r="AA56" s="1">
        <f t="shared" si="49"/>
        <v>37750.699999999997</v>
      </c>
      <c r="AB56" s="1"/>
      <c r="AC56" s="1">
        <f t="shared" si="49"/>
        <v>0</v>
      </c>
      <c r="AD56" s="1">
        <f t="shared" si="49"/>
        <v>0</v>
      </c>
      <c r="AE56" s="1"/>
      <c r="AF56" s="1">
        <f t="shared" si="49"/>
        <v>572761.39999999991</v>
      </c>
      <c r="AG56" s="1"/>
      <c r="AH56" s="1">
        <f>AG56/AF56*100</f>
        <v>0</v>
      </c>
      <c r="AI56" s="1">
        <f t="shared" si="49"/>
        <v>83615</v>
      </c>
      <c r="AJ56" s="1"/>
      <c r="AK56" s="1"/>
      <c r="AL56" s="1">
        <f t="shared" si="49"/>
        <v>58540.6</v>
      </c>
      <c r="AM56" s="1"/>
      <c r="AN56" s="1"/>
      <c r="AO56" s="1">
        <f t="shared" si="49"/>
        <v>58540.600000000115</v>
      </c>
      <c r="AP56" s="1"/>
      <c r="AQ56" s="1"/>
      <c r="AR56" s="24"/>
      <c r="AS56" s="24"/>
    </row>
    <row r="57" spans="1:45" ht="38.25" customHeight="1" x14ac:dyDescent="0.25">
      <c r="A57" s="101"/>
      <c r="B57" s="101"/>
      <c r="C57" s="101"/>
      <c r="D57" s="26" t="s">
        <v>20</v>
      </c>
      <c r="E57" s="1">
        <f t="shared" ref="E57:F87" si="51">H57+K57+N57+Q57+T57+W57+Z57+AC57+AF57+AI57+AL57+AO57</f>
        <v>13344.8</v>
      </c>
      <c r="F57" s="1">
        <f t="shared" si="51"/>
        <v>13250.5</v>
      </c>
      <c r="G57" s="1">
        <f>F57/E57*100</f>
        <v>99.293357712367367</v>
      </c>
      <c r="H57" s="1"/>
      <c r="I57" s="1"/>
      <c r="J57" s="1"/>
      <c r="K57" s="1"/>
      <c r="L57" s="1"/>
      <c r="M57" s="27"/>
      <c r="N57" s="1"/>
      <c r="O57" s="1"/>
      <c r="P57" s="27"/>
      <c r="Q57" s="1"/>
      <c r="R57" s="1"/>
      <c r="S57" s="1"/>
      <c r="T57" s="1"/>
      <c r="U57" s="1"/>
      <c r="V57" s="1"/>
      <c r="W57" s="1"/>
      <c r="X57" s="1"/>
      <c r="Y57" s="1"/>
      <c r="Z57" s="1">
        <v>13344.8</v>
      </c>
      <c r="AA57" s="1">
        <v>13250.5</v>
      </c>
      <c r="AB57" s="1"/>
      <c r="AC57" s="1"/>
      <c r="AD57" s="1"/>
      <c r="AE57" s="1"/>
      <c r="AF57" s="1">
        <v>0</v>
      </c>
      <c r="AG57" s="1"/>
      <c r="AH57" s="1"/>
      <c r="AI57" s="1">
        <v>0</v>
      </c>
      <c r="AJ57" s="1"/>
      <c r="AK57" s="1"/>
      <c r="AL57" s="1">
        <v>0</v>
      </c>
      <c r="AM57" s="1"/>
      <c r="AN57" s="1"/>
      <c r="AO57" s="1"/>
      <c r="AP57" s="1"/>
      <c r="AQ57" s="1"/>
      <c r="AR57" s="98" t="s">
        <v>222</v>
      </c>
      <c r="AS57" s="98" t="s">
        <v>224</v>
      </c>
    </row>
    <row r="58" spans="1:45" ht="38.25" customHeight="1" x14ac:dyDescent="0.25">
      <c r="A58" s="101"/>
      <c r="B58" s="101"/>
      <c r="C58" s="101"/>
      <c r="D58" s="26" t="s">
        <v>4</v>
      </c>
      <c r="E58" s="1">
        <f t="shared" si="51"/>
        <v>735449.4</v>
      </c>
      <c r="F58" s="1">
        <f t="shared" si="51"/>
        <v>20725.099999999999</v>
      </c>
      <c r="G58" s="1">
        <f>F58/E58*100</f>
        <v>2.8180184795854069</v>
      </c>
      <c r="H58" s="1"/>
      <c r="I58" s="1"/>
      <c r="J58" s="1"/>
      <c r="K58" s="1"/>
      <c r="L58" s="1">
        <v>0</v>
      </c>
      <c r="M58" s="1"/>
      <c r="N58" s="1"/>
      <c r="O58" s="1"/>
      <c r="P58" s="1"/>
      <c r="Q58" s="1"/>
      <c r="R58" s="1"/>
      <c r="S58" s="1"/>
      <c r="T58" s="1"/>
      <c r="U58" s="1"/>
      <c r="V58" s="1"/>
      <c r="W58" s="1"/>
      <c r="X58" s="1"/>
      <c r="Y58" s="1"/>
      <c r="Z58" s="1">
        <v>39340.699999999997</v>
      </c>
      <c r="AA58" s="1">
        <v>20725.099999999999</v>
      </c>
      <c r="AB58" s="1"/>
      <c r="AC58" s="1"/>
      <c r="AD58" s="1"/>
      <c r="AE58" s="1"/>
      <c r="AF58" s="1">
        <v>538052.19999999995</v>
      </c>
      <c r="AG58" s="1"/>
      <c r="AH58" s="1">
        <f>AG58/AF58*100</f>
        <v>0</v>
      </c>
      <c r="AI58" s="1">
        <v>52685.5</v>
      </c>
      <c r="AJ58" s="1"/>
      <c r="AK58" s="1">
        <f>AJ58/AI58*100</f>
        <v>0</v>
      </c>
      <c r="AL58" s="1">
        <v>52685.5</v>
      </c>
      <c r="AM58" s="1"/>
      <c r="AN58" s="1">
        <f>AM58/AL58*100</f>
        <v>0</v>
      </c>
      <c r="AO58" s="1">
        <v>52685.500000000116</v>
      </c>
      <c r="AP58" s="1"/>
      <c r="AQ58" s="1"/>
      <c r="AR58" s="99"/>
      <c r="AS58" s="99"/>
    </row>
    <row r="59" spans="1:45" ht="43.5" customHeight="1" x14ac:dyDescent="0.25">
      <c r="A59" s="101"/>
      <c r="B59" s="101"/>
      <c r="C59" s="101"/>
      <c r="D59" s="26" t="s">
        <v>43</v>
      </c>
      <c r="E59" s="1">
        <f t="shared" si="51"/>
        <v>83202.800000000017</v>
      </c>
      <c r="F59" s="1">
        <f t="shared" si="51"/>
        <v>3775.1</v>
      </c>
      <c r="G59" s="1">
        <f>F59/E59*100</f>
        <v>4.5372271125490959</v>
      </c>
      <c r="H59" s="1"/>
      <c r="I59" s="1"/>
      <c r="J59" s="1"/>
      <c r="K59" s="1"/>
      <c r="L59" s="1">
        <v>0</v>
      </c>
      <c r="M59" s="1"/>
      <c r="N59" s="1"/>
      <c r="O59" s="1"/>
      <c r="P59" s="1"/>
      <c r="Q59" s="1"/>
      <c r="R59" s="1"/>
      <c r="S59" s="1"/>
      <c r="T59" s="1"/>
      <c r="U59" s="1"/>
      <c r="V59" s="1"/>
      <c r="W59" s="1"/>
      <c r="X59" s="1"/>
      <c r="Y59" s="1"/>
      <c r="Z59" s="1">
        <v>5853.9</v>
      </c>
      <c r="AA59" s="1">
        <v>3775.1</v>
      </c>
      <c r="AB59" s="1"/>
      <c r="AC59" s="1"/>
      <c r="AD59" s="1"/>
      <c r="AE59" s="1"/>
      <c r="AF59" s="1">
        <f>59783.6-25074.4</f>
        <v>34709.199999999997</v>
      </c>
      <c r="AG59" s="1"/>
      <c r="AH59" s="1">
        <f>AG59/AF59*100</f>
        <v>0</v>
      </c>
      <c r="AI59" s="1">
        <f>5855.1+25074.4</f>
        <v>30929.5</v>
      </c>
      <c r="AJ59" s="1"/>
      <c r="AK59" s="1">
        <f>AJ59/AI59*100</f>
        <v>0</v>
      </c>
      <c r="AL59" s="1">
        <v>5855.1</v>
      </c>
      <c r="AM59" s="1"/>
      <c r="AN59" s="1">
        <f>AM59/AL59*100</f>
        <v>0</v>
      </c>
      <c r="AO59" s="1">
        <v>5855.1</v>
      </c>
      <c r="AP59" s="1"/>
      <c r="AQ59" s="1"/>
      <c r="AR59" s="100"/>
      <c r="AS59" s="100"/>
    </row>
    <row r="60" spans="1:45" x14ac:dyDescent="0.25">
      <c r="A60" s="101"/>
      <c r="B60" s="101"/>
      <c r="C60" s="101"/>
      <c r="D60" s="26" t="s">
        <v>21</v>
      </c>
      <c r="E60" s="1">
        <f t="shared" si="51"/>
        <v>0</v>
      </c>
      <c r="F60" s="1">
        <f t="shared" si="51"/>
        <v>0</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24"/>
      <c r="AS60" s="24"/>
    </row>
    <row r="61" spans="1:45" ht="14.45" customHeight="1" x14ac:dyDescent="0.25">
      <c r="A61" s="101" t="s">
        <v>121</v>
      </c>
      <c r="B61" s="101" t="s">
        <v>125</v>
      </c>
      <c r="C61" s="101" t="s">
        <v>154</v>
      </c>
      <c r="D61" s="26" t="s">
        <v>3</v>
      </c>
      <c r="E61" s="1">
        <f t="shared" si="51"/>
        <v>0</v>
      </c>
      <c r="F61" s="1">
        <f t="shared" si="51"/>
        <v>0</v>
      </c>
      <c r="G61" s="1"/>
      <c r="H61" s="1">
        <f>H62+H63+H64+H65</f>
        <v>0</v>
      </c>
      <c r="I61" s="1"/>
      <c r="J61" s="1"/>
      <c r="K61" s="1">
        <f t="shared" ref="K61" si="52">K62+K63+K64+K65</f>
        <v>0</v>
      </c>
      <c r="L61" s="1"/>
      <c r="M61" s="1"/>
      <c r="N61" s="1">
        <f t="shared" ref="N61" si="53">N62+N63+N64+N65</f>
        <v>0</v>
      </c>
      <c r="O61" s="1"/>
      <c r="P61" s="1"/>
      <c r="Q61" s="1">
        <f t="shared" ref="Q61" si="54">Q62+Q63+Q64+Q65</f>
        <v>0</v>
      </c>
      <c r="R61" s="1"/>
      <c r="S61" s="1"/>
      <c r="T61" s="1">
        <f t="shared" ref="T61" si="55">T62+T63+T64+T65</f>
        <v>0</v>
      </c>
      <c r="U61" s="1"/>
      <c r="V61" s="1"/>
      <c r="W61" s="1">
        <f t="shared" ref="W61" si="56">W62+W63+W64+W65</f>
        <v>0</v>
      </c>
      <c r="X61" s="1"/>
      <c r="Y61" s="1"/>
      <c r="Z61" s="1">
        <f t="shared" ref="Z61" si="57">Z62+Z63+Z64+Z65</f>
        <v>0</v>
      </c>
      <c r="AA61" s="1"/>
      <c r="AB61" s="1"/>
      <c r="AC61" s="1">
        <f t="shared" ref="AC61" si="58">AC62+AC63+AC64+AC65</f>
        <v>0</v>
      </c>
      <c r="AD61" s="1"/>
      <c r="AE61" s="1"/>
      <c r="AF61" s="1">
        <f t="shared" ref="AF61" si="59">AF62+AF63+AF64+AF65</f>
        <v>0</v>
      </c>
      <c r="AG61" s="1"/>
      <c r="AH61" s="1"/>
      <c r="AI61" s="1">
        <f t="shared" ref="AI61" si="60">AI62+AI63+AI64+AI65</f>
        <v>0</v>
      </c>
      <c r="AJ61" s="1"/>
      <c r="AK61" s="1"/>
      <c r="AL61" s="1">
        <f t="shared" ref="AL61" si="61">AL62+AL63+AL64+AL65</f>
        <v>0</v>
      </c>
      <c r="AM61" s="1"/>
      <c r="AN61" s="1"/>
      <c r="AO61" s="1">
        <f t="shared" ref="AO61" si="62">AO62+AO63+AO64+AO65</f>
        <v>0</v>
      </c>
      <c r="AP61" s="1"/>
      <c r="AQ61" s="1"/>
      <c r="AR61" s="24"/>
      <c r="AS61" s="24"/>
    </row>
    <row r="62" spans="1:45" x14ac:dyDescent="0.25">
      <c r="A62" s="101"/>
      <c r="B62" s="101"/>
      <c r="C62" s="101"/>
      <c r="D62" s="26" t="s">
        <v>20</v>
      </c>
      <c r="E62" s="1">
        <f t="shared" si="51"/>
        <v>0</v>
      </c>
      <c r="F62" s="1">
        <f t="shared" si="51"/>
        <v>0</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24"/>
      <c r="AS62" s="24"/>
    </row>
    <row r="63" spans="1:45" ht="24" x14ac:dyDescent="0.25">
      <c r="A63" s="101"/>
      <c r="B63" s="101"/>
      <c r="C63" s="101"/>
      <c r="D63" s="26" t="s">
        <v>4</v>
      </c>
      <c r="E63" s="1">
        <f t="shared" si="51"/>
        <v>0</v>
      </c>
      <c r="F63" s="1">
        <f t="shared" si="51"/>
        <v>0</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24"/>
      <c r="AS63" s="24"/>
    </row>
    <row r="64" spans="1:45" x14ac:dyDescent="0.25">
      <c r="A64" s="101"/>
      <c r="B64" s="101"/>
      <c r="C64" s="101"/>
      <c r="D64" s="26" t="s">
        <v>43</v>
      </c>
      <c r="E64" s="1">
        <f t="shared" si="51"/>
        <v>0</v>
      </c>
      <c r="F64" s="1">
        <f t="shared" si="51"/>
        <v>0</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24"/>
      <c r="AS64" s="24"/>
    </row>
    <row r="65" spans="1:45" x14ac:dyDescent="0.25">
      <c r="A65" s="101"/>
      <c r="B65" s="101"/>
      <c r="C65" s="101"/>
      <c r="D65" s="26" t="s">
        <v>21</v>
      </c>
      <c r="E65" s="1">
        <f t="shared" si="51"/>
        <v>0</v>
      </c>
      <c r="F65" s="1">
        <f t="shared" si="51"/>
        <v>0</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24"/>
      <c r="AS65" s="24"/>
    </row>
    <row r="66" spans="1:45" ht="14.45" customHeight="1" x14ac:dyDescent="0.25">
      <c r="A66" s="101" t="s">
        <v>122</v>
      </c>
      <c r="B66" s="101" t="s">
        <v>126</v>
      </c>
      <c r="C66" s="101" t="s">
        <v>154</v>
      </c>
      <c r="D66" s="26" t="s">
        <v>3</v>
      </c>
      <c r="E66" s="1">
        <f t="shared" si="51"/>
        <v>0</v>
      </c>
      <c r="F66" s="1">
        <f t="shared" si="51"/>
        <v>0</v>
      </c>
      <c r="G66" s="1"/>
      <c r="H66" s="1">
        <f>H67+H68+H69+H70</f>
        <v>0</v>
      </c>
      <c r="I66" s="1"/>
      <c r="J66" s="1"/>
      <c r="K66" s="1">
        <f t="shared" ref="K66" si="63">K67+K68+K69+K70</f>
        <v>0</v>
      </c>
      <c r="L66" s="1"/>
      <c r="M66" s="1"/>
      <c r="N66" s="1">
        <f t="shared" ref="N66" si="64">N67+N68+N69+N70</f>
        <v>0</v>
      </c>
      <c r="O66" s="1"/>
      <c r="P66" s="1"/>
      <c r="Q66" s="1">
        <f t="shared" ref="Q66" si="65">Q67+Q68+Q69+Q70</f>
        <v>0</v>
      </c>
      <c r="R66" s="1"/>
      <c r="S66" s="1"/>
      <c r="T66" s="1">
        <f t="shared" ref="T66" si="66">T67+T68+T69+T70</f>
        <v>0</v>
      </c>
      <c r="U66" s="1"/>
      <c r="V66" s="1"/>
      <c r="W66" s="1">
        <f t="shared" ref="W66" si="67">W67+W68+W69+W70</f>
        <v>0</v>
      </c>
      <c r="X66" s="1"/>
      <c r="Y66" s="1"/>
      <c r="Z66" s="1">
        <f t="shared" ref="Z66" si="68">Z67+Z68+Z69+Z70</f>
        <v>0</v>
      </c>
      <c r="AA66" s="1"/>
      <c r="AB66" s="1"/>
      <c r="AC66" s="1">
        <f t="shared" ref="AC66" si="69">AC67+AC68+AC69+AC70</f>
        <v>0</v>
      </c>
      <c r="AD66" s="1"/>
      <c r="AE66" s="1"/>
      <c r="AF66" s="1">
        <f t="shared" ref="AF66" si="70">AF67+AF68+AF69+AF70</f>
        <v>0</v>
      </c>
      <c r="AG66" s="1"/>
      <c r="AH66" s="1"/>
      <c r="AI66" s="1">
        <f t="shared" ref="AI66:AJ66" si="71">AI67+AI68+AI69+AI70</f>
        <v>0</v>
      </c>
      <c r="AJ66" s="1">
        <f t="shared" si="71"/>
        <v>0</v>
      </c>
      <c r="AK66" s="1"/>
      <c r="AL66" s="1">
        <f t="shared" ref="AL66" si="72">AL67+AL68+AL69+AL70</f>
        <v>0</v>
      </c>
      <c r="AM66" s="1"/>
      <c r="AN66" s="1"/>
      <c r="AO66" s="1">
        <f t="shared" ref="AO66" si="73">AO67+AO68+AO69+AO70</f>
        <v>0</v>
      </c>
      <c r="AP66" s="1"/>
      <c r="AQ66" s="1"/>
      <c r="AR66" s="24"/>
      <c r="AS66" s="24"/>
    </row>
    <row r="67" spans="1:45" ht="15" customHeight="1" x14ac:dyDescent="0.25">
      <c r="A67" s="101"/>
      <c r="B67" s="101"/>
      <c r="C67" s="101"/>
      <c r="D67" s="26" t="s">
        <v>20</v>
      </c>
      <c r="E67" s="1">
        <f t="shared" si="51"/>
        <v>0</v>
      </c>
      <c r="F67" s="1">
        <f t="shared" si="51"/>
        <v>0</v>
      </c>
      <c r="G67" s="27"/>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24"/>
      <c r="AS67" s="24"/>
    </row>
    <row r="68" spans="1:45" ht="24" x14ac:dyDescent="0.25">
      <c r="A68" s="101"/>
      <c r="B68" s="101"/>
      <c r="C68" s="101"/>
      <c r="D68" s="26" t="s">
        <v>4</v>
      </c>
      <c r="E68" s="1">
        <f t="shared" si="51"/>
        <v>0</v>
      </c>
      <c r="F68" s="1">
        <f t="shared" si="51"/>
        <v>0</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24"/>
      <c r="AS68" s="24"/>
    </row>
    <row r="69" spans="1:45" x14ac:dyDescent="0.25">
      <c r="A69" s="101"/>
      <c r="B69" s="101"/>
      <c r="C69" s="101"/>
      <c r="D69" s="26" t="s">
        <v>43</v>
      </c>
      <c r="E69" s="1">
        <f t="shared" si="51"/>
        <v>0</v>
      </c>
      <c r="F69" s="1">
        <f t="shared" si="51"/>
        <v>0</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21"/>
      <c r="AS69" s="21"/>
    </row>
    <row r="70" spans="1:45" ht="15" customHeight="1" x14ac:dyDescent="0.25">
      <c r="A70" s="101"/>
      <c r="B70" s="101"/>
      <c r="C70" s="101"/>
      <c r="D70" s="26" t="s">
        <v>21</v>
      </c>
      <c r="E70" s="1">
        <f t="shared" si="51"/>
        <v>0</v>
      </c>
      <c r="F70" s="1">
        <f t="shared" si="51"/>
        <v>0</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24"/>
      <c r="AS70" s="24"/>
    </row>
    <row r="71" spans="1:45" ht="13.15" customHeight="1" x14ac:dyDescent="0.25">
      <c r="A71" s="98" t="s">
        <v>49</v>
      </c>
      <c r="B71" s="98" t="s">
        <v>86</v>
      </c>
      <c r="C71" s="98" t="s">
        <v>154</v>
      </c>
      <c r="D71" s="26" t="s">
        <v>3</v>
      </c>
      <c r="E71" s="1">
        <f t="shared" si="51"/>
        <v>3865.7</v>
      </c>
      <c r="F71" s="1">
        <f t="shared" si="51"/>
        <v>2462.6000000000004</v>
      </c>
      <c r="G71" s="1">
        <f>F71/E71*100</f>
        <v>63.703856998732455</v>
      </c>
      <c r="H71" s="1">
        <f>H72+H73+H74+H75</f>
        <v>0</v>
      </c>
      <c r="I71" s="1"/>
      <c r="J71" s="1"/>
      <c r="K71" s="1">
        <f t="shared" ref="K71:AO71" si="74">K72+K73+K74+K75</f>
        <v>0</v>
      </c>
      <c r="L71" s="1">
        <f t="shared" si="74"/>
        <v>0</v>
      </c>
      <c r="M71" s="1"/>
      <c r="N71" s="1">
        <f t="shared" si="74"/>
        <v>0</v>
      </c>
      <c r="O71" s="1">
        <f t="shared" si="74"/>
        <v>0</v>
      </c>
      <c r="P71" s="1"/>
      <c r="Q71" s="1">
        <f t="shared" si="74"/>
        <v>108.10000000000002</v>
      </c>
      <c r="R71" s="1">
        <f t="shared" si="74"/>
        <v>55</v>
      </c>
      <c r="S71" s="1">
        <f>R71/Q71*100</f>
        <v>50.878815911193328</v>
      </c>
      <c r="T71" s="1">
        <f t="shared" si="74"/>
        <v>0</v>
      </c>
      <c r="U71" s="1">
        <f t="shared" si="74"/>
        <v>0</v>
      </c>
      <c r="V71" s="1"/>
      <c r="W71" s="1">
        <f t="shared" si="74"/>
        <v>753.4</v>
      </c>
      <c r="X71" s="1">
        <f t="shared" si="74"/>
        <v>761.4</v>
      </c>
      <c r="Y71" s="1">
        <f>X71/W71*100</f>
        <v>101.06185293336874</v>
      </c>
      <c r="Z71" s="1">
        <f t="shared" si="74"/>
        <v>708.1</v>
      </c>
      <c r="AA71" s="1">
        <f t="shared" si="74"/>
        <v>708.1</v>
      </c>
      <c r="AB71" s="1">
        <f>AA71/Z71*100</f>
        <v>100</v>
      </c>
      <c r="AC71" s="1">
        <f t="shared" si="74"/>
        <v>606.59999999999991</v>
      </c>
      <c r="AD71" s="1">
        <f t="shared" si="74"/>
        <v>352.4</v>
      </c>
      <c r="AE71" s="1">
        <f>AD71/AC71*100</f>
        <v>58.094296076491922</v>
      </c>
      <c r="AF71" s="1">
        <f t="shared" si="74"/>
        <v>286.39999999999998</v>
      </c>
      <c r="AG71" s="1">
        <f t="shared" si="74"/>
        <v>585.70000000000005</v>
      </c>
      <c r="AH71" s="1">
        <f>AG71/AF71*100</f>
        <v>204.50418994413414</v>
      </c>
      <c r="AI71" s="1">
        <f t="shared" si="74"/>
        <v>1403.1</v>
      </c>
      <c r="AJ71" s="1">
        <f t="shared" si="74"/>
        <v>0</v>
      </c>
      <c r="AK71" s="1">
        <f>AJ71/AI71*100</f>
        <v>0</v>
      </c>
      <c r="AL71" s="1">
        <f t="shared" si="74"/>
        <v>0</v>
      </c>
      <c r="AM71" s="1">
        <f t="shared" si="74"/>
        <v>0</v>
      </c>
      <c r="AN71" s="1"/>
      <c r="AO71" s="1">
        <f t="shared" si="74"/>
        <v>0</v>
      </c>
      <c r="AP71" s="1"/>
      <c r="AQ71" s="27"/>
      <c r="AR71" s="24"/>
      <c r="AS71" s="24"/>
    </row>
    <row r="72" spans="1:45" ht="13.15" customHeight="1" x14ac:dyDescent="0.25">
      <c r="A72" s="99"/>
      <c r="B72" s="99"/>
      <c r="C72" s="99"/>
      <c r="D72" s="26" t="s">
        <v>20</v>
      </c>
      <c r="E72" s="1">
        <f t="shared" si="51"/>
        <v>0</v>
      </c>
      <c r="F72" s="1">
        <f t="shared" si="51"/>
        <v>0</v>
      </c>
      <c r="G72" s="1"/>
      <c r="H72" s="1"/>
      <c r="I72" s="1"/>
      <c r="J72" s="1"/>
      <c r="K72" s="1"/>
      <c r="L72" s="1"/>
      <c r="M72" s="1"/>
      <c r="N72" s="1"/>
      <c r="O72" s="1"/>
      <c r="P72" s="1"/>
      <c r="Q72" s="1"/>
      <c r="R72" s="1"/>
      <c r="S72" s="1"/>
      <c r="T72" s="1"/>
      <c r="U72" s="1"/>
      <c r="V72" s="27"/>
      <c r="W72" s="1"/>
      <c r="X72" s="1"/>
      <c r="Y72" s="1"/>
      <c r="Z72" s="1"/>
      <c r="AA72" s="1"/>
      <c r="AB72" s="1"/>
      <c r="AC72" s="1"/>
      <c r="AD72" s="1"/>
      <c r="AE72" s="1"/>
      <c r="AF72" s="1"/>
      <c r="AG72" s="1"/>
      <c r="AH72" s="27"/>
      <c r="AI72" s="1"/>
      <c r="AJ72" s="1"/>
      <c r="AK72" s="1"/>
      <c r="AL72" s="1"/>
      <c r="AM72" s="1"/>
      <c r="AN72" s="27"/>
      <c r="AO72" s="1"/>
      <c r="AP72" s="1"/>
      <c r="AQ72" s="27"/>
      <c r="AR72" s="24"/>
      <c r="AS72" s="24"/>
    </row>
    <row r="73" spans="1:45" ht="24" x14ac:dyDescent="0.25">
      <c r="A73" s="99"/>
      <c r="B73" s="99"/>
      <c r="C73" s="99"/>
      <c r="D73" s="26" t="s">
        <v>4</v>
      </c>
      <c r="E73" s="1">
        <f t="shared" si="51"/>
        <v>0</v>
      </c>
      <c r="F73" s="1">
        <f t="shared" si="51"/>
        <v>0</v>
      </c>
      <c r="G73" s="1"/>
      <c r="H73" s="33"/>
      <c r="I73" s="33"/>
      <c r="J73" s="33"/>
      <c r="K73" s="33"/>
      <c r="L73" s="33"/>
      <c r="M73" s="1"/>
      <c r="N73" s="33"/>
      <c r="O73" s="33"/>
      <c r="P73" s="1"/>
      <c r="Q73" s="1"/>
      <c r="R73" s="1"/>
      <c r="S73" s="1"/>
      <c r="T73" s="1"/>
      <c r="U73" s="1"/>
      <c r="V73" s="1"/>
      <c r="W73" s="1"/>
      <c r="X73" s="1"/>
      <c r="Y73" s="1"/>
      <c r="Z73" s="1"/>
      <c r="AA73" s="1"/>
      <c r="AB73" s="1"/>
      <c r="AC73" s="1"/>
      <c r="AD73" s="1"/>
      <c r="AE73" s="1"/>
      <c r="AF73" s="1"/>
      <c r="AG73" s="1"/>
      <c r="AH73" s="1"/>
      <c r="AI73" s="1"/>
      <c r="AJ73" s="1"/>
      <c r="AK73" s="1"/>
      <c r="AL73" s="33"/>
      <c r="AM73" s="33"/>
      <c r="AN73" s="1"/>
      <c r="AO73" s="33"/>
      <c r="AP73" s="33"/>
      <c r="AQ73" s="27"/>
      <c r="AR73" s="21"/>
      <c r="AS73" s="24"/>
    </row>
    <row r="74" spans="1:45" ht="59.25" customHeight="1" x14ac:dyDescent="0.25">
      <c r="A74" s="99"/>
      <c r="B74" s="99"/>
      <c r="C74" s="99"/>
      <c r="D74" s="26" t="s">
        <v>43</v>
      </c>
      <c r="E74" s="1">
        <f t="shared" si="51"/>
        <v>3865.7</v>
      </c>
      <c r="F74" s="1">
        <f t="shared" si="51"/>
        <v>2462.6000000000004</v>
      </c>
      <c r="G74" s="1">
        <f>F74/E74*100</f>
        <v>63.703856998732455</v>
      </c>
      <c r="H74" s="1"/>
      <c r="I74" s="1"/>
      <c r="J74" s="1"/>
      <c r="K74" s="1">
        <f>7.5-7.5</f>
        <v>0</v>
      </c>
      <c r="L74" s="1">
        <v>0</v>
      </c>
      <c r="M74" s="1"/>
      <c r="N74" s="1"/>
      <c r="O74" s="1"/>
      <c r="P74" s="1"/>
      <c r="Q74" s="1">
        <f>207.7+198.4-65-233</f>
        <v>108.10000000000002</v>
      </c>
      <c r="R74" s="1">
        <v>55</v>
      </c>
      <c r="S74" s="1">
        <f>R74/Q74*100</f>
        <v>50.878815911193328</v>
      </c>
      <c r="T74" s="1">
        <f>565-565</f>
        <v>0</v>
      </c>
      <c r="U74" s="1">
        <v>0</v>
      </c>
      <c r="V74" s="1"/>
      <c r="W74" s="1">
        <f>188.4+565</f>
        <v>753.4</v>
      </c>
      <c r="X74" s="1">
        <v>761.4</v>
      </c>
      <c r="Y74" s="1">
        <f>X74/W74*100</f>
        <v>101.06185293336874</v>
      </c>
      <c r="Z74" s="1">
        <v>708.1</v>
      </c>
      <c r="AA74" s="1">
        <v>708.1</v>
      </c>
      <c r="AB74" s="1">
        <f>AA74/Z74*100</f>
        <v>100</v>
      </c>
      <c r="AC74" s="1">
        <f>274.8+992.5-660.7</f>
        <v>606.59999999999991</v>
      </c>
      <c r="AD74" s="1">
        <v>352.4</v>
      </c>
      <c r="AE74" s="1">
        <f>AD74/AC74*100</f>
        <v>58.094296076491922</v>
      </c>
      <c r="AF74" s="1">
        <f>206.4+80</f>
        <v>286.39999999999998</v>
      </c>
      <c r="AG74" s="1">
        <v>585.70000000000005</v>
      </c>
      <c r="AH74" s="1">
        <f>AG74/AF74*100</f>
        <v>204.50418994413414</v>
      </c>
      <c r="AI74" s="1">
        <f>370+1033.1</f>
        <v>1403.1</v>
      </c>
      <c r="AJ74" s="1"/>
      <c r="AK74" s="1">
        <f t="shared" ref="AK74" si="75">AJ74/AI74*100</f>
        <v>0</v>
      </c>
      <c r="AL74" s="1"/>
      <c r="AM74" s="1"/>
      <c r="AN74" s="1"/>
      <c r="AO74" s="1"/>
      <c r="AP74" s="1"/>
      <c r="AQ74" s="27"/>
      <c r="AR74" s="21" t="s">
        <v>195</v>
      </c>
      <c r="AS74" s="21" t="s">
        <v>229</v>
      </c>
    </row>
    <row r="75" spans="1:45" ht="12.6" customHeight="1" x14ac:dyDescent="0.25">
      <c r="A75" s="99"/>
      <c r="B75" s="99"/>
      <c r="C75" s="99"/>
      <c r="D75" s="26" t="s">
        <v>21</v>
      </c>
      <c r="E75" s="1">
        <f t="shared" si="51"/>
        <v>0</v>
      </c>
      <c r="F75" s="1">
        <f t="shared" si="51"/>
        <v>0</v>
      </c>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24"/>
      <c r="AS75" s="24"/>
    </row>
    <row r="76" spans="1:45" ht="15" hidden="1" customHeight="1" x14ac:dyDescent="0.25">
      <c r="A76" s="100"/>
      <c r="B76" s="100"/>
      <c r="C76" s="100"/>
      <c r="D76" s="30" t="s">
        <v>119</v>
      </c>
      <c r="E76" s="1">
        <f t="shared" si="51"/>
        <v>0</v>
      </c>
      <c r="F76" s="1">
        <f t="shared" si="51"/>
        <v>0</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21"/>
      <c r="AS76" s="21"/>
    </row>
    <row r="77" spans="1:45" ht="13.15" customHeight="1" x14ac:dyDescent="0.25">
      <c r="A77" s="98" t="s">
        <v>50</v>
      </c>
      <c r="B77" s="101" t="s">
        <v>87</v>
      </c>
      <c r="C77" s="101" t="s">
        <v>152</v>
      </c>
      <c r="D77" s="26" t="s">
        <v>3</v>
      </c>
      <c r="E77" s="1">
        <f t="shared" si="51"/>
        <v>0</v>
      </c>
      <c r="F77" s="1">
        <f t="shared" si="51"/>
        <v>0</v>
      </c>
      <c r="G77" s="1"/>
      <c r="H77" s="1">
        <f>H78+H79+H80+H81</f>
        <v>0</v>
      </c>
      <c r="I77" s="1">
        <f>I78+I79+I80+I81</f>
        <v>0</v>
      </c>
      <c r="J77" s="1"/>
      <c r="K77" s="1">
        <f t="shared" ref="K77:AO77" si="76">K78+K79+K80+K81</f>
        <v>0</v>
      </c>
      <c r="L77" s="1">
        <f t="shared" si="76"/>
        <v>0</v>
      </c>
      <c r="M77" s="1"/>
      <c r="N77" s="1">
        <f t="shared" si="76"/>
        <v>0</v>
      </c>
      <c r="O77" s="1">
        <f t="shared" si="76"/>
        <v>0</v>
      </c>
      <c r="P77" s="1"/>
      <c r="Q77" s="1">
        <f t="shared" si="76"/>
        <v>0</v>
      </c>
      <c r="R77" s="1">
        <f t="shared" si="76"/>
        <v>0</v>
      </c>
      <c r="S77" s="1"/>
      <c r="T77" s="1">
        <f t="shared" si="76"/>
        <v>0</v>
      </c>
      <c r="U77" s="1">
        <f t="shared" si="76"/>
        <v>0</v>
      </c>
      <c r="V77" s="1"/>
      <c r="W77" s="1">
        <f t="shared" si="76"/>
        <v>0</v>
      </c>
      <c r="X77" s="1"/>
      <c r="Y77" s="27"/>
      <c r="Z77" s="1">
        <f t="shared" si="76"/>
        <v>0</v>
      </c>
      <c r="AA77" s="1">
        <f t="shared" si="76"/>
        <v>0</v>
      </c>
      <c r="AB77" s="1"/>
      <c r="AC77" s="1">
        <f t="shared" si="76"/>
        <v>0</v>
      </c>
      <c r="AD77" s="1">
        <f t="shared" si="76"/>
        <v>0</v>
      </c>
      <c r="AE77" s="1"/>
      <c r="AF77" s="1">
        <f t="shared" si="76"/>
        <v>0</v>
      </c>
      <c r="AG77" s="1">
        <f t="shared" si="76"/>
        <v>0</v>
      </c>
      <c r="AH77" s="1"/>
      <c r="AI77" s="1">
        <f t="shared" si="76"/>
        <v>0</v>
      </c>
      <c r="AJ77" s="1">
        <f t="shared" si="76"/>
        <v>0</v>
      </c>
      <c r="AK77" s="1"/>
      <c r="AL77" s="1">
        <f t="shared" si="76"/>
        <v>0</v>
      </c>
      <c r="AM77" s="1"/>
      <c r="AN77" s="1"/>
      <c r="AO77" s="1">
        <f t="shared" si="76"/>
        <v>0</v>
      </c>
      <c r="AP77" s="1"/>
      <c r="AQ77" s="27"/>
      <c r="AR77" s="24"/>
      <c r="AS77" s="24"/>
    </row>
    <row r="78" spans="1:45" x14ac:dyDescent="0.25">
      <c r="A78" s="99"/>
      <c r="B78" s="101"/>
      <c r="C78" s="101"/>
      <c r="D78" s="26" t="s">
        <v>20</v>
      </c>
      <c r="E78" s="1">
        <f t="shared" si="51"/>
        <v>0</v>
      </c>
      <c r="F78" s="1">
        <f t="shared" si="51"/>
        <v>0</v>
      </c>
      <c r="G78" s="1"/>
      <c r="H78" s="1"/>
      <c r="I78" s="1"/>
      <c r="J78" s="1"/>
      <c r="K78" s="1"/>
      <c r="L78" s="1"/>
      <c r="M78" s="1"/>
      <c r="N78" s="1"/>
      <c r="O78" s="1"/>
      <c r="P78" s="1"/>
      <c r="Q78" s="1"/>
      <c r="R78" s="1"/>
      <c r="S78" s="1"/>
      <c r="T78" s="1"/>
      <c r="U78" s="1"/>
      <c r="V78" s="1"/>
      <c r="W78" s="1"/>
      <c r="X78" s="1"/>
      <c r="Y78" s="27"/>
      <c r="Z78" s="1"/>
      <c r="AA78" s="1"/>
      <c r="AB78" s="1"/>
      <c r="AC78" s="1"/>
      <c r="AD78" s="1"/>
      <c r="AE78" s="1"/>
      <c r="AF78" s="1"/>
      <c r="AG78" s="1"/>
      <c r="AH78" s="1"/>
      <c r="AI78" s="1"/>
      <c r="AJ78" s="1"/>
      <c r="AK78" s="1"/>
      <c r="AL78" s="1"/>
      <c r="AM78" s="1"/>
      <c r="AN78" s="1"/>
      <c r="AO78" s="1"/>
      <c r="AP78" s="1"/>
      <c r="AQ78" s="27"/>
      <c r="AR78" s="24"/>
      <c r="AS78" s="24"/>
    </row>
    <row r="79" spans="1:45" ht="24" x14ac:dyDescent="0.25">
      <c r="A79" s="99"/>
      <c r="B79" s="101"/>
      <c r="C79" s="101"/>
      <c r="D79" s="26" t="s">
        <v>4</v>
      </c>
      <c r="E79" s="1">
        <f t="shared" si="51"/>
        <v>0</v>
      </c>
      <c r="F79" s="1">
        <f t="shared" si="51"/>
        <v>0</v>
      </c>
      <c r="G79" s="1"/>
      <c r="H79" s="33"/>
      <c r="I79" s="33"/>
      <c r="J79" s="1"/>
      <c r="K79" s="33"/>
      <c r="L79" s="33"/>
      <c r="M79" s="1"/>
      <c r="N79" s="33"/>
      <c r="O79" s="33"/>
      <c r="P79" s="1"/>
      <c r="Q79" s="33"/>
      <c r="R79" s="33"/>
      <c r="S79" s="1"/>
      <c r="T79" s="33"/>
      <c r="U79" s="33"/>
      <c r="V79" s="1"/>
      <c r="W79" s="33"/>
      <c r="X79" s="33"/>
      <c r="Y79" s="27"/>
      <c r="Z79" s="33"/>
      <c r="AA79" s="33"/>
      <c r="AB79" s="1"/>
      <c r="AC79" s="33"/>
      <c r="AD79" s="33"/>
      <c r="AE79" s="1"/>
      <c r="AF79" s="33"/>
      <c r="AG79" s="33"/>
      <c r="AH79" s="1"/>
      <c r="AI79" s="33"/>
      <c r="AJ79" s="33"/>
      <c r="AK79" s="1"/>
      <c r="AL79" s="33"/>
      <c r="AM79" s="33"/>
      <c r="AN79" s="1"/>
      <c r="AO79" s="33"/>
      <c r="AP79" s="33"/>
      <c r="AQ79" s="27"/>
      <c r="AR79" s="24"/>
      <c r="AS79" s="24"/>
    </row>
    <row r="80" spans="1:45" ht="25.15" customHeight="1" x14ac:dyDescent="0.25">
      <c r="A80" s="99"/>
      <c r="B80" s="101"/>
      <c r="C80" s="101"/>
      <c r="D80" s="26" t="s">
        <v>43</v>
      </c>
      <c r="E80" s="1">
        <f t="shared" si="51"/>
        <v>0</v>
      </c>
      <c r="F80" s="1">
        <f t="shared" si="51"/>
        <v>0</v>
      </c>
      <c r="G80" s="1"/>
      <c r="H80" s="1"/>
      <c r="I80" s="1">
        <v>0</v>
      </c>
      <c r="J80" s="1"/>
      <c r="K80" s="1"/>
      <c r="L80" s="1"/>
      <c r="M80" s="1"/>
      <c r="N80" s="1"/>
      <c r="O80" s="1"/>
      <c r="P80" s="1"/>
      <c r="Q80" s="1"/>
      <c r="R80" s="1"/>
      <c r="S80" s="1"/>
      <c r="T80" s="1"/>
      <c r="U80" s="1"/>
      <c r="V80" s="1"/>
      <c r="W80" s="1"/>
      <c r="X80" s="1"/>
      <c r="Y80" s="27"/>
      <c r="Z80" s="1"/>
      <c r="AA80" s="1"/>
      <c r="AB80" s="1"/>
      <c r="AC80" s="1"/>
      <c r="AD80" s="1">
        <v>0</v>
      </c>
      <c r="AE80" s="1"/>
      <c r="AF80" s="1"/>
      <c r="AG80" s="1"/>
      <c r="AH80" s="1"/>
      <c r="AI80" s="1"/>
      <c r="AJ80" s="1"/>
      <c r="AK80" s="1"/>
      <c r="AL80" s="1"/>
      <c r="AM80" s="1"/>
      <c r="AN80" s="1"/>
      <c r="AO80" s="1"/>
      <c r="AP80" s="1"/>
      <c r="AQ80" s="27"/>
      <c r="AR80" s="21"/>
      <c r="AS80" s="21"/>
    </row>
    <row r="81" spans="1:45" x14ac:dyDescent="0.25">
      <c r="A81" s="100"/>
      <c r="B81" s="101"/>
      <c r="C81" s="101"/>
      <c r="D81" s="26" t="s">
        <v>21</v>
      </c>
      <c r="E81" s="1">
        <f t="shared" si="51"/>
        <v>0</v>
      </c>
      <c r="F81" s="1">
        <f t="shared" si="51"/>
        <v>0</v>
      </c>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24"/>
      <c r="AS81" s="24"/>
    </row>
    <row r="82" spans="1:45" ht="12.6" customHeight="1" x14ac:dyDescent="0.25">
      <c r="A82" s="138" t="s">
        <v>7</v>
      </c>
      <c r="B82" s="139"/>
      <c r="C82" s="140"/>
      <c r="D82" s="30" t="s">
        <v>3</v>
      </c>
      <c r="E82" s="31">
        <f t="shared" si="51"/>
        <v>848369.9</v>
      </c>
      <c r="F82" s="31">
        <f t="shared" si="51"/>
        <v>41158.299999999996</v>
      </c>
      <c r="G82" s="31">
        <f>F82/E82*100</f>
        <v>4.8514568939798535</v>
      </c>
      <c r="H82" s="31">
        <f>H84+H83+H85+H86</f>
        <v>0</v>
      </c>
      <c r="I82" s="31">
        <f>I84+I83+I85+I86</f>
        <v>0</v>
      </c>
      <c r="J82" s="31"/>
      <c r="K82" s="31">
        <f>K84+K83+K85+K86</f>
        <v>0</v>
      </c>
      <c r="L82" s="31">
        <f>L84+L83+L85+L86</f>
        <v>0</v>
      </c>
      <c r="M82" s="31" t="e">
        <f>L82/K82*100</f>
        <v>#DIV/0!</v>
      </c>
      <c r="N82" s="31">
        <f>N84+N83+N85+N86</f>
        <v>0</v>
      </c>
      <c r="O82" s="31">
        <f>O84+O83+O85+O86</f>
        <v>0</v>
      </c>
      <c r="P82" s="31"/>
      <c r="Q82" s="31">
        <f>Q84+Q83+Q85+Q86</f>
        <v>108.10000000000002</v>
      </c>
      <c r="R82" s="31">
        <f>R84+R83+R85+R86</f>
        <v>55</v>
      </c>
      <c r="S82" s="31">
        <f>R82/Q82*100</f>
        <v>50.878815911193328</v>
      </c>
      <c r="T82" s="31">
        <f>T84+T83+T85+T86</f>
        <v>320</v>
      </c>
      <c r="U82" s="31">
        <f>U84+U83+U85+U86</f>
        <v>320</v>
      </c>
      <c r="V82" s="31">
        <f>U82/T82*100</f>
        <v>100</v>
      </c>
      <c r="W82" s="31">
        <f>W84+W83+W85+W86</f>
        <v>1378.4</v>
      </c>
      <c r="X82" s="31">
        <f>X84+X83+X85+X86</f>
        <v>1386.4</v>
      </c>
      <c r="Y82" s="31">
        <f>X82/W82*100</f>
        <v>100.58038305281485</v>
      </c>
      <c r="Z82" s="31">
        <f>Z84+Z83+Z85+Z86</f>
        <v>59247.5</v>
      </c>
      <c r="AA82" s="31">
        <f>AA84+AA83+AA85+AA86</f>
        <v>38458.799999999996</v>
      </c>
      <c r="AB82" s="31">
        <f>AA82/Z82*100</f>
        <v>64.912105996033574</v>
      </c>
      <c r="AC82" s="31">
        <f>AC84+AC83+AC85+AC86</f>
        <v>606.59999999999991</v>
      </c>
      <c r="AD82" s="31">
        <f>AD84+AD83+AD85+AD86</f>
        <v>352.4</v>
      </c>
      <c r="AE82" s="31">
        <f>AD82/AC82*100</f>
        <v>58.094296076491922</v>
      </c>
      <c r="AF82" s="31">
        <f>AF84+AF83+AF85+AF86</f>
        <v>581403</v>
      </c>
      <c r="AG82" s="31">
        <f>AG84+AG83+AG85+AG86</f>
        <v>585.70000000000005</v>
      </c>
      <c r="AH82" s="31">
        <f>AG82/AF82*100</f>
        <v>0.10073907427378256</v>
      </c>
      <c r="AI82" s="31">
        <f>AI84+AI83+AI85+AI86</f>
        <v>85018.1</v>
      </c>
      <c r="AJ82" s="31">
        <f>AJ84+AJ83+AJ85+AJ86</f>
        <v>0</v>
      </c>
      <c r="AK82" s="31">
        <f>AJ82/AI82*100</f>
        <v>0</v>
      </c>
      <c r="AL82" s="31">
        <f>AL84+AL83+AL85+AL86</f>
        <v>58540.6</v>
      </c>
      <c r="AM82" s="31">
        <f>AM84+AM83+AM85+AM86</f>
        <v>0</v>
      </c>
      <c r="AN82" s="31">
        <f>AM82/AL82*100</f>
        <v>0</v>
      </c>
      <c r="AO82" s="31">
        <f>AO84+AO83+AO85+AO86</f>
        <v>61747.600000000115</v>
      </c>
      <c r="AP82" s="31">
        <f>AP84+AP83+AP85+AP86</f>
        <v>0</v>
      </c>
      <c r="AQ82" s="32"/>
      <c r="AR82" s="24"/>
      <c r="AS82" s="24"/>
    </row>
    <row r="83" spans="1:45" x14ac:dyDescent="0.25">
      <c r="A83" s="141"/>
      <c r="B83" s="142"/>
      <c r="C83" s="143"/>
      <c r="D83" s="30" t="s">
        <v>20</v>
      </c>
      <c r="E83" s="31">
        <f t="shared" si="51"/>
        <v>13344.8</v>
      </c>
      <c r="F83" s="31">
        <f t="shared" si="51"/>
        <v>13250.5</v>
      </c>
      <c r="G83" s="31">
        <f>F83/E83*100</f>
        <v>99.293357712367367</v>
      </c>
      <c r="H83" s="31">
        <f t="shared" ref="H83:I86" si="77">H41+H46+H72+H78+H52</f>
        <v>0</v>
      </c>
      <c r="I83" s="31">
        <f t="shared" si="77"/>
        <v>0</v>
      </c>
      <c r="J83" s="31"/>
      <c r="K83" s="31">
        <f t="shared" ref="K83:L86" si="78">K41+K46+K72+K78+K52</f>
        <v>0</v>
      </c>
      <c r="L83" s="31">
        <f t="shared" si="78"/>
        <v>0</v>
      </c>
      <c r="M83" s="31"/>
      <c r="N83" s="31">
        <f t="shared" ref="N83:O86" si="79">N41+N46+N72+N78+N52</f>
        <v>0</v>
      </c>
      <c r="O83" s="31">
        <f t="shared" si="79"/>
        <v>0</v>
      </c>
      <c r="P83" s="31"/>
      <c r="Q83" s="31">
        <f t="shared" ref="Q83:R86" si="80">Q41+Q46+Q72+Q78+Q52</f>
        <v>0</v>
      </c>
      <c r="R83" s="31">
        <f t="shared" si="80"/>
        <v>0</v>
      </c>
      <c r="S83" s="31"/>
      <c r="T83" s="31">
        <f t="shared" ref="T83:U86" si="81">T41+T46+T72+T78+T52</f>
        <v>0</v>
      </c>
      <c r="U83" s="31">
        <f t="shared" si="81"/>
        <v>0</v>
      </c>
      <c r="V83" s="31"/>
      <c r="W83" s="31">
        <f t="shared" ref="W83:X86" si="82">W41+W46+W72+W78+W52</f>
        <v>0</v>
      </c>
      <c r="X83" s="31">
        <f t="shared" si="82"/>
        <v>0</v>
      </c>
      <c r="Y83" s="31"/>
      <c r="Z83" s="31">
        <f t="shared" ref="Z83:AA86" si="83">Z41+Z46+Z72+Z78+Z52</f>
        <v>13344.8</v>
      </c>
      <c r="AA83" s="31">
        <f t="shared" si="83"/>
        <v>13250.5</v>
      </c>
      <c r="AB83" s="31">
        <f t="shared" ref="AB83:AB85" si="84">AA83/Z83*100</f>
        <v>99.293357712367367</v>
      </c>
      <c r="AC83" s="31">
        <f t="shared" ref="AC83:AD86" si="85">AC41+AC46+AC72+AC78+AC52</f>
        <v>0</v>
      </c>
      <c r="AD83" s="31">
        <f t="shared" si="85"/>
        <v>0</v>
      </c>
      <c r="AE83" s="31"/>
      <c r="AF83" s="31">
        <f t="shared" ref="AF83:AG86" si="86">AF41+AF46+AF72+AF78+AF52</f>
        <v>0</v>
      </c>
      <c r="AG83" s="31">
        <f t="shared" si="86"/>
        <v>0</v>
      </c>
      <c r="AH83" s="31"/>
      <c r="AI83" s="31">
        <f t="shared" ref="AI83:AJ86" si="87">AI41+AI46+AI72+AI78+AI52</f>
        <v>0</v>
      </c>
      <c r="AJ83" s="31">
        <f t="shared" si="87"/>
        <v>0</v>
      </c>
      <c r="AK83" s="31"/>
      <c r="AL83" s="31">
        <f t="shared" ref="AL83:AM86" si="88">AL41+AL46+AL72+AL78+AL52</f>
        <v>0</v>
      </c>
      <c r="AM83" s="31">
        <f t="shared" si="88"/>
        <v>0</v>
      </c>
      <c r="AN83" s="31"/>
      <c r="AO83" s="31">
        <f t="shared" ref="AO83:AP86" si="89">AO41+AO46+AO72+AO78+AO52</f>
        <v>0</v>
      </c>
      <c r="AP83" s="31">
        <f t="shared" si="89"/>
        <v>0</v>
      </c>
      <c r="AQ83" s="32"/>
      <c r="AR83" s="24"/>
      <c r="AS83" s="24"/>
    </row>
    <row r="84" spans="1:45" ht="23.45" customHeight="1" x14ac:dyDescent="0.25">
      <c r="A84" s="141"/>
      <c r="B84" s="142"/>
      <c r="C84" s="143"/>
      <c r="D84" s="30" t="s">
        <v>4</v>
      </c>
      <c r="E84" s="31">
        <f t="shared" si="51"/>
        <v>735449.4</v>
      </c>
      <c r="F84" s="31">
        <f t="shared" si="51"/>
        <v>20725.099999999999</v>
      </c>
      <c r="G84" s="31">
        <f>F84/E84*100</f>
        <v>2.8180184795854069</v>
      </c>
      <c r="H84" s="31">
        <f t="shared" si="77"/>
        <v>0</v>
      </c>
      <c r="I84" s="31">
        <f t="shared" si="77"/>
        <v>0</v>
      </c>
      <c r="J84" s="31"/>
      <c r="K84" s="31">
        <f t="shared" si="78"/>
        <v>0</v>
      </c>
      <c r="L84" s="31">
        <f t="shared" si="78"/>
        <v>0</v>
      </c>
      <c r="M84" s="31" t="e">
        <f>L84/K84*100</f>
        <v>#DIV/0!</v>
      </c>
      <c r="N84" s="31">
        <f t="shared" si="79"/>
        <v>0</v>
      </c>
      <c r="O84" s="31">
        <f t="shared" si="79"/>
        <v>0</v>
      </c>
      <c r="P84" s="31"/>
      <c r="Q84" s="31">
        <f t="shared" si="80"/>
        <v>0</v>
      </c>
      <c r="R84" s="31">
        <f t="shared" si="80"/>
        <v>0</v>
      </c>
      <c r="S84" s="31" t="e">
        <f t="shared" ref="S84:S85" si="90">R84/Q84*100</f>
        <v>#DIV/0!</v>
      </c>
      <c r="T84" s="31">
        <f t="shared" si="81"/>
        <v>0</v>
      </c>
      <c r="U84" s="31">
        <f t="shared" si="81"/>
        <v>0</v>
      </c>
      <c r="V84" s="31"/>
      <c r="W84" s="31">
        <f t="shared" si="82"/>
        <v>0</v>
      </c>
      <c r="X84" s="31">
        <f t="shared" si="82"/>
        <v>0</v>
      </c>
      <c r="Y84" s="31"/>
      <c r="Z84" s="31">
        <f t="shared" si="83"/>
        <v>39340.699999999997</v>
      </c>
      <c r="AA84" s="31">
        <f t="shared" si="83"/>
        <v>20725.099999999999</v>
      </c>
      <c r="AB84" s="31">
        <f t="shared" si="84"/>
        <v>52.681065664820402</v>
      </c>
      <c r="AC84" s="31">
        <f t="shared" si="85"/>
        <v>0</v>
      </c>
      <c r="AD84" s="31">
        <f t="shared" si="85"/>
        <v>0</v>
      </c>
      <c r="AE84" s="31"/>
      <c r="AF84" s="31">
        <f t="shared" si="86"/>
        <v>538052.19999999995</v>
      </c>
      <c r="AG84" s="31">
        <f t="shared" si="86"/>
        <v>0</v>
      </c>
      <c r="AH84" s="31">
        <f t="shared" ref="AH84:AH85" si="91">AG84/AF84*100</f>
        <v>0</v>
      </c>
      <c r="AI84" s="31">
        <f t="shared" si="87"/>
        <v>52685.5</v>
      </c>
      <c r="AJ84" s="31">
        <f t="shared" si="87"/>
        <v>0</v>
      </c>
      <c r="AK84" s="31"/>
      <c r="AL84" s="31">
        <f t="shared" si="88"/>
        <v>52685.5</v>
      </c>
      <c r="AM84" s="31">
        <f t="shared" si="88"/>
        <v>0</v>
      </c>
      <c r="AN84" s="31">
        <f>AM84/AL84*100</f>
        <v>0</v>
      </c>
      <c r="AO84" s="31">
        <f t="shared" si="89"/>
        <v>52685.500000000116</v>
      </c>
      <c r="AP84" s="31">
        <f t="shared" si="89"/>
        <v>0</v>
      </c>
      <c r="AQ84" s="32"/>
      <c r="AR84" s="24"/>
      <c r="AS84" s="24"/>
    </row>
    <row r="85" spans="1:45" x14ac:dyDescent="0.25">
      <c r="A85" s="141"/>
      <c r="B85" s="142"/>
      <c r="C85" s="143"/>
      <c r="D85" s="30" t="s">
        <v>43</v>
      </c>
      <c r="E85" s="31">
        <f t="shared" si="51"/>
        <v>99575.700000000012</v>
      </c>
      <c r="F85" s="31">
        <f t="shared" si="51"/>
        <v>7182.7</v>
      </c>
      <c r="G85" s="31">
        <f t="shared" ref="G85" si="92">F85/E85*100</f>
        <v>7.2133060576024057</v>
      </c>
      <c r="H85" s="31">
        <f t="shared" si="77"/>
        <v>0</v>
      </c>
      <c r="I85" s="31">
        <f t="shared" si="77"/>
        <v>0</v>
      </c>
      <c r="J85" s="31"/>
      <c r="K85" s="31">
        <f t="shared" si="78"/>
        <v>0</v>
      </c>
      <c r="L85" s="31">
        <f t="shared" si="78"/>
        <v>0</v>
      </c>
      <c r="M85" s="31" t="e">
        <f t="shared" ref="M85" si="93">L85/K85*100</f>
        <v>#DIV/0!</v>
      </c>
      <c r="N85" s="31">
        <f t="shared" si="79"/>
        <v>0</v>
      </c>
      <c r="O85" s="31">
        <f t="shared" si="79"/>
        <v>0</v>
      </c>
      <c r="P85" s="31"/>
      <c r="Q85" s="31">
        <f t="shared" si="80"/>
        <v>108.10000000000002</v>
      </c>
      <c r="R85" s="31">
        <f t="shared" si="80"/>
        <v>55</v>
      </c>
      <c r="S85" s="31">
        <f t="shared" si="90"/>
        <v>50.878815911193328</v>
      </c>
      <c r="T85" s="31">
        <f t="shared" si="81"/>
        <v>320</v>
      </c>
      <c r="U85" s="31">
        <f t="shared" si="81"/>
        <v>320</v>
      </c>
      <c r="V85" s="31">
        <f t="shared" ref="V85" si="94">U85/T85*100</f>
        <v>100</v>
      </c>
      <c r="W85" s="31">
        <f t="shared" si="82"/>
        <v>1378.4</v>
      </c>
      <c r="X85" s="31">
        <f t="shared" si="82"/>
        <v>1386.4</v>
      </c>
      <c r="Y85" s="31">
        <f t="shared" ref="Y85" si="95">X85/W85*100</f>
        <v>100.58038305281485</v>
      </c>
      <c r="Z85" s="31">
        <f t="shared" si="83"/>
        <v>6562</v>
      </c>
      <c r="AA85" s="31">
        <f t="shared" si="83"/>
        <v>4483.2</v>
      </c>
      <c r="AB85" s="31">
        <f t="shared" si="84"/>
        <v>68.320633953063094</v>
      </c>
      <c r="AC85" s="31">
        <f t="shared" si="85"/>
        <v>606.59999999999991</v>
      </c>
      <c r="AD85" s="31">
        <f t="shared" si="85"/>
        <v>352.4</v>
      </c>
      <c r="AE85" s="31">
        <f t="shared" ref="AE85" si="96">AD85/AC85*100</f>
        <v>58.094296076491922</v>
      </c>
      <c r="AF85" s="31">
        <f t="shared" si="86"/>
        <v>43350.799999999996</v>
      </c>
      <c r="AG85" s="31">
        <f t="shared" si="86"/>
        <v>585.70000000000005</v>
      </c>
      <c r="AH85" s="31">
        <f t="shared" si="91"/>
        <v>1.3510707991548025</v>
      </c>
      <c r="AI85" s="31">
        <f t="shared" si="87"/>
        <v>32332.6</v>
      </c>
      <c r="AJ85" s="31">
        <f t="shared" si="87"/>
        <v>0</v>
      </c>
      <c r="AK85" s="31">
        <f t="shared" ref="AK85" si="97">AJ85/AI85*100</f>
        <v>0</v>
      </c>
      <c r="AL85" s="31">
        <f t="shared" si="88"/>
        <v>5855.1</v>
      </c>
      <c r="AM85" s="31">
        <f t="shared" si="88"/>
        <v>0</v>
      </c>
      <c r="AN85" s="31">
        <f t="shared" ref="AN85" si="98">AM85/AL85*100</f>
        <v>0</v>
      </c>
      <c r="AO85" s="31">
        <f t="shared" si="89"/>
        <v>9062.0999999999985</v>
      </c>
      <c r="AP85" s="31">
        <f t="shared" si="89"/>
        <v>0</v>
      </c>
      <c r="AQ85" s="32"/>
      <c r="AR85" s="24"/>
      <c r="AS85" s="24"/>
    </row>
    <row r="86" spans="1:45" x14ac:dyDescent="0.25">
      <c r="A86" s="141"/>
      <c r="B86" s="142"/>
      <c r="C86" s="143"/>
      <c r="D86" s="30" t="s">
        <v>21</v>
      </c>
      <c r="E86" s="31">
        <f t="shared" si="51"/>
        <v>0</v>
      </c>
      <c r="F86" s="31">
        <f t="shared" si="51"/>
        <v>0</v>
      </c>
      <c r="G86" s="31"/>
      <c r="H86" s="31">
        <f t="shared" si="77"/>
        <v>0</v>
      </c>
      <c r="I86" s="31">
        <f t="shared" si="77"/>
        <v>0</v>
      </c>
      <c r="J86" s="31"/>
      <c r="K86" s="31">
        <f t="shared" si="78"/>
        <v>0</v>
      </c>
      <c r="L86" s="31">
        <f t="shared" si="78"/>
        <v>0</v>
      </c>
      <c r="M86" s="31"/>
      <c r="N86" s="31">
        <f t="shared" si="79"/>
        <v>0</v>
      </c>
      <c r="O86" s="31">
        <f t="shared" si="79"/>
        <v>0</v>
      </c>
      <c r="P86" s="31"/>
      <c r="Q86" s="31">
        <f t="shared" si="80"/>
        <v>0</v>
      </c>
      <c r="R86" s="31">
        <f t="shared" si="80"/>
        <v>0</v>
      </c>
      <c r="S86" s="31"/>
      <c r="T86" s="31">
        <f t="shared" si="81"/>
        <v>0</v>
      </c>
      <c r="U86" s="31">
        <f t="shared" si="81"/>
        <v>0</v>
      </c>
      <c r="V86" s="31"/>
      <c r="W86" s="31">
        <f t="shared" si="82"/>
        <v>0</v>
      </c>
      <c r="X86" s="31">
        <f t="shared" si="82"/>
        <v>0</v>
      </c>
      <c r="Y86" s="31"/>
      <c r="Z86" s="31">
        <f t="shared" si="83"/>
        <v>0</v>
      </c>
      <c r="AA86" s="31">
        <f t="shared" si="83"/>
        <v>0</v>
      </c>
      <c r="AB86" s="31"/>
      <c r="AC86" s="31">
        <f t="shared" si="85"/>
        <v>0</v>
      </c>
      <c r="AD86" s="31">
        <f t="shared" si="85"/>
        <v>0</v>
      </c>
      <c r="AE86" s="31"/>
      <c r="AF86" s="31">
        <f t="shared" si="86"/>
        <v>0</v>
      </c>
      <c r="AG86" s="31">
        <f t="shared" si="86"/>
        <v>0</v>
      </c>
      <c r="AH86" s="31"/>
      <c r="AI86" s="31">
        <f t="shared" si="87"/>
        <v>0</v>
      </c>
      <c r="AJ86" s="31">
        <f t="shared" si="87"/>
        <v>0</v>
      </c>
      <c r="AK86" s="31"/>
      <c r="AL86" s="31">
        <f t="shared" si="88"/>
        <v>0</v>
      </c>
      <c r="AM86" s="31">
        <f t="shared" si="88"/>
        <v>0</v>
      </c>
      <c r="AN86" s="31"/>
      <c r="AO86" s="31">
        <f t="shared" si="89"/>
        <v>0</v>
      </c>
      <c r="AP86" s="31">
        <f t="shared" si="89"/>
        <v>0</v>
      </c>
      <c r="AQ86" s="1"/>
      <c r="AR86" s="24"/>
      <c r="AS86" s="24"/>
    </row>
    <row r="87" spans="1:45" ht="12.75" hidden="1" customHeight="1" x14ac:dyDescent="0.25">
      <c r="A87" s="144"/>
      <c r="B87" s="145"/>
      <c r="C87" s="146"/>
      <c r="D87" s="30" t="s">
        <v>119</v>
      </c>
      <c r="E87" s="31">
        <f t="shared" si="51"/>
        <v>0</v>
      </c>
      <c r="F87" s="31">
        <f t="shared" si="51"/>
        <v>1472.3</v>
      </c>
      <c r="G87" s="31"/>
      <c r="H87" s="31"/>
      <c r="I87" s="31"/>
      <c r="J87" s="31"/>
      <c r="K87" s="31"/>
      <c r="L87" s="31"/>
      <c r="M87" s="31"/>
      <c r="N87" s="31"/>
      <c r="O87" s="31">
        <f>O50+O76</f>
        <v>0</v>
      </c>
      <c r="P87" s="31"/>
      <c r="Q87" s="31"/>
      <c r="R87" s="31">
        <f>R50+R76</f>
        <v>0</v>
      </c>
      <c r="S87" s="31"/>
      <c r="T87" s="31"/>
      <c r="U87" s="31">
        <f>U50+U76</f>
        <v>0</v>
      </c>
      <c r="V87" s="31"/>
      <c r="W87" s="31"/>
      <c r="X87" s="31">
        <f>X50+X76</f>
        <v>0</v>
      </c>
      <c r="Y87" s="31"/>
      <c r="Z87" s="31"/>
      <c r="AA87" s="31">
        <f>AA50+AA76</f>
        <v>0</v>
      </c>
      <c r="AB87" s="31"/>
      <c r="AC87" s="31"/>
      <c r="AD87" s="31">
        <f>AD50+AD76</f>
        <v>0</v>
      </c>
      <c r="AE87" s="31"/>
      <c r="AF87" s="31"/>
      <c r="AG87" s="31">
        <f>AG50+AG76</f>
        <v>1472.3</v>
      </c>
      <c r="AH87" s="31"/>
      <c r="AI87" s="31"/>
      <c r="AJ87" s="31">
        <f>AJ50+AJ76</f>
        <v>0</v>
      </c>
      <c r="AK87" s="31"/>
      <c r="AL87" s="31"/>
      <c r="AM87" s="31">
        <f>AM50+AM76</f>
        <v>0</v>
      </c>
      <c r="AN87" s="31"/>
      <c r="AO87" s="31"/>
      <c r="AP87" s="31"/>
      <c r="AQ87" s="1"/>
      <c r="AR87" s="24"/>
      <c r="AS87" s="24"/>
    </row>
    <row r="88" spans="1:45" ht="16.5" customHeight="1" x14ac:dyDescent="0.25">
      <c r="A88" s="26" t="s">
        <v>51</v>
      </c>
      <c r="B88" s="22" t="s">
        <v>8</v>
      </c>
      <c r="C88" s="22"/>
      <c r="D88" s="22"/>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2"/>
      <c r="AQ88" s="22"/>
      <c r="AR88" s="24"/>
      <c r="AS88" s="24"/>
    </row>
    <row r="89" spans="1:45" ht="13.9" customHeight="1" x14ac:dyDescent="0.25">
      <c r="A89" s="101" t="s">
        <v>52</v>
      </c>
      <c r="B89" s="101" t="s">
        <v>88</v>
      </c>
      <c r="C89" s="101" t="s">
        <v>152</v>
      </c>
      <c r="D89" s="26" t="s">
        <v>3</v>
      </c>
      <c r="E89" s="1">
        <f t="shared" ref="E89:F104" si="99">H89+K89+N89+Q89+T89+W89+Z89+AC89+AF89+AI89+AL89+AO89</f>
        <v>45</v>
      </c>
      <c r="F89" s="1">
        <f t="shared" si="99"/>
        <v>26.7</v>
      </c>
      <c r="G89" s="1">
        <f>F89/E89*100</f>
        <v>59.333333333333329</v>
      </c>
      <c r="H89" s="1">
        <f>H90+H91+H92+H93</f>
        <v>0</v>
      </c>
      <c r="I89" s="1">
        <f>I90+I91+I92+I93</f>
        <v>0</v>
      </c>
      <c r="J89" s="1"/>
      <c r="K89" s="1">
        <f t="shared" ref="K89:AO89" si="100">K90+K91+K92+K93</f>
        <v>0</v>
      </c>
      <c r="L89" s="1">
        <f t="shared" si="100"/>
        <v>0</v>
      </c>
      <c r="M89" s="1"/>
      <c r="N89" s="1">
        <f t="shared" si="100"/>
        <v>0</v>
      </c>
      <c r="O89" s="1">
        <f t="shared" si="100"/>
        <v>0</v>
      </c>
      <c r="P89" s="1"/>
      <c r="Q89" s="1">
        <f t="shared" si="100"/>
        <v>26.7</v>
      </c>
      <c r="R89" s="1">
        <f t="shared" si="100"/>
        <v>26.7</v>
      </c>
      <c r="S89" s="1">
        <f>R89/Q89*100</f>
        <v>100</v>
      </c>
      <c r="T89" s="1">
        <f t="shared" si="100"/>
        <v>0</v>
      </c>
      <c r="U89" s="1">
        <f t="shared" si="100"/>
        <v>0</v>
      </c>
      <c r="V89" s="1"/>
      <c r="W89" s="1">
        <f t="shared" si="100"/>
        <v>0</v>
      </c>
      <c r="X89" s="1">
        <f t="shared" si="100"/>
        <v>0</v>
      </c>
      <c r="Y89" s="1"/>
      <c r="Z89" s="1">
        <f t="shared" si="100"/>
        <v>0</v>
      </c>
      <c r="AA89" s="1">
        <f t="shared" si="100"/>
        <v>0</v>
      </c>
      <c r="AB89" s="27"/>
      <c r="AC89" s="1">
        <f t="shared" si="100"/>
        <v>0</v>
      </c>
      <c r="AD89" s="1">
        <f t="shared" si="100"/>
        <v>0</v>
      </c>
      <c r="AE89" s="27"/>
      <c r="AF89" s="1">
        <f t="shared" si="100"/>
        <v>0</v>
      </c>
      <c r="AG89" s="1">
        <f t="shared" si="100"/>
        <v>0</v>
      </c>
      <c r="AH89" s="27"/>
      <c r="AI89" s="1">
        <f t="shared" si="100"/>
        <v>8.3000000000000007</v>
      </c>
      <c r="AJ89" s="1">
        <f t="shared" si="100"/>
        <v>0</v>
      </c>
      <c r="AK89" s="1">
        <f>AJ89/AI89*100</f>
        <v>0</v>
      </c>
      <c r="AL89" s="1">
        <f t="shared" si="100"/>
        <v>10</v>
      </c>
      <c r="AM89" s="1">
        <f t="shared" si="100"/>
        <v>0</v>
      </c>
      <c r="AN89" s="1">
        <f>AM89/AL89*100</f>
        <v>0</v>
      </c>
      <c r="AO89" s="1">
        <f t="shared" si="100"/>
        <v>0</v>
      </c>
      <c r="AP89" s="1"/>
      <c r="AQ89" s="27"/>
      <c r="AR89" s="24"/>
      <c r="AS89" s="24"/>
    </row>
    <row r="90" spans="1:45" ht="13.5" customHeight="1" x14ac:dyDescent="0.25">
      <c r="A90" s="101"/>
      <c r="B90" s="101"/>
      <c r="C90" s="101"/>
      <c r="D90" s="26" t="s">
        <v>20</v>
      </c>
      <c r="E90" s="1">
        <f t="shared" si="99"/>
        <v>0</v>
      </c>
      <c r="F90" s="1">
        <f t="shared" si="99"/>
        <v>0</v>
      </c>
      <c r="G90" s="1"/>
      <c r="H90" s="1"/>
      <c r="I90" s="1"/>
      <c r="J90" s="1"/>
      <c r="K90" s="1"/>
      <c r="L90" s="1"/>
      <c r="M90" s="1"/>
      <c r="N90" s="1"/>
      <c r="O90" s="1"/>
      <c r="P90" s="1"/>
      <c r="Q90" s="1"/>
      <c r="R90" s="1"/>
      <c r="S90" s="1"/>
      <c r="T90" s="1"/>
      <c r="U90" s="1"/>
      <c r="V90" s="1"/>
      <c r="W90" s="1"/>
      <c r="X90" s="1"/>
      <c r="Y90" s="1"/>
      <c r="Z90" s="1"/>
      <c r="AA90" s="1"/>
      <c r="AB90" s="27"/>
      <c r="AC90" s="1"/>
      <c r="AD90" s="1"/>
      <c r="AE90" s="27"/>
      <c r="AF90" s="1"/>
      <c r="AG90" s="1"/>
      <c r="AH90" s="27"/>
      <c r="AI90" s="1"/>
      <c r="AJ90" s="1"/>
      <c r="AK90" s="1"/>
      <c r="AL90" s="1"/>
      <c r="AM90" s="1"/>
      <c r="AN90" s="1"/>
      <c r="AO90" s="1"/>
      <c r="AP90" s="1"/>
      <c r="AQ90" s="27"/>
      <c r="AR90" s="24"/>
      <c r="AS90" s="24"/>
    </row>
    <row r="91" spans="1:45" ht="15" customHeight="1" x14ac:dyDescent="0.25">
      <c r="A91" s="101"/>
      <c r="B91" s="101"/>
      <c r="C91" s="101"/>
      <c r="D91" s="26" t="s">
        <v>4</v>
      </c>
      <c r="E91" s="1">
        <f t="shared" si="99"/>
        <v>0</v>
      </c>
      <c r="F91" s="1">
        <f t="shared" si="99"/>
        <v>0</v>
      </c>
      <c r="G91" s="1"/>
      <c r="H91" s="1"/>
      <c r="I91" s="1"/>
      <c r="J91" s="1"/>
      <c r="K91" s="1"/>
      <c r="L91" s="1"/>
      <c r="M91" s="1"/>
      <c r="N91" s="1"/>
      <c r="O91" s="1"/>
      <c r="P91" s="1"/>
      <c r="Q91" s="1"/>
      <c r="R91" s="1"/>
      <c r="S91" s="1"/>
      <c r="T91" s="1"/>
      <c r="U91" s="1"/>
      <c r="V91" s="1"/>
      <c r="W91" s="1"/>
      <c r="X91" s="1"/>
      <c r="Y91" s="1"/>
      <c r="Z91" s="1"/>
      <c r="AA91" s="1"/>
      <c r="AB91" s="27"/>
      <c r="AC91" s="1"/>
      <c r="AD91" s="1"/>
      <c r="AE91" s="27"/>
      <c r="AF91" s="1"/>
      <c r="AG91" s="1"/>
      <c r="AH91" s="27"/>
      <c r="AI91" s="1"/>
      <c r="AJ91" s="1"/>
      <c r="AK91" s="1"/>
      <c r="AL91" s="1"/>
      <c r="AM91" s="1"/>
      <c r="AN91" s="1"/>
      <c r="AO91" s="1"/>
      <c r="AP91" s="1"/>
      <c r="AQ91" s="27"/>
      <c r="AR91" s="36"/>
      <c r="AS91" s="36"/>
    </row>
    <row r="92" spans="1:45" ht="24" x14ac:dyDescent="0.25">
      <c r="A92" s="101"/>
      <c r="B92" s="101"/>
      <c r="C92" s="101"/>
      <c r="D92" s="26" t="s">
        <v>43</v>
      </c>
      <c r="E92" s="1">
        <f t="shared" si="99"/>
        <v>45</v>
      </c>
      <c r="F92" s="1">
        <f t="shared" si="99"/>
        <v>26.7</v>
      </c>
      <c r="G92" s="1">
        <f t="shared" ref="G92" si="101">F92/E92*100</f>
        <v>59.333333333333329</v>
      </c>
      <c r="H92" s="1"/>
      <c r="I92" s="1"/>
      <c r="J92" s="1"/>
      <c r="K92" s="1">
        <f>5-5</f>
        <v>0</v>
      </c>
      <c r="L92" s="1">
        <v>0</v>
      </c>
      <c r="M92" s="1"/>
      <c r="N92" s="1"/>
      <c r="O92" s="1"/>
      <c r="P92" s="1"/>
      <c r="Q92" s="1">
        <f>10+16.7</f>
        <v>26.7</v>
      </c>
      <c r="R92" s="1">
        <v>26.7</v>
      </c>
      <c r="S92" s="1">
        <f t="shared" ref="S92" si="102">R92/Q92*100</f>
        <v>100</v>
      </c>
      <c r="T92" s="1"/>
      <c r="U92" s="1"/>
      <c r="V92" s="1"/>
      <c r="W92" s="1"/>
      <c r="X92" s="1"/>
      <c r="Y92" s="1"/>
      <c r="Z92" s="1"/>
      <c r="AA92" s="1"/>
      <c r="AB92" s="27"/>
      <c r="AC92" s="1"/>
      <c r="AD92" s="1"/>
      <c r="AE92" s="27"/>
      <c r="AF92" s="1">
        <f>10-10</f>
        <v>0</v>
      </c>
      <c r="AG92" s="1">
        <v>0</v>
      </c>
      <c r="AH92" s="27"/>
      <c r="AI92" s="1">
        <f>10-1.7</f>
        <v>8.3000000000000007</v>
      </c>
      <c r="AJ92" s="1"/>
      <c r="AK92" s="1">
        <f t="shared" ref="AK92" si="103">AJ92/AI92*100</f>
        <v>0</v>
      </c>
      <c r="AL92" s="1">
        <v>10</v>
      </c>
      <c r="AM92" s="1"/>
      <c r="AN92" s="1">
        <f t="shared" ref="AN92" si="104">AM92/AL92*100</f>
        <v>0</v>
      </c>
      <c r="AO92" s="1"/>
      <c r="AP92" s="1"/>
      <c r="AQ92" s="27"/>
      <c r="AR92" s="21" t="s">
        <v>184</v>
      </c>
      <c r="AS92" s="36"/>
    </row>
    <row r="93" spans="1:45" ht="12" customHeight="1" x14ac:dyDescent="0.25">
      <c r="A93" s="101"/>
      <c r="B93" s="101"/>
      <c r="C93" s="101"/>
      <c r="D93" s="26" t="s">
        <v>21</v>
      </c>
      <c r="E93" s="1">
        <f t="shared" si="99"/>
        <v>0</v>
      </c>
      <c r="F93" s="1">
        <f t="shared" si="99"/>
        <v>0</v>
      </c>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24"/>
      <c r="AS93" s="24"/>
    </row>
    <row r="94" spans="1:45" ht="15" customHeight="1" x14ac:dyDescent="0.25">
      <c r="A94" s="101" t="s">
        <v>53</v>
      </c>
      <c r="B94" s="101" t="s">
        <v>89</v>
      </c>
      <c r="C94" s="101" t="s">
        <v>152</v>
      </c>
      <c r="D94" s="26" t="s">
        <v>3</v>
      </c>
      <c r="E94" s="1">
        <f t="shared" si="99"/>
        <v>768.10000000000014</v>
      </c>
      <c r="F94" s="1">
        <f t="shared" si="99"/>
        <v>459</v>
      </c>
      <c r="G94" s="1">
        <f>F94/E94*100</f>
        <v>59.75784403072516</v>
      </c>
      <c r="H94" s="1">
        <f>H95+H96+H97+H98</f>
        <v>211.4</v>
      </c>
      <c r="I94" s="1">
        <f>I95+I96+I97+I98</f>
        <v>88.9</v>
      </c>
      <c r="J94" s="1">
        <f>I94/H94*100</f>
        <v>42.052980132450337</v>
      </c>
      <c r="K94" s="1">
        <f t="shared" ref="K94:AO94" si="105">K95+K96+K97+K98</f>
        <v>25</v>
      </c>
      <c r="L94" s="1">
        <f t="shared" si="105"/>
        <v>108.6</v>
      </c>
      <c r="M94" s="1">
        <f>L94/K94*100</f>
        <v>434.39999999999992</v>
      </c>
      <c r="N94" s="1">
        <f t="shared" si="105"/>
        <v>43.2</v>
      </c>
      <c r="O94" s="1">
        <f t="shared" si="105"/>
        <v>-14.8</v>
      </c>
      <c r="P94" s="1">
        <f>O94/N94*100</f>
        <v>-34.259259259259252</v>
      </c>
      <c r="Q94" s="1">
        <f t="shared" si="105"/>
        <v>133.9</v>
      </c>
      <c r="R94" s="1">
        <f t="shared" si="105"/>
        <v>61</v>
      </c>
      <c r="S94" s="1">
        <f>R94/Q94*100</f>
        <v>45.556385362210605</v>
      </c>
      <c r="T94" s="1">
        <f t="shared" si="105"/>
        <v>0</v>
      </c>
      <c r="U94" s="1">
        <f t="shared" si="105"/>
        <v>28.6</v>
      </c>
      <c r="V94" s="1"/>
      <c r="W94" s="1">
        <f t="shared" si="105"/>
        <v>151.60000000000002</v>
      </c>
      <c r="X94" s="1">
        <f t="shared" si="105"/>
        <v>120.2</v>
      </c>
      <c r="Y94" s="1">
        <f>X94/W94*100</f>
        <v>79.287598944591025</v>
      </c>
      <c r="Z94" s="1">
        <f t="shared" si="105"/>
        <v>0</v>
      </c>
      <c r="AA94" s="1">
        <f t="shared" si="105"/>
        <v>-7.5</v>
      </c>
      <c r="AB94" s="1"/>
      <c r="AC94" s="1">
        <f t="shared" si="105"/>
        <v>76.2</v>
      </c>
      <c r="AD94" s="1">
        <f t="shared" si="105"/>
        <v>74</v>
      </c>
      <c r="AE94" s="1">
        <f>AD94/AC94*100</f>
        <v>97.112860892388454</v>
      </c>
      <c r="AF94" s="1">
        <f t="shared" si="105"/>
        <v>25</v>
      </c>
      <c r="AG94" s="1">
        <f t="shared" si="105"/>
        <v>0</v>
      </c>
      <c r="AH94" s="1">
        <f>AG94/AF94*100</f>
        <v>0</v>
      </c>
      <c r="AI94" s="1">
        <f t="shared" si="105"/>
        <v>34.200000000000003</v>
      </c>
      <c r="AJ94" s="1">
        <f t="shared" si="105"/>
        <v>0</v>
      </c>
      <c r="AK94" s="1">
        <f>AJ94/AI94*100</f>
        <v>0</v>
      </c>
      <c r="AL94" s="1">
        <f t="shared" si="105"/>
        <v>67.599999999999994</v>
      </c>
      <c r="AM94" s="1">
        <f t="shared" si="105"/>
        <v>0</v>
      </c>
      <c r="AN94" s="1">
        <f>AM94/AL94*100</f>
        <v>0</v>
      </c>
      <c r="AO94" s="1">
        <f t="shared" si="105"/>
        <v>0</v>
      </c>
      <c r="AP94" s="1"/>
      <c r="AQ94" s="1" t="e">
        <f>AP94/AO94*100</f>
        <v>#DIV/0!</v>
      </c>
      <c r="AR94" s="24"/>
      <c r="AS94" s="24"/>
    </row>
    <row r="95" spans="1:45" ht="13.9" customHeight="1" x14ac:dyDescent="0.25">
      <c r="A95" s="101"/>
      <c r="B95" s="101"/>
      <c r="C95" s="101"/>
      <c r="D95" s="26" t="s">
        <v>20</v>
      </c>
      <c r="E95" s="1">
        <f t="shared" si="99"/>
        <v>0</v>
      </c>
      <c r="F95" s="1">
        <f t="shared" si="99"/>
        <v>0</v>
      </c>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24"/>
      <c r="AS95" s="24"/>
    </row>
    <row r="96" spans="1:45" ht="26.45" customHeight="1" x14ac:dyDescent="0.25">
      <c r="A96" s="101"/>
      <c r="B96" s="101"/>
      <c r="C96" s="101"/>
      <c r="D96" s="26" t="s">
        <v>4</v>
      </c>
      <c r="E96" s="1">
        <f t="shared" si="99"/>
        <v>0</v>
      </c>
      <c r="F96" s="1">
        <f t="shared" si="99"/>
        <v>0</v>
      </c>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24"/>
      <c r="AS96" s="24"/>
    </row>
    <row r="97" spans="1:45" ht="207" customHeight="1" x14ac:dyDescent="0.25">
      <c r="A97" s="101"/>
      <c r="B97" s="101"/>
      <c r="C97" s="101"/>
      <c r="D97" s="26" t="s">
        <v>43</v>
      </c>
      <c r="E97" s="1">
        <f t="shared" si="99"/>
        <v>768.10000000000014</v>
      </c>
      <c r="F97" s="1">
        <f t="shared" si="99"/>
        <v>459</v>
      </c>
      <c r="G97" s="1">
        <f t="shared" ref="G97" si="106">F97/E97*100</f>
        <v>59.75784403072516</v>
      </c>
      <c r="H97" s="1">
        <f>250-38.6</f>
        <v>211.4</v>
      </c>
      <c r="I97" s="1">
        <v>88.9</v>
      </c>
      <c r="J97" s="1">
        <f t="shared" ref="J97" si="107">I97/H97*100</f>
        <v>42.052980132450337</v>
      </c>
      <c r="K97" s="1">
        <v>25</v>
      </c>
      <c r="L97" s="1">
        <v>108.6</v>
      </c>
      <c r="M97" s="1">
        <f t="shared" ref="M97" si="108">L97/K97*100</f>
        <v>434.39999999999992</v>
      </c>
      <c r="N97" s="1">
        <v>43.2</v>
      </c>
      <c r="O97" s="1">
        <v>-14.8</v>
      </c>
      <c r="P97" s="1">
        <f t="shared" ref="P97" si="109">O97/N97*100</f>
        <v>-34.259259259259252</v>
      </c>
      <c r="Q97" s="1">
        <f>456.5-29.9-59.1-130-103.6</f>
        <v>133.9</v>
      </c>
      <c r="R97" s="1">
        <v>61</v>
      </c>
      <c r="S97" s="1">
        <f t="shared" ref="S97" si="110">R97/Q97*100</f>
        <v>45.556385362210605</v>
      </c>
      <c r="T97" s="1"/>
      <c r="U97" s="1">
        <v>28.6</v>
      </c>
      <c r="V97" s="1"/>
      <c r="W97" s="1">
        <f>147.4+17.8-13.6</f>
        <v>151.60000000000002</v>
      </c>
      <c r="X97" s="1">
        <v>120.2</v>
      </c>
      <c r="Y97" s="1">
        <f t="shared" ref="Y97" si="111">X97/W97*100</f>
        <v>79.287598944591025</v>
      </c>
      <c r="Z97" s="1"/>
      <c r="AA97" s="1">
        <v>-7.5</v>
      </c>
      <c r="AB97" s="1"/>
      <c r="AC97" s="1">
        <v>76.2</v>
      </c>
      <c r="AD97" s="1">
        <v>74</v>
      </c>
      <c r="AE97" s="1">
        <f t="shared" ref="AE97" si="112">AD97/AC97*100</f>
        <v>97.112860892388454</v>
      </c>
      <c r="AF97" s="1">
        <v>25</v>
      </c>
      <c r="AG97" s="1"/>
      <c r="AH97" s="1">
        <f t="shared" ref="AH97" si="113">AG97/AF97*100</f>
        <v>0</v>
      </c>
      <c r="AI97" s="1">
        <v>34.200000000000003</v>
      </c>
      <c r="AJ97" s="1"/>
      <c r="AK97" s="1">
        <f t="shared" ref="AK97" si="114">AJ97/AI97*100</f>
        <v>0</v>
      </c>
      <c r="AL97" s="1">
        <v>67.599999999999994</v>
      </c>
      <c r="AM97" s="1"/>
      <c r="AN97" s="1">
        <f t="shared" ref="AN97" si="115">AM97/AL97*100</f>
        <v>0</v>
      </c>
      <c r="AO97" s="1"/>
      <c r="AP97" s="1"/>
      <c r="AQ97" s="1" t="e">
        <f t="shared" ref="AQ97" si="116">AP97/AO97*100</f>
        <v>#DIV/0!</v>
      </c>
      <c r="AR97" s="35" t="s">
        <v>204</v>
      </c>
      <c r="AS97" s="21" t="s">
        <v>185</v>
      </c>
    </row>
    <row r="98" spans="1:45" ht="15" customHeight="1" x14ac:dyDescent="0.25">
      <c r="A98" s="101"/>
      <c r="B98" s="101"/>
      <c r="C98" s="101"/>
      <c r="D98" s="26" t="s">
        <v>21</v>
      </c>
      <c r="E98" s="1">
        <f t="shared" si="99"/>
        <v>0</v>
      </c>
      <c r="F98" s="1">
        <f t="shared" si="99"/>
        <v>0</v>
      </c>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24"/>
      <c r="AS98" s="24"/>
    </row>
    <row r="99" spans="1:45" ht="13.15" customHeight="1" x14ac:dyDescent="0.25">
      <c r="A99" s="101" t="s">
        <v>54</v>
      </c>
      <c r="B99" s="101" t="s">
        <v>90</v>
      </c>
      <c r="C99" s="101" t="s">
        <v>152</v>
      </c>
      <c r="D99" s="26" t="s">
        <v>3</v>
      </c>
      <c r="E99" s="1">
        <f t="shared" si="99"/>
        <v>13.6</v>
      </c>
      <c r="F99" s="1">
        <f t="shared" si="99"/>
        <v>10.6</v>
      </c>
      <c r="G99" s="1">
        <f>F99/E99*100</f>
        <v>77.941176470588232</v>
      </c>
      <c r="H99" s="1">
        <f>H100+H101+H102+H103</f>
        <v>0</v>
      </c>
      <c r="I99" s="1"/>
      <c r="J99" s="1"/>
      <c r="K99" s="1">
        <f t="shared" ref="K99:AO99" si="117">K100+K101+K102+K103</f>
        <v>0</v>
      </c>
      <c r="L99" s="1"/>
      <c r="M99" s="1"/>
      <c r="N99" s="1">
        <f t="shared" si="117"/>
        <v>0</v>
      </c>
      <c r="O99" s="1"/>
      <c r="P99" s="1"/>
      <c r="Q99" s="1">
        <f t="shared" si="117"/>
        <v>0</v>
      </c>
      <c r="R99" s="1"/>
      <c r="S99" s="1"/>
      <c r="T99" s="1">
        <f t="shared" si="117"/>
        <v>0</v>
      </c>
      <c r="U99" s="1"/>
      <c r="V99" s="1"/>
      <c r="W99" s="1">
        <f t="shared" si="117"/>
        <v>0</v>
      </c>
      <c r="X99" s="1">
        <f t="shared" si="117"/>
        <v>0</v>
      </c>
      <c r="Y99" s="1"/>
      <c r="Z99" s="1">
        <f t="shared" si="117"/>
        <v>13.6</v>
      </c>
      <c r="AA99" s="1">
        <f t="shared" si="117"/>
        <v>10.6</v>
      </c>
      <c r="AB99" s="1">
        <f>AA99/Z99*100</f>
        <v>77.941176470588232</v>
      </c>
      <c r="AC99" s="1">
        <f t="shared" si="117"/>
        <v>0</v>
      </c>
      <c r="AD99" s="1"/>
      <c r="AE99" s="1"/>
      <c r="AF99" s="1">
        <f t="shared" si="117"/>
        <v>0</v>
      </c>
      <c r="AG99" s="1"/>
      <c r="AH99" s="1"/>
      <c r="AI99" s="1">
        <f t="shared" si="117"/>
        <v>0</v>
      </c>
      <c r="AJ99" s="1"/>
      <c r="AK99" s="1"/>
      <c r="AL99" s="1">
        <f t="shared" si="117"/>
        <v>0</v>
      </c>
      <c r="AM99" s="1"/>
      <c r="AN99" s="1"/>
      <c r="AO99" s="1">
        <f t="shared" si="117"/>
        <v>0</v>
      </c>
      <c r="AP99" s="1"/>
      <c r="AQ99" s="1"/>
      <c r="AR99" s="24"/>
      <c r="AS99" s="24"/>
    </row>
    <row r="100" spans="1:45" ht="12.6" customHeight="1" x14ac:dyDescent="0.25">
      <c r="A100" s="101"/>
      <c r="B100" s="101"/>
      <c r="C100" s="101"/>
      <c r="D100" s="26" t="s">
        <v>20</v>
      </c>
      <c r="E100" s="1">
        <f t="shared" si="99"/>
        <v>0</v>
      </c>
      <c r="F100" s="1">
        <f t="shared" si="99"/>
        <v>0</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24"/>
      <c r="AS100" s="24"/>
    </row>
    <row r="101" spans="1:45" ht="24" x14ac:dyDescent="0.25">
      <c r="A101" s="101"/>
      <c r="B101" s="101"/>
      <c r="C101" s="101"/>
      <c r="D101" s="26" t="s">
        <v>4</v>
      </c>
      <c r="E101" s="1">
        <f t="shared" si="99"/>
        <v>0</v>
      </c>
      <c r="F101" s="1">
        <f t="shared" si="99"/>
        <v>0</v>
      </c>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24"/>
      <c r="AS101" s="24"/>
    </row>
    <row r="102" spans="1:45" ht="36" x14ac:dyDescent="0.25">
      <c r="A102" s="101"/>
      <c r="B102" s="101"/>
      <c r="C102" s="101"/>
      <c r="D102" s="26" t="s">
        <v>43</v>
      </c>
      <c r="E102" s="1">
        <f t="shared" si="99"/>
        <v>13.6</v>
      </c>
      <c r="F102" s="1">
        <f t="shared" si="99"/>
        <v>8.6</v>
      </c>
      <c r="G102" s="1">
        <f t="shared" ref="G102" si="118">F102/E102*100</f>
        <v>63.235294117647058</v>
      </c>
      <c r="H102" s="1"/>
      <c r="I102" s="1"/>
      <c r="J102" s="1"/>
      <c r="K102" s="1"/>
      <c r="L102" s="1"/>
      <c r="M102" s="1"/>
      <c r="N102" s="1"/>
      <c r="O102" s="1"/>
      <c r="P102" s="1"/>
      <c r="Q102" s="1"/>
      <c r="R102" s="1"/>
      <c r="S102" s="1"/>
      <c r="T102" s="1"/>
      <c r="U102" s="1"/>
      <c r="V102" s="1"/>
      <c r="W102" s="1">
        <f>24-24</f>
        <v>0</v>
      </c>
      <c r="X102" s="1">
        <v>0</v>
      </c>
      <c r="Y102" s="1"/>
      <c r="Z102" s="1">
        <v>13.6</v>
      </c>
      <c r="AA102" s="1">
        <v>10.6</v>
      </c>
      <c r="AB102" s="1">
        <f t="shared" ref="AB102" si="119">AA102/Z102*100</f>
        <v>77.941176470588232</v>
      </c>
      <c r="AC102" s="1"/>
      <c r="AD102" s="1"/>
      <c r="AE102" s="1"/>
      <c r="AF102" s="1"/>
      <c r="AG102" s="1">
        <v>-2</v>
      </c>
      <c r="AH102" s="1"/>
      <c r="AI102" s="1"/>
      <c r="AJ102" s="1"/>
      <c r="AK102" s="1"/>
      <c r="AL102" s="1"/>
      <c r="AM102" s="1"/>
      <c r="AN102" s="1"/>
      <c r="AO102" s="1"/>
      <c r="AP102" s="1"/>
      <c r="AQ102" s="1"/>
      <c r="AR102" s="21" t="s">
        <v>216</v>
      </c>
      <c r="AS102" s="21" t="s">
        <v>217</v>
      </c>
    </row>
    <row r="103" spans="1:45" ht="15.75" customHeight="1" x14ac:dyDescent="0.25">
      <c r="A103" s="101"/>
      <c r="B103" s="101"/>
      <c r="C103" s="101"/>
      <c r="D103" s="26" t="s">
        <v>21</v>
      </c>
      <c r="E103" s="1">
        <f t="shared" si="99"/>
        <v>0</v>
      </c>
      <c r="F103" s="1">
        <f t="shared" si="99"/>
        <v>0</v>
      </c>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24"/>
      <c r="AS103" s="24"/>
    </row>
    <row r="104" spans="1:45" ht="12" customHeight="1" x14ac:dyDescent="0.25">
      <c r="A104" s="101" t="s">
        <v>55</v>
      </c>
      <c r="B104" s="101" t="s">
        <v>91</v>
      </c>
      <c r="C104" s="101" t="s">
        <v>152</v>
      </c>
      <c r="D104" s="26" t="s">
        <v>3</v>
      </c>
      <c r="E104" s="1">
        <f t="shared" si="99"/>
        <v>260</v>
      </c>
      <c r="F104" s="1">
        <f t="shared" si="99"/>
        <v>260</v>
      </c>
      <c r="G104" s="1">
        <f>F104/E104*100</f>
        <v>100</v>
      </c>
      <c r="H104" s="1">
        <f>H105+H106+H107+H108</f>
        <v>0</v>
      </c>
      <c r="I104" s="1"/>
      <c r="J104" s="27"/>
      <c r="K104" s="1">
        <f t="shared" ref="K104:AO104" si="120">K105+K106+K107+K108</f>
        <v>0</v>
      </c>
      <c r="L104" s="1">
        <f t="shared" si="120"/>
        <v>0</v>
      </c>
      <c r="M104" s="1"/>
      <c r="N104" s="1">
        <f t="shared" si="120"/>
        <v>0</v>
      </c>
      <c r="O104" s="1">
        <f t="shared" si="120"/>
        <v>0</v>
      </c>
      <c r="P104" s="1"/>
      <c r="Q104" s="1">
        <f t="shared" si="120"/>
        <v>60</v>
      </c>
      <c r="R104" s="1">
        <f t="shared" si="120"/>
        <v>60</v>
      </c>
      <c r="S104" s="1">
        <f>R104/Q104*100</f>
        <v>100</v>
      </c>
      <c r="T104" s="1">
        <f t="shared" si="120"/>
        <v>183.8</v>
      </c>
      <c r="U104" s="1">
        <f t="shared" si="120"/>
        <v>183.8</v>
      </c>
      <c r="V104" s="1">
        <f>U104/T104*100</f>
        <v>100</v>
      </c>
      <c r="W104" s="1">
        <f t="shared" si="120"/>
        <v>0</v>
      </c>
      <c r="X104" s="1">
        <f t="shared" si="120"/>
        <v>0</v>
      </c>
      <c r="Y104" s="1"/>
      <c r="Z104" s="1">
        <f t="shared" si="120"/>
        <v>16.2</v>
      </c>
      <c r="AA104" s="1">
        <f t="shared" si="120"/>
        <v>16.2</v>
      </c>
      <c r="AB104" s="1">
        <f>AA104/Z104*100</f>
        <v>100</v>
      </c>
      <c r="AC104" s="1">
        <f t="shared" si="120"/>
        <v>0</v>
      </c>
      <c r="AD104" s="1">
        <f t="shared" si="120"/>
        <v>0</v>
      </c>
      <c r="AE104" s="1"/>
      <c r="AF104" s="1">
        <f t="shared" si="120"/>
        <v>0</v>
      </c>
      <c r="AG104" s="1">
        <f t="shared" si="120"/>
        <v>0</v>
      </c>
      <c r="AH104" s="1"/>
      <c r="AI104" s="1">
        <f t="shared" si="120"/>
        <v>0</v>
      </c>
      <c r="AJ104" s="1">
        <f t="shared" si="120"/>
        <v>0</v>
      </c>
      <c r="AK104" s="1"/>
      <c r="AL104" s="1">
        <f t="shared" si="120"/>
        <v>0</v>
      </c>
      <c r="AM104" s="1">
        <f t="shared" si="120"/>
        <v>0</v>
      </c>
      <c r="AN104" s="1"/>
      <c r="AO104" s="1">
        <f t="shared" si="120"/>
        <v>0</v>
      </c>
      <c r="AP104" s="1"/>
      <c r="AQ104" s="27"/>
      <c r="AR104" s="24"/>
      <c r="AS104" s="24"/>
    </row>
    <row r="105" spans="1:45" x14ac:dyDescent="0.25">
      <c r="A105" s="101"/>
      <c r="B105" s="101"/>
      <c r="C105" s="101"/>
      <c r="D105" s="26" t="s">
        <v>20</v>
      </c>
      <c r="E105" s="1">
        <f t="shared" ref="E105:F143" si="121">H105+K105+N105+Q105+T105+W105+Z105+AC105+AF105+AI105+AL105+AO105</f>
        <v>0</v>
      </c>
      <c r="F105" s="1">
        <f t="shared" si="121"/>
        <v>0</v>
      </c>
      <c r="G105" s="1"/>
      <c r="H105" s="1"/>
      <c r="I105" s="1"/>
      <c r="J105" s="2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27"/>
      <c r="AR105" s="24"/>
      <c r="AS105" s="24"/>
    </row>
    <row r="106" spans="1:45" ht="24" x14ac:dyDescent="0.25">
      <c r="A106" s="101"/>
      <c r="B106" s="101"/>
      <c r="C106" s="101"/>
      <c r="D106" s="26" t="s">
        <v>4</v>
      </c>
      <c r="E106" s="1">
        <f t="shared" si="121"/>
        <v>0</v>
      </c>
      <c r="F106" s="1">
        <f t="shared" si="121"/>
        <v>0</v>
      </c>
      <c r="G106" s="1"/>
      <c r="H106" s="37"/>
      <c r="I106" s="37"/>
      <c r="J106" s="27"/>
      <c r="K106" s="1"/>
      <c r="L106" s="37"/>
      <c r="M106" s="1"/>
      <c r="N106" s="1"/>
      <c r="O106" s="1"/>
      <c r="P106" s="1"/>
      <c r="Q106" s="1"/>
      <c r="R106" s="1"/>
      <c r="S106" s="1"/>
      <c r="T106" s="1"/>
      <c r="U106" s="1"/>
      <c r="V106" s="1"/>
      <c r="W106" s="1"/>
      <c r="X106" s="1"/>
      <c r="Y106" s="1"/>
      <c r="Z106" s="1"/>
      <c r="AA106" s="1"/>
      <c r="AB106" s="1"/>
      <c r="AC106" s="1"/>
      <c r="AD106" s="1"/>
      <c r="AE106" s="1"/>
      <c r="AF106" s="1"/>
      <c r="AG106" s="37"/>
      <c r="AH106" s="1"/>
      <c r="AI106" s="37"/>
      <c r="AJ106" s="1">
        <v>0</v>
      </c>
      <c r="AK106" s="1"/>
      <c r="AL106" s="1"/>
      <c r="AM106" s="37"/>
      <c r="AN106" s="1"/>
      <c r="AO106" s="37"/>
      <c r="AP106" s="37"/>
      <c r="AQ106" s="27"/>
      <c r="AR106" s="36"/>
      <c r="AS106" s="36"/>
    </row>
    <row r="107" spans="1:45" ht="85.5" customHeight="1" x14ac:dyDescent="0.25">
      <c r="A107" s="101"/>
      <c r="B107" s="101"/>
      <c r="C107" s="101"/>
      <c r="D107" s="26" t="s">
        <v>43</v>
      </c>
      <c r="E107" s="1">
        <f t="shared" si="121"/>
        <v>260</v>
      </c>
      <c r="F107" s="1">
        <f t="shared" si="121"/>
        <v>260</v>
      </c>
      <c r="G107" s="1">
        <f t="shared" ref="G107" si="122">F107/E107*100</f>
        <v>100</v>
      </c>
      <c r="H107" s="1"/>
      <c r="I107" s="1"/>
      <c r="J107" s="27"/>
      <c r="K107" s="1"/>
      <c r="L107" s="1"/>
      <c r="M107" s="1"/>
      <c r="N107" s="1"/>
      <c r="O107" s="1"/>
      <c r="P107" s="1"/>
      <c r="Q107" s="1">
        <f>52+8</f>
        <v>60</v>
      </c>
      <c r="R107" s="1">
        <v>60</v>
      </c>
      <c r="S107" s="1">
        <f t="shared" ref="S107" si="123">R107/Q107*100</f>
        <v>100</v>
      </c>
      <c r="T107" s="1">
        <v>183.8</v>
      </c>
      <c r="U107" s="1">
        <v>183.8</v>
      </c>
      <c r="V107" s="1">
        <f t="shared" ref="V107" si="124">U107/T107*100</f>
        <v>100</v>
      </c>
      <c r="W107" s="1"/>
      <c r="X107" s="1"/>
      <c r="Y107" s="1"/>
      <c r="Z107" s="1">
        <v>16.2</v>
      </c>
      <c r="AA107" s="1">
        <v>16.2</v>
      </c>
      <c r="AB107" s="1">
        <f t="shared" ref="AB107" si="125">AA107/Z107*100</f>
        <v>100</v>
      </c>
      <c r="AC107" s="1"/>
      <c r="AD107" s="1"/>
      <c r="AE107" s="1"/>
      <c r="AF107" s="1"/>
      <c r="AG107" s="1"/>
      <c r="AH107" s="1"/>
      <c r="AI107" s="1"/>
      <c r="AJ107" s="1">
        <v>0</v>
      </c>
      <c r="AK107" s="1"/>
      <c r="AL107" s="1"/>
      <c r="AM107" s="1"/>
      <c r="AN107" s="1"/>
      <c r="AO107" s="1"/>
      <c r="AP107" s="1"/>
      <c r="AQ107" s="27"/>
      <c r="AR107" s="21" t="s">
        <v>186</v>
      </c>
      <c r="AS107" s="21"/>
    </row>
    <row r="108" spans="1:45" ht="15.75" customHeight="1" x14ac:dyDescent="0.25">
      <c r="A108" s="101"/>
      <c r="B108" s="101"/>
      <c r="C108" s="101"/>
      <c r="D108" s="26" t="s">
        <v>21</v>
      </c>
      <c r="E108" s="1">
        <f t="shared" si="121"/>
        <v>0</v>
      </c>
      <c r="F108" s="1">
        <f t="shared" si="121"/>
        <v>0</v>
      </c>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24"/>
      <c r="AS108" s="24"/>
    </row>
    <row r="109" spans="1:45" ht="15" customHeight="1" x14ac:dyDescent="0.25">
      <c r="A109" s="101" t="s">
        <v>56</v>
      </c>
      <c r="B109" s="101" t="s">
        <v>92</v>
      </c>
      <c r="C109" s="101" t="s">
        <v>152</v>
      </c>
      <c r="D109" s="26" t="s">
        <v>3</v>
      </c>
      <c r="E109" s="1">
        <f>H109+K109+N109+Q109+T109+W109+Z109+AC109+AF109+AI109+AL109+AO109</f>
        <v>59.1</v>
      </c>
      <c r="F109" s="1">
        <f>I109+L109+O109+R109+U109+X109+AA109+AD109+AG109+AJ109+AM109+AP109</f>
        <v>43.2</v>
      </c>
      <c r="G109" s="1">
        <f>F109/E109*100</f>
        <v>73.096446700507627</v>
      </c>
      <c r="H109" s="1">
        <f>H110+H111+H112+H113</f>
        <v>0</v>
      </c>
      <c r="I109" s="1"/>
      <c r="J109" s="27"/>
      <c r="K109" s="1">
        <f t="shared" ref="K109:AO109" si="126">K110+K111+K112+K113</f>
        <v>0</v>
      </c>
      <c r="L109" s="1"/>
      <c r="M109" s="27"/>
      <c r="N109" s="1">
        <f t="shared" si="126"/>
        <v>0</v>
      </c>
      <c r="O109" s="1"/>
      <c r="P109" s="27"/>
      <c r="Q109" s="1">
        <f t="shared" si="126"/>
        <v>0</v>
      </c>
      <c r="R109" s="1">
        <f t="shared" si="126"/>
        <v>0</v>
      </c>
      <c r="S109" s="27"/>
      <c r="T109" s="1">
        <f t="shared" si="126"/>
        <v>59.1</v>
      </c>
      <c r="U109" s="1">
        <f t="shared" si="126"/>
        <v>43.2</v>
      </c>
      <c r="V109" s="1">
        <f>U109/T109*100</f>
        <v>73.096446700507627</v>
      </c>
      <c r="W109" s="1">
        <f t="shared" si="126"/>
        <v>0</v>
      </c>
      <c r="X109" s="1">
        <f t="shared" si="126"/>
        <v>0</v>
      </c>
      <c r="Y109" s="27"/>
      <c r="Z109" s="1">
        <f t="shared" si="126"/>
        <v>0</v>
      </c>
      <c r="AA109" s="1">
        <f t="shared" si="126"/>
        <v>0</v>
      </c>
      <c r="AB109" s="27"/>
      <c r="AC109" s="1">
        <f t="shared" si="126"/>
        <v>0</v>
      </c>
      <c r="AD109" s="1"/>
      <c r="AE109" s="27"/>
      <c r="AF109" s="1">
        <f>AF110+AF111+AF112+AF113</f>
        <v>0</v>
      </c>
      <c r="AG109" s="1">
        <f>AG110+AG111+AG112+AG113</f>
        <v>0</v>
      </c>
      <c r="AH109" s="1"/>
      <c r="AI109" s="1">
        <f t="shared" si="126"/>
        <v>0</v>
      </c>
      <c r="AJ109" s="1"/>
      <c r="AK109" s="27"/>
      <c r="AL109" s="1">
        <f t="shared" si="126"/>
        <v>0</v>
      </c>
      <c r="AM109" s="1">
        <f t="shared" si="126"/>
        <v>0</v>
      </c>
      <c r="AN109" s="1" t="e">
        <f>AM109/AL109*100</f>
        <v>#DIV/0!</v>
      </c>
      <c r="AO109" s="1">
        <f t="shared" si="126"/>
        <v>0</v>
      </c>
      <c r="AP109" s="1"/>
      <c r="AQ109" s="27"/>
      <c r="AR109" s="24"/>
      <c r="AS109" s="24"/>
    </row>
    <row r="110" spans="1:45" x14ac:dyDescent="0.25">
      <c r="A110" s="101"/>
      <c r="B110" s="101"/>
      <c r="C110" s="101"/>
      <c r="D110" s="26" t="s">
        <v>20</v>
      </c>
      <c r="E110" s="1">
        <f t="shared" si="121"/>
        <v>0</v>
      </c>
      <c r="F110" s="1">
        <f t="shared" si="121"/>
        <v>0</v>
      </c>
      <c r="G110" s="1"/>
      <c r="H110" s="1"/>
      <c r="I110" s="1"/>
      <c r="J110" s="27"/>
      <c r="K110" s="1"/>
      <c r="L110" s="1"/>
      <c r="M110" s="27"/>
      <c r="N110" s="1"/>
      <c r="O110" s="1"/>
      <c r="P110" s="27"/>
      <c r="Q110" s="1"/>
      <c r="R110" s="1"/>
      <c r="S110" s="27"/>
      <c r="T110" s="1"/>
      <c r="U110" s="1"/>
      <c r="V110" s="1"/>
      <c r="W110" s="1"/>
      <c r="X110" s="1"/>
      <c r="Y110" s="27"/>
      <c r="Z110" s="1"/>
      <c r="AA110" s="1"/>
      <c r="AB110" s="27"/>
      <c r="AC110" s="1"/>
      <c r="AD110" s="1"/>
      <c r="AE110" s="27"/>
      <c r="AF110" s="1"/>
      <c r="AG110" s="1"/>
      <c r="AH110" s="1"/>
      <c r="AI110" s="1"/>
      <c r="AJ110" s="1"/>
      <c r="AK110" s="27"/>
      <c r="AL110" s="1"/>
      <c r="AM110" s="1"/>
      <c r="AN110" s="1"/>
      <c r="AO110" s="1"/>
      <c r="AP110" s="1"/>
      <c r="AQ110" s="27"/>
      <c r="AR110" s="24"/>
      <c r="AS110" s="24"/>
    </row>
    <row r="111" spans="1:45" ht="24" x14ac:dyDescent="0.25">
      <c r="A111" s="101"/>
      <c r="B111" s="101"/>
      <c r="C111" s="101"/>
      <c r="D111" s="26" t="s">
        <v>4</v>
      </c>
      <c r="E111" s="1">
        <f t="shared" si="121"/>
        <v>0</v>
      </c>
      <c r="F111" s="1">
        <f t="shared" si="121"/>
        <v>0</v>
      </c>
      <c r="G111" s="1"/>
      <c r="H111" s="1"/>
      <c r="I111" s="1"/>
      <c r="J111" s="27"/>
      <c r="K111" s="1"/>
      <c r="L111" s="1"/>
      <c r="M111" s="27"/>
      <c r="N111" s="1"/>
      <c r="O111" s="1"/>
      <c r="P111" s="27"/>
      <c r="Q111" s="1"/>
      <c r="R111" s="1"/>
      <c r="S111" s="27"/>
      <c r="T111" s="1"/>
      <c r="U111" s="1"/>
      <c r="V111" s="1"/>
      <c r="W111" s="1"/>
      <c r="X111" s="1"/>
      <c r="Y111" s="27"/>
      <c r="Z111" s="1"/>
      <c r="AA111" s="1"/>
      <c r="AB111" s="27"/>
      <c r="AC111" s="1"/>
      <c r="AD111" s="1"/>
      <c r="AE111" s="27"/>
      <c r="AF111" s="1"/>
      <c r="AG111" s="1"/>
      <c r="AH111" s="1"/>
      <c r="AI111" s="1"/>
      <c r="AJ111" s="1"/>
      <c r="AK111" s="27"/>
      <c r="AL111" s="1"/>
      <c r="AM111" s="1"/>
      <c r="AN111" s="1"/>
      <c r="AO111" s="1"/>
      <c r="AP111" s="1"/>
      <c r="AQ111" s="27"/>
      <c r="AR111" s="24"/>
      <c r="AS111" s="24"/>
    </row>
    <row r="112" spans="1:45" ht="52.5" customHeight="1" x14ac:dyDescent="0.25">
      <c r="A112" s="101"/>
      <c r="B112" s="101"/>
      <c r="C112" s="101"/>
      <c r="D112" s="26" t="s">
        <v>43</v>
      </c>
      <c r="E112" s="1">
        <f t="shared" si="121"/>
        <v>59.1</v>
      </c>
      <c r="F112" s="1">
        <f t="shared" si="121"/>
        <v>43.2</v>
      </c>
      <c r="G112" s="1">
        <f t="shared" ref="G112" si="127">F112/E112*100</f>
        <v>73.096446700507627</v>
      </c>
      <c r="H112" s="1"/>
      <c r="I112" s="1"/>
      <c r="J112" s="27"/>
      <c r="K112" s="1"/>
      <c r="L112" s="1"/>
      <c r="M112" s="27"/>
      <c r="N112" s="1"/>
      <c r="O112" s="1"/>
      <c r="P112" s="27"/>
      <c r="Q112" s="1">
        <f>42.5-42.5</f>
        <v>0</v>
      </c>
      <c r="R112" s="1"/>
      <c r="S112" s="27"/>
      <c r="T112" s="1">
        <v>59.1</v>
      </c>
      <c r="U112" s="1">
        <v>43.2</v>
      </c>
      <c r="V112" s="1">
        <f t="shared" ref="V112" si="128">U112/T112*100</f>
        <v>73.096446700507627</v>
      </c>
      <c r="W112" s="1"/>
      <c r="X112" s="1"/>
      <c r="Y112" s="27"/>
      <c r="Z112" s="1"/>
      <c r="AA112" s="1"/>
      <c r="AB112" s="27"/>
      <c r="AC112" s="1"/>
      <c r="AD112" s="1"/>
      <c r="AE112" s="27"/>
      <c r="AF112" s="1"/>
      <c r="AG112" s="1"/>
      <c r="AH112" s="1"/>
      <c r="AI112" s="1"/>
      <c r="AJ112" s="1"/>
      <c r="AK112" s="27"/>
      <c r="AL112" s="1"/>
      <c r="AM112" s="1">
        <v>0</v>
      </c>
      <c r="AN112" s="1" t="e">
        <f t="shared" ref="AN112" si="129">AM112/AL112*100</f>
        <v>#DIV/0!</v>
      </c>
      <c r="AO112" s="1"/>
      <c r="AP112" s="1"/>
      <c r="AQ112" s="27"/>
      <c r="AR112" s="21" t="s">
        <v>181</v>
      </c>
      <c r="AS112" s="21" t="s">
        <v>182</v>
      </c>
    </row>
    <row r="113" spans="1:45" ht="15.75" customHeight="1" x14ac:dyDescent="0.25">
      <c r="A113" s="101"/>
      <c r="B113" s="101"/>
      <c r="C113" s="101"/>
      <c r="D113" s="26" t="s">
        <v>21</v>
      </c>
      <c r="E113" s="1">
        <f t="shared" si="121"/>
        <v>0</v>
      </c>
      <c r="F113" s="1">
        <f t="shared" si="121"/>
        <v>0</v>
      </c>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24"/>
      <c r="AS113" s="24"/>
    </row>
    <row r="114" spans="1:45" ht="12.6" customHeight="1" x14ac:dyDescent="0.25">
      <c r="A114" s="101" t="s">
        <v>57</v>
      </c>
      <c r="B114" s="101" t="s">
        <v>93</v>
      </c>
      <c r="C114" s="101" t="s">
        <v>152</v>
      </c>
      <c r="D114" s="26" t="s">
        <v>3</v>
      </c>
      <c r="E114" s="1">
        <f t="shared" si="121"/>
        <v>24</v>
      </c>
      <c r="F114" s="1">
        <f t="shared" si="121"/>
        <v>12</v>
      </c>
      <c r="G114" s="1">
        <f>F114/E114*100</f>
        <v>50</v>
      </c>
      <c r="H114" s="1">
        <f>H115+H116+H117+H118</f>
        <v>0</v>
      </c>
      <c r="I114" s="1"/>
      <c r="J114" s="27"/>
      <c r="K114" s="1">
        <f t="shared" ref="K114:AO114" si="130">K115+K116+K117+K118</f>
        <v>0</v>
      </c>
      <c r="L114" s="1"/>
      <c r="M114" s="27"/>
      <c r="N114" s="1">
        <f t="shared" si="130"/>
        <v>24</v>
      </c>
      <c r="O114" s="1">
        <f t="shared" si="130"/>
        <v>0</v>
      </c>
      <c r="P114" s="1"/>
      <c r="Q114" s="1">
        <f t="shared" si="130"/>
        <v>0</v>
      </c>
      <c r="R114" s="1">
        <f t="shared" si="130"/>
        <v>12</v>
      </c>
      <c r="S114" s="1"/>
      <c r="T114" s="1">
        <f t="shared" si="130"/>
        <v>0</v>
      </c>
      <c r="U114" s="1">
        <f t="shared" si="130"/>
        <v>0</v>
      </c>
      <c r="V114" s="1"/>
      <c r="W114" s="1">
        <f t="shared" si="130"/>
        <v>0</v>
      </c>
      <c r="X114" s="1">
        <f t="shared" si="130"/>
        <v>0</v>
      </c>
      <c r="Y114" s="27"/>
      <c r="Z114" s="1">
        <f t="shared" si="130"/>
        <v>0</v>
      </c>
      <c r="AA114" s="1">
        <f t="shared" si="130"/>
        <v>0</v>
      </c>
      <c r="AB114" s="27"/>
      <c r="AC114" s="1">
        <f t="shared" si="130"/>
        <v>0</v>
      </c>
      <c r="AD114" s="1">
        <f t="shared" si="130"/>
        <v>0</v>
      </c>
      <c r="AE114" s="27"/>
      <c r="AF114" s="1">
        <f t="shared" si="130"/>
        <v>0</v>
      </c>
      <c r="AG114" s="1">
        <f t="shared" si="130"/>
        <v>0</v>
      </c>
      <c r="AH114" s="1"/>
      <c r="AI114" s="1">
        <f t="shared" si="130"/>
        <v>0</v>
      </c>
      <c r="AJ114" s="1">
        <f t="shared" si="130"/>
        <v>0</v>
      </c>
      <c r="AK114" s="27"/>
      <c r="AL114" s="1">
        <f t="shared" si="130"/>
        <v>0</v>
      </c>
      <c r="AM114" s="1"/>
      <c r="AN114" s="27"/>
      <c r="AO114" s="1">
        <f t="shared" si="130"/>
        <v>0</v>
      </c>
      <c r="AP114" s="1"/>
      <c r="AQ114" s="27"/>
      <c r="AR114" s="24"/>
      <c r="AS114" s="24"/>
    </row>
    <row r="115" spans="1:45" x14ac:dyDescent="0.25">
      <c r="A115" s="101"/>
      <c r="B115" s="101"/>
      <c r="C115" s="101"/>
      <c r="D115" s="26" t="s">
        <v>20</v>
      </c>
      <c r="E115" s="1">
        <f t="shared" si="121"/>
        <v>0</v>
      </c>
      <c r="F115" s="1">
        <f t="shared" si="121"/>
        <v>0</v>
      </c>
      <c r="G115" s="1"/>
      <c r="H115" s="1"/>
      <c r="I115" s="1"/>
      <c r="J115" s="27"/>
      <c r="K115" s="1"/>
      <c r="L115" s="1"/>
      <c r="M115" s="27"/>
      <c r="N115" s="1"/>
      <c r="O115" s="1"/>
      <c r="P115" s="1"/>
      <c r="Q115" s="1"/>
      <c r="R115" s="1"/>
      <c r="S115" s="1"/>
      <c r="T115" s="1"/>
      <c r="U115" s="1"/>
      <c r="V115" s="1"/>
      <c r="W115" s="1"/>
      <c r="X115" s="1"/>
      <c r="Y115" s="27"/>
      <c r="Z115" s="1"/>
      <c r="AA115" s="1"/>
      <c r="AB115" s="27"/>
      <c r="AC115" s="1"/>
      <c r="AD115" s="1"/>
      <c r="AE115" s="27"/>
      <c r="AF115" s="1"/>
      <c r="AG115" s="1"/>
      <c r="AH115" s="1"/>
      <c r="AI115" s="1"/>
      <c r="AJ115" s="1"/>
      <c r="AK115" s="27"/>
      <c r="AL115" s="1"/>
      <c r="AM115" s="1"/>
      <c r="AN115" s="27"/>
      <c r="AO115" s="1"/>
      <c r="AP115" s="1"/>
      <c r="AQ115" s="27"/>
      <c r="AR115" s="24"/>
      <c r="AS115" s="24"/>
    </row>
    <row r="116" spans="1:45" ht="24" x14ac:dyDescent="0.25">
      <c r="A116" s="101"/>
      <c r="B116" s="101"/>
      <c r="C116" s="101"/>
      <c r="D116" s="26" t="s">
        <v>4</v>
      </c>
      <c r="E116" s="1">
        <f t="shared" si="121"/>
        <v>0</v>
      </c>
      <c r="F116" s="1">
        <f t="shared" si="121"/>
        <v>0</v>
      </c>
      <c r="G116" s="1"/>
      <c r="H116" s="1"/>
      <c r="I116" s="1"/>
      <c r="J116" s="27"/>
      <c r="K116" s="1"/>
      <c r="L116" s="1"/>
      <c r="M116" s="27"/>
      <c r="N116" s="1"/>
      <c r="O116" s="1"/>
      <c r="P116" s="1"/>
      <c r="Q116" s="1"/>
      <c r="R116" s="1"/>
      <c r="S116" s="1"/>
      <c r="T116" s="1"/>
      <c r="U116" s="1"/>
      <c r="V116" s="1"/>
      <c r="W116" s="1"/>
      <c r="X116" s="1"/>
      <c r="Y116" s="27"/>
      <c r="Z116" s="1"/>
      <c r="AA116" s="1"/>
      <c r="AB116" s="27"/>
      <c r="AC116" s="1"/>
      <c r="AD116" s="1"/>
      <c r="AE116" s="27"/>
      <c r="AF116" s="1"/>
      <c r="AG116" s="1"/>
      <c r="AH116" s="1"/>
      <c r="AI116" s="1"/>
      <c r="AJ116" s="1"/>
      <c r="AK116" s="27"/>
      <c r="AL116" s="1"/>
      <c r="AM116" s="1"/>
      <c r="AN116" s="27"/>
      <c r="AO116" s="1"/>
      <c r="AP116" s="1"/>
      <c r="AQ116" s="27"/>
      <c r="AR116" s="24"/>
      <c r="AS116" s="24"/>
    </row>
    <row r="117" spans="1:45" ht="25.5" customHeight="1" x14ac:dyDescent="0.25">
      <c r="A117" s="101"/>
      <c r="B117" s="101"/>
      <c r="C117" s="101"/>
      <c r="D117" s="26" t="s">
        <v>43</v>
      </c>
      <c r="E117" s="1">
        <f t="shared" si="121"/>
        <v>24</v>
      </c>
      <c r="F117" s="1">
        <f t="shared" si="121"/>
        <v>12</v>
      </c>
      <c r="G117" s="1">
        <f t="shared" ref="G117" si="131">F117/E117*100</f>
        <v>50</v>
      </c>
      <c r="H117" s="1"/>
      <c r="I117" s="1"/>
      <c r="J117" s="27"/>
      <c r="K117" s="1"/>
      <c r="L117" s="1"/>
      <c r="M117" s="27"/>
      <c r="N117" s="1">
        <v>24</v>
      </c>
      <c r="O117" s="1">
        <v>0</v>
      </c>
      <c r="P117" s="1"/>
      <c r="Q117" s="1"/>
      <c r="R117" s="1">
        <v>12</v>
      </c>
      <c r="S117" s="1"/>
      <c r="T117" s="1">
        <f>42.5-42.5</f>
        <v>0</v>
      </c>
      <c r="U117" s="1">
        <v>0</v>
      </c>
      <c r="V117" s="1"/>
      <c r="W117" s="1"/>
      <c r="X117" s="1"/>
      <c r="Y117" s="27"/>
      <c r="Z117" s="1"/>
      <c r="AA117" s="1"/>
      <c r="AB117" s="27"/>
      <c r="AC117" s="1"/>
      <c r="AD117" s="1"/>
      <c r="AE117" s="27"/>
      <c r="AF117" s="1"/>
      <c r="AG117" s="1"/>
      <c r="AH117" s="1"/>
      <c r="AI117" s="1">
        <f>17.8-17.8</f>
        <v>0</v>
      </c>
      <c r="AJ117" s="1">
        <v>0</v>
      </c>
      <c r="AK117" s="27"/>
      <c r="AL117" s="1"/>
      <c r="AM117" s="1"/>
      <c r="AN117" s="27"/>
      <c r="AO117" s="1"/>
      <c r="AP117" s="1"/>
      <c r="AQ117" s="27"/>
      <c r="AR117" s="21" t="s">
        <v>178</v>
      </c>
      <c r="AS117" s="21" t="s">
        <v>183</v>
      </c>
    </row>
    <row r="118" spans="1:45" ht="15.75" customHeight="1" x14ac:dyDescent="0.25">
      <c r="A118" s="101"/>
      <c r="B118" s="101"/>
      <c r="C118" s="101"/>
      <c r="D118" s="26" t="s">
        <v>21</v>
      </c>
      <c r="E118" s="1">
        <f t="shared" si="121"/>
        <v>0</v>
      </c>
      <c r="F118" s="1">
        <f t="shared" si="121"/>
        <v>0</v>
      </c>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24"/>
      <c r="AS118" s="24"/>
    </row>
    <row r="119" spans="1:45" ht="13.9" customHeight="1" x14ac:dyDescent="0.25">
      <c r="A119" s="101" t="s">
        <v>58</v>
      </c>
      <c r="B119" s="101" t="s">
        <v>134</v>
      </c>
      <c r="C119" s="101" t="s">
        <v>152</v>
      </c>
      <c r="D119" s="26" t="s">
        <v>3</v>
      </c>
      <c r="E119" s="1">
        <f t="shared" si="121"/>
        <v>821919.4</v>
      </c>
      <c r="F119" s="1">
        <f t="shared" si="121"/>
        <v>543981.5</v>
      </c>
      <c r="G119" s="1">
        <f>F119/E119*100</f>
        <v>66.184287656429575</v>
      </c>
      <c r="H119" s="1">
        <f>H120+H121+H122+H123</f>
        <v>21932.5</v>
      </c>
      <c r="I119" s="1">
        <f>I120+I121+I122+I123</f>
        <v>21805.599999999999</v>
      </c>
      <c r="J119" s="1">
        <f>I119/H119*100</f>
        <v>99.421406588396209</v>
      </c>
      <c r="K119" s="1">
        <f t="shared" ref="K119:AO119" si="132">K120+K121+K122+K123</f>
        <v>59451.4</v>
      </c>
      <c r="L119" s="1">
        <f t="shared" si="132"/>
        <v>59293.200000000004</v>
      </c>
      <c r="M119" s="1">
        <f>L119/K119*100</f>
        <v>99.733900295030907</v>
      </c>
      <c r="N119" s="1">
        <f t="shared" si="132"/>
        <v>56888.4</v>
      </c>
      <c r="O119" s="1">
        <f t="shared" si="132"/>
        <v>56835.700000000004</v>
      </c>
      <c r="P119" s="1">
        <f>O119/N119*100</f>
        <v>99.907362485146365</v>
      </c>
      <c r="Q119" s="1">
        <f t="shared" si="132"/>
        <v>63727.7</v>
      </c>
      <c r="R119" s="1">
        <f t="shared" si="132"/>
        <v>62785.3</v>
      </c>
      <c r="S119" s="1">
        <f>R119/Q119*100</f>
        <v>98.521208203026319</v>
      </c>
      <c r="T119" s="1">
        <f t="shared" si="132"/>
        <v>89548.7</v>
      </c>
      <c r="U119" s="1">
        <f t="shared" si="132"/>
        <v>87970.099999999991</v>
      </c>
      <c r="V119" s="1">
        <f>U119/T119*100</f>
        <v>98.237160338452696</v>
      </c>
      <c r="W119" s="1">
        <f t="shared" si="132"/>
        <v>138296.70000000001</v>
      </c>
      <c r="X119" s="1">
        <f t="shared" si="132"/>
        <v>140233.29999999999</v>
      </c>
      <c r="Y119" s="1">
        <f>X119/W119*100</f>
        <v>101.40032263965806</v>
      </c>
      <c r="Z119" s="1">
        <f t="shared" si="132"/>
        <v>64080.5</v>
      </c>
      <c r="AA119" s="1">
        <f t="shared" si="132"/>
        <v>65125.3</v>
      </c>
      <c r="AB119" s="1">
        <f>AA119/Z119*100</f>
        <v>101.63044920061486</v>
      </c>
      <c r="AC119" s="1">
        <f t="shared" si="132"/>
        <v>24680.400000000001</v>
      </c>
      <c r="AD119" s="1">
        <f t="shared" si="132"/>
        <v>24319.9</v>
      </c>
      <c r="AE119" s="1">
        <f>AD119/AC119*100</f>
        <v>98.539326753213075</v>
      </c>
      <c r="AF119" s="1">
        <f>AF120+AF121+AF122+AF123</f>
        <v>26392</v>
      </c>
      <c r="AG119" s="1">
        <f t="shared" si="132"/>
        <v>25613.1</v>
      </c>
      <c r="AH119" s="1">
        <f>AG119/AF119*100</f>
        <v>97.048726886935427</v>
      </c>
      <c r="AI119" s="1">
        <f t="shared" si="132"/>
        <v>70344</v>
      </c>
      <c r="AJ119" s="1">
        <f t="shared" si="132"/>
        <v>0</v>
      </c>
      <c r="AK119" s="1">
        <f>AJ119/AI119*100</f>
        <v>0</v>
      </c>
      <c r="AL119" s="1">
        <f t="shared" si="132"/>
        <v>70940</v>
      </c>
      <c r="AM119" s="1">
        <f t="shared" si="132"/>
        <v>0</v>
      </c>
      <c r="AN119" s="1">
        <f>AM119/AL119*100</f>
        <v>0</v>
      </c>
      <c r="AO119" s="1">
        <f t="shared" si="132"/>
        <v>135637.1</v>
      </c>
      <c r="AP119" s="1"/>
      <c r="AQ119" s="1">
        <f>AP119/AO119*100</f>
        <v>0</v>
      </c>
      <c r="AR119" s="24"/>
      <c r="AS119" s="24"/>
    </row>
    <row r="120" spans="1:45" ht="75.75" customHeight="1" x14ac:dyDescent="0.25">
      <c r="A120" s="101"/>
      <c r="B120" s="101"/>
      <c r="C120" s="101"/>
      <c r="D120" s="26" t="s">
        <v>20</v>
      </c>
      <c r="E120" s="1">
        <f t="shared" si="121"/>
        <v>34060.300000000003</v>
      </c>
      <c r="F120" s="1">
        <f t="shared" si="121"/>
        <v>24979.600000000002</v>
      </c>
      <c r="G120" s="1">
        <f>F120/E120*100</f>
        <v>73.339342284125507</v>
      </c>
      <c r="H120" s="1">
        <v>2851.5</v>
      </c>
      <c r="I120" s="1">
        <v>2724.6</v>
      </c>
      <c r="J120" s="1">
        <f>I120/H120*100</f>
        <v>95.549710678590216</v>
      </c>
      <c r="K120" s="1">
        <v>2850.5</v>
      </c>
      <c r="L120" s="1">
        <v>2692.3</v>
      </c>
      <c r="M120" s="1">
        <f>L120/K120*100</f>
        <v>94.450096474302754</v>
      </c>
      <c r="N120" s="1">
        <v>2851.5</v>
      </c>
      <c r="O120" s="1">
        <v>2798.8</v>
      </c>
      <c r="P120" s="1">
        <f>O120/N120*100</f>
        <v>98.151849903559537</v>
      </c>
      <c r="Q120" s="1">
        <v>2838.5</v>
      </c>
      <c r="R120" s="1">
        <v>2782.2</v>
      </c>
      <c r="S120" s="1">
        <f>R120/Q120*100</f>
        <v>98.016558041218943</v>
      </c>
      <c r="T120" s="1">
        <v>5305.5</v>
      </c>
      <c r="U120" s="1">
        <v>4108.2</v>
      </c>
      <c r="V120" s="1">
        <f>U120/T120*100</f>
        <v>77.432852700028263</v>
      </c>
      <c r="W120" s="1">
        <v>5484.5</v>
      </c>
      <c r="X120" s="1">
        <v>6458.5</v>
      </c>
      <c r="Y120" s="1">
        <f t="shared" ref="Y120:Y122" si="133">X120/W120*100</f>
        <v>117.75913939283436</v>
      </c>
      <c r="Z120" s="1"/>
      <c r="AA120" s="1"/>
      <c r="AB120" s="1"/>
      <c r="AC120" s="1">
        <v>894.4</v>
      </c>
      <c r="AD120" s="1">
        <v>674.7</v>
      </c>
      <c r="AE120" s="1">
        <f>AD120/AC120*100</f>
        <v>75.436046511627922</v>
      </c>
      <c r="AF120" s="1">
        <v>2920</v>
      </c>
      <c r="AG120" s="1">
        <v>2740.3</v>
      </c>
      <c r="AH120" s="1">
        <f t="shared" ref="AH120:AH121" si="134">AG120/AF120*100</f>
        <v>93.845890410958916</v>
      </c>
      <c r="AI120" s="1">
        <v>2850</v>
      </c>
      <c r="AJ120" s="1"/>
      <c r="AK120" s="1">
        <f>AJ120/AI120*100</f>
        <v>0</v>
      </c>
      <c r="AL120" s="1">
        <v>2850</v>
      </c>
      <c r="AM120" s="1"/>
      <c r="AN120" s="1">
        <f>AM120/AL120*100</f>
        <v>0</v>
      </c>
      <c r="AO120" s="1">
        <v>2363.9</v>
      </c>
      <c r="AP120" s="1"/>
      <c r="AQ120" s="1">
        <f>AP120/AO120*100</f>
        <v>0</v>
      </c>
      <c r="AR120" s="21" t="s">
        <v>205</v>
      </c>
      <c r="AS120" s="21" t="s">
        <v>200</v>
      </c>
    </row>
    <row r="121" spans="1:45" ht="111" customHeight="1" x14ac:dyDescent="0.25">
      <c r="A121" s="101"/>
      <c r="B121" s="101"/>
      <c r="C121" s="101"/>
      <c r="D121" s="26" t="s">
        <v>4</v>
      </c>
      <c r="E121" s="1">
        <f t="shared" si="121"/>
        <v>725192</v>
      </c>
      <c r="F121" s="1">
        <f t="shared" si="121"/>
        <v>479650</v>
      </c>
      <c r="G121" s="1">
        <f t="shared" ref="G121:G122" si="135">F121/E121*100</f>
        <v>66.141104700548269</v>
      </c>
      <c r="H121" s="1">
        <v>17660</v>
      </c>
      <c r="I121" s="1">
        <v>17660</v>
      </c>
      <c r="J121" s="1">
        <f t="shared" ref="J121:J122" si="136">I121/H121*100</f>
        <v>100</v>
      </c>
      <c r="K121" s="1">
        <f>48439+1500</f>
        <v>49939</v>
      </c>
      <c r="L121" s="1">
        <v>49939</v>
      </c>
      <c r="M121" s="1">
        <f t="shared" ref="M121:M134" si="137">L121/K121*100</f>
        <v>100</v>
      </c>
      <c r="N121" s="1">
        <f>50814-615</f>
        <v>50199</v>
      </c>
      <c r="O121" s="1">
        <v>50199</v>
      </c>
      <c r="P121" s="1">
        <f t="shared" ref="P121:P122" si="138">O121/N121*100</f>
        <v>100</v>
      </c>
      <c r="Q121" s="1">
        <v>53833</v>
      </c>
      <c r="R121" s="1">
        <v>53833</v>
      </c>
      <c r="S121" s="1">
        <f t="shared" ref="S121:S122" si="139">R121/Q121*100</f>
        <v>100</v>
      </c>
      <c r="T121" s="1">
        <v>80329</v>
      </c>
      <c r="U121" s="1">
        <v>80329</v>
      </c>
      <c r="V121" s="1">
        <f t="shared" ref="V121:V122" si="140">U121/T121*100</f>
        <v>100</v>
      </c>
      <c r="W121" s="1">
        <v>129697</v>
      </c>
      <c r="X121" s="1">
        <v>129697</v>
      </c>
      <c r="Y121" s="1">
        <f t="shared" si="133"/>
        <v>100</v>
      </c>
      <c r="Z121" s="1">
        <v>58711</v>
      </c>
      <c r="AA121" s="1">
        <v>58711</v>
      </c>
      <c r="AB121" s="1">
        <f t="shared" ref="AB121:AB122" si="141">AA121/Z121*100</f>
        <v>100</v>
      </c>
      <c r="AC121" s="1">
        <v>19243</v>
      </c>
      <c r="AD121" s="1">
        <v>19243</v>
      </c>
      <c r="AE121" s="1">
        <f t="shared" ref="AE121:AE122" si="142">AD121/AC121*100</f>
        <v>100</v>
      </c>
      <c r="AF121" s="1">
        <v>20039</v>
      </c>
      <c r="AG121" s="1">
        <v>20039</v>
      </c>
      <c r="AH121" s="1">
        <f t="shared" si="134"/>
        <v>100</v>
      </c>
      <c r="AI121" s="1">
        <f>54315+6000</f>
        <v>60315</v>
      </c>
      <c r="AJ121" s="1"/>
      <c r="AK121" s="1">
        <f t="shared" ref="AK121:AK122" si="143">AJ121/AI121*100</f>
        <v>0</v>
      </c>
      <c r="AL121" s="1">
        <f>53502+6000</f>
        <v>59502</v>
      </c>
      <c r="AM121" s="1"/>
      <c r="AN121" s="1">
        <f t="shared" ref="AN121:AN122" si="144">AM121/AL121*100</f>
        <v>0</v>
      </c>
      <c r="AO121" s="1">
        <f>87507+8322-2000+11600+20296</f>
        <v>125725</v>
      </c>
      <c r="AP121" s="1"/>
      <c r="AQ121" s="1">
        <f t="shared" ref="AQ121:AQ122" si="145">AP121/AO121*100</f>
        <v>0</v>
      </c>
      <c r="AR121" s="21" t="s">
        <v>206</v>
      </c>
      <c r="AS121" s="21"/>
    </row>
    <row r="122" spans="1:45" ht="96" x14ac:dyDescent="0.25">
      <c r="A122" s="101"/>
      <c r="B122" s="101"/>
      <c r="C122" s="101"/>
      <c r="D122" s="26" t="s">
        <v>43</v>
      </c>
      <c r="E122" s="1">
        <f t="shared" si="121"/>
        <v>62667.100000000006</v>
      </c>
      <c r="F122" s="1">
        <f t="shared" si="121"/>
        <v>39351.9</v>
      </c>
      <c r="G122" s="1">
        <f t="shared" si="135"/>
        <v>62.795150884594939</v>
      </c>
      <c r="H122" s="1">
        <v>1421</v>
      </c>
      <c r="I122" s="1">
        <v>1421</v>
      </c>
      <c r="J122" s="1">
        <f t="shared" si="136"/>
        <v>100</v>
      </c>
      <c r="K122" s="1">
        <f>6521.9+140</f>
        <v>6661.9</v>
      </c>
      <c r="L122" s="1">
        <v>6661.9</v>
      </c>
      <c r="M122" s="1">
        <f t="shared" si="137"/>
        <v>100</v>
      </c>
      <c r="N122" s="1">
        <f>4629.9-792</f>
        <v>3837.8999999999996</v>
      </c>
      <c r="O122" s="1">
        <v>3837.8999999999996</v>
      </c>
      <c r="P122" s="1">
        <f t="shared" si="138"/>
        <v>100</v>
      </c>
      <c r="Q122" s="1">
        <f>7100.7+974.8-1019.2-0.1</f>
        <v>7056.2</v>
      </c>
      <c r="R122" s="1">
        <v>6170.1000000000022</v>
      </c>
      <c r="S122" s="1">
        <f t="shared" si="139"/>
        <v>87.442249369348986</v>
      </c>
      <c r="T122" s="1">
        <v>3914.2</v>
      </c>
      <c r="U122" s="1">
        <v>3532.9</v>
      </c>
      <c r="V122" s="1">
        <f t="shared" si="140"/>
        <v>90.258545807572432</v>
      </c>
      <c r="W122" s="1">
        <f>2966.2+149</f>
        <v>3115.2</v>
      </c>
      <c r="X122" s="1">
        <v>4077.8</v>
      </c>
      <c r="Y122" s="1">
        <f t="shared" si="133"/>
        <v>130.90010272213664</v>
      </c>
      <c r="Z122" s="1">
        <f>4369.5+1000</f>
        <v>5369.5</v>
      </c>
      <c r="AA122" s="1">
        <v>6414.3</v>
      </c>
      <c r="AB122" s="1">
        <f t="shared" si="141"/>
        <v>119.45805009777446</v>
      </c>
      <c r="AC122" s="1">
        <f>3436+1017+3150-3060</f>
        <v>4543</v>
      </c>
      <c r="AD122" s="1">
        <v>4402.2</v>
      </c>
      <c r="AE122" s="1">
        <f t="shared" si="142"/>
        <v>96.900726392251812</v>
      </c>
      <c r="AF122" s="1">
        <f>2283+1000+150</f>
        <v>3433</v>
      </c>
      <c r="AG122" s="1">
        <v>2833.8</v>
      </c>
      <c r="AH122" s="1">
        <f>AG122/AF122*100</f>
        <v>82.545878240605887</v>
      </c>
      <c r="AI122" s="1">
        <f>6179+1000</f>
        <v>7179</v>
      </c>
      <c r="AJ122" s="1"/>
      <c r="AK122" s="1">
        <f t="shared" si="143"/>
        <v>0</v>
      </c>
      <c r="AL122" s="1">
        <f>4528+1000+3060</f>
        <v>8588</v>
      </c>
      <c r="AM122" s="1"/>
      <c r="AN122" s="1">
        <f t="shared" si="144"/>
        <v>0</v>
      </c>
      <c r="AO122" s="1">
        <f>5725.3+807.6+353.1-357+1019.2</f>
        <v>7548.2000000000007</v>
      </c>
      <c r="AP122" s="1"/>
      <c r="AQ122" s="1">
        <f t="shared" si="145"/>
        <v>0</v>
      </c>
      <c r="AR122" s="21" t="s">
        <v>207</v>
      </c>
      <c r="AS122" s="21" t="s">
        <v>230</v>
      </c>
    </row>
    <row r="123" spans="1:45" ht="15.75" customHeight="1" x14ac:dyDescent="0.25">
      <c r="A123" s="101"/>
      <c r="B123" s="101"/>
      <c r="C123" s="101"/>
      <c r="D123" s="26" t="s">
        <v>21</v>
      </c>
      <c r="E123" s="1">
        <f t="shared" si="121"/>
        <v>0</v>
      </c>
      <c r="F123" s="38">
        <f t="shared" si="121"/>
        <v>0</v>
      </c>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24"/>
      <c r="AS123" s="24"/>
    </row>
    <row r="124" spans="1:45" ht="13.9" customHeight="1" x14ac:dyDescent="0.25">
      <c r="A124" s="137" t="s">
        <v>133</v>
      </c>
      <c r="B124" s="101" t="s">
        <v>135</v>
      </c>
      <c r="C124" s="101" t="s">
        <v>152</v>
      </c>
      <c r="D124" s="26" t="s">
        <v>3</v>
      </c>
      <c r="E124" s="1">
        <f t="shared" si="121"/>
        <v>34060.300000000003</v>
      </c>
      <c r="F124" s="1">
        <f t="shared" si="121"/>
        <v>24979.600000000002</v>
      </c>
      <c r="G124" s="1">
        <f>F124/E124*100</f>
        <v>73.339342284125507</v>
      </c>
      <c r="H124" s="1">
        <f>H125+H126+H127+H128</f>
        <v>2851.5</v>
      </c>
      <c r="I124" s="1">
        <f>I125+I126+I127+I128</f>
        <v>2724.6</v>
      </c>
      <c r="J124" s="1">
        <f>I124/H124*100</f>
        <v>95.549710678590216</v>
      </c>
      <c r="K124" s="1">
        <f t="shared" ref="K124:L124" si="146">K125+K126+K127+K128</f>
        <v>2850.5</v>
      </c>
      <c r="L124" s="1">
        <f t="shared" si="146"/>
        <v>2692.3</v>
      </c>
      <c r="M124" s="1">
        <f>L124/K124*100</f>
        <v>94.450096474302754</v>
      </c>
      <c r="N124" s="1">
        <f t="shared" ref="N124:O124" si="147">N125+N126+N127+N128</f>
        <v>2851.5</v>
      </c>
      <c r="O124" s="1">
        <f t="shared" si="147"/>
        <v>2798.8</v>
      </c>
      <c r="P124" s="1">
        <f>O124/N124*100</f>
        <v>98.151849903559537</v>
      </c>
      <c r="Q124" s="1">
        <f t="shared" ref="Q124:R124" si="148">Q125+Q126+Q127+Q128</f>
        <v>2838.5</v>
      </c>
      <c r="R124" s="1">
        <f t="shared" si="148"/>
        <v>2782.2</v>
      </c>
      <c r="S124" s="1">
        <f>R124/Q124*100</f>
        <v>98.016558041218943</v>
      </c>
      <c r="T124" s="1">
        <f t="shared" ref="T124:U124" si="149">T125+T126+T127+T128</f>
        <v>5305.5</v>
      </c>
      <c r="U124" s="1">
        <f t="shared" si="149"/>
        <v>4108.2</v>
      </c>
      <c r="V124" s="1">
        <f>U124/T124*100</f>
        <v>77.432852700028263</v>
      </c>
      <c r="W124" s="1">
        <f t="shared" ref="W124:X124" si="150">W125+W126+W127+W128</f>
        <v>5484.5</v>
      </c>
      <c r="X124" s="1">
        <f t="shared" si="150"/>
        <v>6458.5</v>
      </c>
      <c r="Y124" s="1">
        <f>X124/W124*100</f>
        <v>117.75913939283436</v>
      </c>
      <c r="Z124" s="1">
        <f t="shared" ref="Z124:AA124" si="151">Z125+Z126+Z127+Z128</f>
        <v>0</v>
      </c>
      <c r="AA124" s="1">
        <f t="shared" si="151"/>
        <v>0</v>
      </c>
      <c r="AB124" s="1"/>
      <c r="AC124" s="1">
        <f t="shared" ref="AC124:AD124" si="152">AC125+AC126+AC127+AC128</f>
        <v>894.4</v>
      </c>
      <c r="AD124" s="1">
        <f t="shared" si="152"/>
        <v>674.7</v>
      </c>
      <c r="AE124" s="1">
        <f>AD124/AC124*100</f>
        <v>75.436046511627922</v>
      </c>
      <c r="AF124" s="1">
        <f>AF125+AF126+AF127+AF128</f>
        <v>2920</v>
      </c>
      <c r="AG124" s="1">
        <f t="shared" ref="AG124" si="153">AG125+AG126+AG127+AG128</f>
        <v>2740.3</v>
      </c>
      <c r="AH124" s="1">
        <f>AG124/AF124*100</f>
        <v>93.845890410958916</v>
      </c>
      <c r="AI124" s="1">
        <f t="shared" ref="AI124:AJ124" si="154">AI125+AI126+AI127+AI128</f>
        <v>2850</v>
      </c>
      <c r="AJ124" s="1">
        <f t="shared" si="154"/>
        <v>0</v>
      </c>
      <c r="AK124" s="1">
        <f>AJ124/AI124*100</f>
        <v>0</v>
      </c>
      <c r="AL124" s="1">
        <f t="shared" ref="AL124:AM124" si="155">AL125+AL126+AL127+AL128</f>
        <v>2850</v>
      </c>
      <c r="AM124" s="1">
        <f t="shared" si="155"/>
        <v>0</v>
      </c>
      <c r="AN124" s="1">
        <f>AM124/AL124*100</f>
        <v>0</v>
      </c>
      <c r="AO124" s="1">
        <f t="shared" ref="AO124" si="156">AO125+AO126+AO127+AO128</f>
        <v>2363.9</v>
      </c>
      <c r="AP124" s="1"/>
      <c r="AQ124" s="1">
        <f>AP124/AO124*100</f>
        <v>0</v>
      </c>
      <c r="AR124" s="24"/>
      <c r="AS124" s="24"/>
    </row>
    <row r="125" spans="1:45" ht="71.25" customHeight="1" x14ac:dyDescent="0.25">
      <c r="A125" s="101"/>
      <c r="B125" s="101"/>
      <c r="C125" s="101"/>
      <c r="D125" s="26" t="s">
        <v>20</v>
      </c>
      <c r="E125" s="1">
        <f t="shared" si="121"/>
        <v>34060.300000000003</v>
      </c>
      <c r="F125" s="1">
        <f t="shared" si="121"/>
        <v>24979.600000000002</v>
      </c>
      <c r="G125" s="1">
        <f>F125/E125*100</f>
        <v>73.339342284125507</v>
      </c>
      <c r="H125" s="1">
        <v>2851.5</v>
      </c>
      <c r="I125" s="1">
        <v>2724.6</v>
      </c>
      <c r="J125" s="1">
        <f>I125/H125*100</f>
        <v>95.549710678590216</v>
      </c>
      <c r="K125" s="1">
        <v>2850.5</v>
      </c>
      <c r="L125" s="1">
        <v>2692.3</v>
      </c>
      <c r="M125" s="1">
        <f>L125/K125*100</f>
        <v>94.450096474302754</v>
      </c>
      <c r="N125" s="1">
        <v>2851.5</v>
      </c>
      <c r="O125" s="1">
        <v>2798.8</v>
      </c>
      <c r="P125" s="1">
        <f>O125/N125*100</f>
        <v>98.151849903559537</v>
      </c>
      <c r="Q125" s="1">
        <v>2838.5</v>
      </c>
      <c r="R125" s="1">
        <v>2782.2</v>
      </c>
      <c r="S125" s="1">
        <f>R125/Q125*100</f>
        <v>98.016558041218943</v>
      </c>
      <c r="T125" s="1">
        <v>5305.5</v>
      </c>
      <c r="U125" s="1">
        <v>4108.2</v>
      </c>
      <c r="V125" s="1">
        <f>U125/T125*100</f>
        <v>77.432852700028263</v>
      </c>
      <c r="W125" s="1">
        <v>5484.5</v>
      </c>
      <c r="X125" s="1">
        <v>6458.5</v>
      </c>
      <c r="Y125" s="1">
        <f t="shared" ref="Y125" si="157">X125/W125*100</f>
        <v>117.75913939283436</v>
      </c>
      <c r="Z125" s="1"/>
      <c r="AA125" s="1"/>
      <c r="AB125" s="1"/>
      <c r="AC125" s="1">
        <v>894.4</v>
      </c>
      <c r="AD125" s="1">
        <v>674.7</v>
      </c>
      <c r="AE125" s="1">
        <f>AD125/AC125*100</f>
        <v>75.436046511627922</v>
      </c>
      <c r="AF125" s="1">
        <v>2920</v>
      </c>
      <c r="AG125" s="1">
        <v>2740.3</v>
      </c>
      <c r="AH125" s="1">
        <f t="shared" ref="AH125" si="158">AG125/AF125*100</f>
        <v>93.845890410958916</v>
      </c>
      <c r="AI125" s="1">
        <v>2850</v>
      </c>
      <c r="AJ125" s="1"/>
      <c r="AK125" s="1">
        <f>AJ125/AI125*100</f>
        <v>0</v>
      </c>
      <c r="AL125" s="1">
        <v>2850</v>
      </c>
      <c r="AM125" s="1"/>
      <c r="AN125" s="1">
        <f>AM125/AL125*100</f>
        <v>0</v>
      </c>
      <c r="AO125" s="1">
        <v>2363.9</v>
      </c>
      <c r="AP125" s="1"/>
      <c r="AQ125" s="1">
        <f>AP125/AO125*100</f>
        <v>0</v>
      </c>
      <c r="AR125" s="21" t="s">
        <v>205</v>
      </c>
      <c r="AS125" s="21" t="s">
        <v>200</v>
      </c>
    </row>
    <row r="126" spans="1:45" ht="24" x14ac:dyDescent="0.25">
      <c r="A126" s="101"/>
      <c r="B126" s="101"/>
      <c r="C126" s="101"/>
      <c r="D126" s="26" t="s">
        <v>4</v>
      </c>
      <c r="E126" s="1">
        <f t="shared" si="121"/>
        <v>0</v>
      </c>
      <c r="F126" s="1">
        <f t="shared" si="121"/>
        <v>0</v>
      </c>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21"/>
      <c r="AS126" s="24"/>
    </row>
    <row r="127" spans="1:45" ht="12" customHeight="1" x14ac:dyDescent="0.25">
      <c r="A127" s="101"/>
      <c r="B127" s="101"/>
      <c r="C127" s="101"/>
      <c r="D127" s="26" t="s">
        <v>43</v>
      </c>
      <c r="E127" s="1">
        <f t="shared" si="121"/>
        <v>0</v>
      </c>
      <c r="F127" s="1">
        <f t="shared" si="121"/>
        <v>0</v>
      </c>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21"/>
      <c r="AS127" s="21"/>
    </row>
    <row r="128" spans="1:45" ht="13.9" customHeight="1" x14ac:dyDescent="0.25">
      <c r="A128" s="101"/>
      <c r="B128" s="101"/>
      <c r="C128" s="101"/>
      <c r="D128" s="26" t="s">
        <v>21</v>
      </c>
      <c r="E128" s="1">
        <f t="shared" si="121"/>
        <v>0</v>
      </c>
      <c r="F128" s="38">
        <f t="shared" si="121"/>
        <v>0</v>
      </c>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24"/>
      <c r="AS128" s="24"/>
    </row>
    <row r="129" spans="1:45" ht="15.75" customHeight="1" x14ac:dyDescent="0.25">
      <c r="A129" s="101" t="s">
        <v>59</v>
      </c>
      <c r="B129" s="101" t="s">
        <v>109</v>
      </c>
      <c r="C129" s="101" t="s">
        <v>152</v>
      </c>
      <c r="D129" s="26" t="s">
        <v>3</v>
      </c>
      <c r="E129" s="1">
        <f t="shared" si="121"/>
        <v>36927.5</v>
      </c>
      <c r="F129" s="1">
        <f t="shared" si="121"/>
        <v>25754</v>
      </c>
      <c r="G129" s="1">
        <f>F129/E129*100</f>
        <v>69.74206214880509</v>
      </c>
      <c r="H129" s="1">
        <f>H130+H131+H132+H133</f>
        <v>1607</v>
      </c>
      <c r="I129" s="1">
        <f>I130+I131+I132+I133</f>
        <v>1607</v>
      </c>
      <c r="J129" s="1">
        <f>I129/H129*100</f>
        <v>100</v>
      </c>
      <c r="K129" s="1">
        <f t="shared" ref="K129:AO129" si="159">K130+K131+K132+K133</f>
        <v>2794</v>
      </c>
      <c r="L129" s="1">
        <f t="shared" si="159"/>
        <v>2794</v>
      </c>
      <c r="M129" s="1">
        <f t="shared" si="137"/>
        <v>100</v>
      </c>
      <c r="N129" s="1">
        <f t="shared" si="159"/>
        <v>1900</v>
      </c>
      <c r="O129" s="1">
        <f t="shared" si="159"/>
        <v>1900</v>
      </c>
      <c r="P129" s="1">
        <f>O129/N129*100</f>
        <v>100</v>
      </c>
      <c r="Q129" s="1">
        <f t="shared" si="159"/>
        <v>4357</v>
      </c>
      <c r="R129" s="1">
        <f t="shared" si="159"/>
        <v>4000</v>
      </c>
      <c r="S129" s="1">
        <f>R129/Q129*100</f>
        <v>91.806288730778064</v>
      </c>
      <c r="T129" s="1">
        <f t="shared" si="159"/>
        <v>3643</v>
      </c>
      <c r="U129" s="1">
        <f t="shared" si="159"/>
        <v>4000</v>
      </c>
      <c r="V129" s="1">
        <f>U129/T129*100</f>
        <v>109.79961570134505</v>
      </c>
      <c r="W129" s="1">
        <f t="shared" si="159"/>
        <v>5181</v>
      </c>
      <c r="X129" s="1">
        <f t="shared" si="159"/>
        <v>3000</v>
      </c>
      <c r="Y129" s="1">
        <f>X129/W129*100</f>
        <v>57.903879559930516</v>
      </c>
      <c r="Z129" s="1">
        <f t="shared" si="159"/>
        <v>2443</v>
      </c>
      <c r="AA129" s="1">
        <f t="shared" si="159"/>
        <v>4624</v>
      </c>
      <c r="AB129" s="1">
        <f>AA129/Z129*100</f>
        <v>189.27548096602538</v>
      </c>
      <c r="AC129" s="1">
        <f t="shared" si="159"/>
        <v>2329</v>
      </c>
      <c r="AD129" s="1">
        <f t="shared" si="159"/>
        <v>2329</v>
      </c>
      <c r="AE129" s="1">
        <f>AD129/AC129*100</f>
        <v>100</v>
      </c>
      <c r="AF129" s="1">
        <f t="shared" si="159"/>
        <v>2750</v>
      </c>
      <c r="AG129" s="1">
        <f t="shared" si="159"/>
        <v>1500</v>
      </c>
      <c r="AH129" s="1">
        <f>AG129/AF129*100</f>
        <v>54.54545454545454</v>
      </c>
      <c r="AI129" s="1">
        <f t="shared" si="159"/>
        <v>3465</v>
      </c>
      <c r="AJ129" s="1">
        <f t="shared" si="159"/>
        <v>0</v>
      </c>
      <c r="AK129" s="1">
        <f>AJ129/AI129*100</f>
        <v>0</v>
      </c>
      <c r="AL129" s="1">
        <f t="shared" si="159"/>
        <v>2906</v>
      </c>
      <c r="AM129" s="1">
        <f t="shared" si="159"/>
        <v>0</v>
      </c>
      <c r="AN129" s="1">
        <f>AM129/AL129*100</f>
        <v>0</v>
      </c>
      <c r="AO129" s="1">
        <f t="shared" si="159"/>
        <v>3552.5</v>
      </c>
      <c r="AP129" s="1"/>
      <c r="AQ129" s="1">
        <f>AP129/AO129*100</f>
        <v>0</v>
      </c>
      <c r="AR129" s="24"/>
      <c r="AS129" s="24"/>
    </row>
    <row r="130" spans="1:45" ht="14.25" customHeight="1" x14ac:dyDescent="0.25">
      <c r="A130" s="101"/>
      <c r="B130" s="101"/>
      <c r="C130" s="101"/>
      <c r="D130" s="26" t="s">
        <v>20</v>
      </c>
      <c r="E130" s="1">
        <f t="shared" si="121"/>
        <v>0</v>
      </c>
      <c r="F130" s="39">
        <f t="shared" si="121"/>
        <v>0</v>
      </c>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24"/>
      <c r="AS130" s="24"/>
    </row>
    <row r="131" spans="1:45" ht="25.9" customHeight="1" x14ac:dyDescent="0.25">
      <c r="A131" s="101"/>
      <c r="B131" s="101"/>
      <c r="C131" s="101"/>
      <c r="D131" s="26" t="s">
        <v>4</v>
      </c>
      <c r="E131" s="1">
        <f t="shared" si="121"/>
        <v>0</v>
      </c>
      <c r="F131" s="1">
        <f t="shared" si="121"/>
        <v>0</v>
      </c>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21"/>
      <c r="AS131" s="24"/>
    </row>
    <row r="132" spans="1:45" ht="85.5" customHeight="1" x14ac:dyDescent="0.25">
      <c r="A132" s="101"/>
      <c r="B132" s="101"/>
      <c r="C132" s="101"/>
      <c r="D132" s="26" t="s">
        <v>43</v>
      </c>
      <c r="E132" s="1">
        <f t="shared" si="121"/>
        <v>36927.5</v>
      </c>
      <c r="F132" s="1">
        <f t="shared" si="121"/>
        <v>25754</v>
      </c>
      <c r="G132" s="1">
        <f>F132/E132*100</f>
        <v>69.74206214880509</v>
      </c>
      <c r="H132" s="37">
        <v>1607</v>
      </c>
      <c r="I132" s="37">
        <v>1607</v>
      </c>
      <c r="J132" s="1">
        <f t="shared" ref="J132" si="160">I132/H132*100</f>
        <v>100</v>
      </c>
      <c r="K132" s="1">
        <v>2794</v>
      </c>
      <c r="L132" s="1">
        <v>2794</v>
      </c>
      <c r="M132" s="1">
        <f t="shared" si="137"/>
        <v>100</v>
      </c>
      <c r="N132" s="1">
        <f>2675-775</f>
        <v>1900</v>
      </c>
      <c r="O132" s="1">
        <v>1900</v>
      </c>
      <c r="P132" s="1">
        <f t="shared" ref="P132" si="161">O132/N132*100</f>
        <v>100</v>
      </c>
      <c r="Q132" s="1">
        <f>3439+918</f>
        <v>4357</v>
      </c>
      <c r="R132" s="1">
        <v>4000</v>
      </c>
      <c r="S132" s="1">
        <f t="shared" ref="S132" si="162">R132/Q132*100</f>
        <v>91.806288730778064</v>
      </c>
      <c r="T132" s="1">
        <v>3643</v>
      </c>
      <c r="U132" s="1">
        <v>4000</v>
      </c>
      <c r="V132" s="1">
        <f t="shared" ref="V132" si="163">U132/T132*100</f>
        <v>109.79961570134505</v>
      </c>
      <c r="W132" s="1">
        <v>5181</v>
      </c>
      <c r="X132" s="1">
        <v>3000</v>
      </c>
      <c r="Y132" s="1">
        <f t="shared" ref="Y132" si="164">X132/W132*100</f>
        <v>57.903879559930516</v>
      </c>
      <c r="Z132" s="1">
        <v>2443</v>
      </c>
      <c r="AA132" s="1">
        <v>4624</v>
      </c>
      <c r="AB132" s="1">
        <f t="shared" ref="AB132" si="165">AA132/Z132*100</f>
        <v>189.27548096602538</v>
      </c>
      <c r="AC132" s="1">
        <v>2329</v>
      </c>
      <c r="AD132" s="1">
        <v>2329</v>
      </c>
      <c r="AE132" s="1">
        <f>AD132/AC132*100</f>
        <v>100</v>
      </c>
      <c r="AF132" s="1">
        <v>2750</v>
      </c>
      <c r="AG132" s="1">
        <v>1500</v>
      </c>
      <c r="AH132" s="1">
        <f t="shared" ref="AH132" si="166">AG132/AF132*100</f>
        <v>54.54545454545454</v>
      </c>
      <c r="AI132" s="1">
        <v>3465</v>
      </c>
      <c r="AJ132" s="1"/>
      <c r="AK132" s="1">
        <f t="shared" ref="AK132" si="167">AJ132/AI132*100</f>
        <v>0</v>
      </c>
      <c r="AL132" s="1">
        <v>2906</v>
      </c>
      <c r="AM132" s="1"/>
      <c r="AN132" s="1">
        <f>AM132/AL132*100</f>
        <v>0</v>
      </c>
      <c r="AO132" s="1">
        <f>3695.5-143</f>
        <v>3552.5</v>
      </c>
      <c r="AP132" s="1"/>
      <c r="AQ132" s="1">
        <f>AP132/AO132*100</f>
        <v>0</v>
      </c>
      <c r="AR132" s="21" t="s">
        <v>208</v>
      </c>
      <c r="AS132" s="94" t="s">
        <v>233</v>
      </c>
    </row>
    <row r="133" spans="1:45" ht="15.75" customHeight="1" x14ac:dyDescent="0.25">
      <c r="A133" s="101"/>
      <c r="B133" s="101"/>
      <c r="C133" s="101"/>
      <c r="D133" s="26" t="s">
        <v>21</v>
      </c>
      <c r="E133" s="1">
        <f t="shared" si="121"/>
        <v>0</v>
      </c>
      <c r="F133" s="1">
        <f t="shared" si="121"/>
        <v>0</v>
      </c>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24"/>
      <c r="AS133" s="24"/>
    </row>
    <row r="134" spans="1:45" ht="12.6" customHeight="1" x14ac:dyDescent="0.25">
      <c r="A134" s="101" t="s">
        <v>60</v>
      </c>
      <c r="B134" s="101" t="s">
        <v>94</v>
      </c>
      <c r="C134" s="101" t="s">
        <v>152</v>
      </c>
      <c r="D134" s="26" t="s">
        <v>3</v>
      </c>
      <c r="E134" s="1">
        <f t="shared" si="121"/>
        <v>28142.5</v>
      </c>
      <c r="F134" s="1">
        <f t="shared" si="121"/>
        <v>13431.300000000001</v>
      </c>
      <c r="G134" s="1">
        <f>F134/E134*100</f>
        <v>47.726037132450919</v>
      </c>
      <c r="H134" s="1">
        <f>H135+H136+H137+H138</f>
        <v>0</v>
      </c>
      <c r="I134" s="1">
        <f>I135+I136+I137+I138</f>
        <v>0</v>
      </c>
      <c r="J134" s="1"/>
      <c r="K134" s="1">
        <f t="shared" ref="K134:AO134" si="168">K135+K136+K137+K138</f>
        <v>4260.7</v>
      </c>
      <c r="L134" s="1">
        <f t="shared" si="168"/>
        <v>4260.7</v>
      </c>
      <c r="M134" s="1">
        <f t="shared" si="137"/>
        <v>100</v>
      </c>
      <c r="N134" s="1">
        <f t="shared" si="168"/>
        <v>3500</v>
      </c>
      <c r="O134" s="1">
        <f t="shared" si="168"/>
        <v>3500</v>
      </c>
      <c r="P134" s="1">
        <f>O134/N134*100</f>
        <v>100</v>
      </c>
      <c r="Q134" s="1">
        <f t="shared" si="168"/>
        <v>4089.3</v>
      </c>
      <c r="R134" s="1">
        <f t="shared" si="168"/>
        <v>2600</v>
      </c>
      <c r="S134" s="1">
        <f>R134/Q134*100</f>
        <v>63.580563910693755</v>
      </c>
      <c r="T134" s="1">
        <f t="shared" si="168"/>
        <v>2000</v>
      </c>
      <c r="U134" s="1">
        <f t="shared" si="168"/>
        <v>2300</v>
      </c>
      <c r="V134" s="1">
        <f>U134/T134*100</f>
        <v>114.99999999999999</v>
      </c>
      <c r="W134" s="1">
        <f t="shared" si="168"/>
        <v>2000</v>
      </c>
      <c r="X134" s="1">
        <f t="shared" si="168"/>
        <v>500</v>
      </c>
      <c r="Y134" s="1">
        <f>X134/W134*100</f>
        <v>25</v>
      </c>
      <c r="Z134" s="1">
        <f t="shared" si="168"/>
        <v>1600</v>
      </c>
      <c r="AA134" s="1">
        <f t="shared" si="168"/>
        <v>250</v>
      </c>
      <c r="AB134" s="1">
        <f>AA134/Z134*100</f>
        <v>15.625</v>
      </c>
      <c r="AC134" s="1">
        <f t="shared" si="168"/>
        <v>0</v>
      </c>
      <c r="AD134" s="1">
        <f t="shared" si="168"/>
        <v>20.6</v>
      </c>
      <c r="AE134" s="1"/>
      <c r="AF134" s="1">
        <f t="shared" si="168"/>
        <v>0</v>
      </c>
      <c r="AG134" s="1">
        <f t="shared" si="168"/>
        <v>0</v>
      </c>
      <c r="AH134" s="1"/>
      <c r="AI134" s="1">
        <f t="shared" si="168"/>
        <v>3000</v>
      </c>
      <c r="AJ134" s="1">
        <f t="shared" si="168"/>
        <v>0</v>
      </c>
      <c r="AK134" s="1">
        <f>AJ134/AI134*100</f>
        <v>0</v>
      </c>
      <c r="AL134" s="1">
        <f t="shared" si="168"/>
        <v>3000</v>
      </c>
      <c r="AM134" s="1">
        <f t="shared" si="168"/>
        <v>0</v>
      </c>
      <c r="AN134" s="1">
        <f>AM134/AL134*100</f>
        <v>0</v>
      </c>
      <c r="AO134" s="1">
        <f t="shared" si="168"/>
        <v>4692.5</v>
      </c>
      <c r="AP134" s="1"/>
      <c r="AQ134" s="1">
        <f>AP134/AO134*100</f>
        <v>0</v>
      </c>
      <c r="AR134" s="24"/>
      <c r="AS134" s="24"/>
    </row>
    <row r="135" spans="1:45" x14ac:dyDescent="0.25">
      <c r="A135" s="101"/>
      <c r="B135" s="101"/>
      <c r="C135" s="101"/>
      <c r="D135" s="26" t="s">
        <v>20</v>
      </c>
      <c r="E135" s="1">
        <f t="shared" si="121"/>
        <v>0</v>
      </c>
      <c r="F135" s="1">
        <f t="shared" si="121"/>
        <v>0</v>
      </c>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24"/>
      <c r="AS135" s="24"/>
    </row>
    <row r="136" spans="1:45" ht="24" x14ac:dyDescent="0.25">
      <c r="A136" s="101"/>
      <c r="B136" s="101"/>
      <c r="C136" s="101"/>
      <c r="D136" s="26" t="s">
        <v>4</v>
      </c>
      <c r="E136" s="1">
        <f t="shared" si="121"/>
        <v>0</v>
      </c>
      <c r="F136" s="1">
        <f t="shared" si="121"/>
        <v>0</v>
      </c>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24"/>
      <c r="AS136" s="24"/>
    </row>
    <row r="137" spans="1:45" ht="61.5" customHeight="1" x14ac:dyDescent="0.25">
      <c r="A137" s="101"/>
      <c r="B137" s="101"/>
      <c r="C137" s="101"/>
      <c r="D137" s="26" t="s">
        <v>43</v>
      </c>
      <c r="E137" s="1">
        <f t="shared" si="121"/>
        <v>28142.5</v>
      </c>
      <c r="F137" s="1">
        <f t="shared" si="121"/>
        <v>13431.300000000001</v>
      </c>
      <c r="G137" s="1">
        <f t="shared" ref="G137" si="169">F137/E137*100</f>
        <v>47.726037132450919</v>
      </c>
      <c r="H137" s="1"/>
      <c r="I137" s="1">
        <v>0</v>
      </c>
      <c r="J137" s="1"/>
      <c r="K137" s="1">
        <f>2850+1410.7</f>
        <v>4260.7</v>
      </c>
      <c r="L137" s="1">
        <v>4260.7</v>
      </c>
      <c r="M137" s="1">
        <f t="shared" ref="M137" si="170">L137/K137*100</f>
        <v>100</v>
      </c>
      <c r="N137" s="1">
        <f>3000+589.3-89.3</f>
        <v>3500</v>
      </c>
      <c r="O137" s="1">
        <v>3500</v>
      </c>
      <c r="P137" s="1">
        <f t="shared" ref="P137" si="171">O137/N137*100</f>
        <v>100</v>
      </c>
      <c r="Q137" s="1">
        <f>3000+1000+89.3</f>
        <v>4089.3</v>
      </c>
      <c r="R137" s="1">
        <v>2600</v>
      </c>
      <c r="S137" s="1">
        <f t="shared" ref="S137" si="172">R137/Q137*100</f>
        <v>63.580563910693755</v>
      </c>
      <c r="T137" s="1">
        <v>2000</v>
      </c>
      <c r="U137" s="1">
        <v>2300</v>
      </c>
      <c r="V137" s="1">
        <f t="shared" ref="V137" si="173">U137/T137*100</f>
        <v>114.99999999999999</v>
      </c>
      <c r="W137" s="1">
        <v>2000</v>
      </c>
      <c r="X137" s="1">
        <v>500</v>
      </c>
      <c r="Y137" s="1">
        <f t="shared" ref="Y137" si="174">X137/W137*100</f>
        <v>25</v>
      </c>
      <c r="Z137" s="1">
        <v>1600</v>
      </c>
      <c r="AA137" s="1">
        <v>250</v>
      </c>
      <c r="AB137" s="1">
        <f>AA137/Z137*100</f>
        <v>15.625</v>
      </c>
      <c r="AC137" s="1"/>
      <c r="AD137" s="1">
        <v>20.6</v>
      </c>
      <c r="AE137" s="1"/>
      <c r="AF137" s="1"/>
      <c r="AG137" s="1"/>
      <c r="AH137" s="1"/>
      <c r="AI137" s="1">
        <v>3000</v>
      </c>
      <c r="AJ137" s="1"/>
      <c r="AK137" s="1">
        <f t="shared" ref="AK137" si="175">AJ137/AI137*100</f>
        <v>0</v>
      </c>
      <c r="AL137" s="1">
        <v>3000</v>
      </c>
      <c r="AM137" s="1"/>
      <c r="AN137" s="1">
        <f t="shared" ref="AN137" si="176">AM137/AL137*100</f>
        <v>0</v>
      </c>
      <c r="AO137" s="1">
        <f>5182.5-490</f>
        <v>4692.5</v>
      </c>
      <c r="AP137" s="1"/>
      <c r="AQ137" s="1">
        <f t="shared" ref="AQ137" si="177">AP137/AO137*100</f>
        <v>0</v>
      </c>
      <c r="AR137" s="21" t="s">
        <v>171</v>
      </c>
      <c r="AS137" s="21" t="s">
        <v>187</v>
      </c>
    </row>
    <row r="138" spans="1:45" ht="15.75" customHeight="1" x14ac:dyDescent="0.25">
      <c r="A138" s="101"/>
      <c r="B138" s="101"/>
      <c r="C138" s="101"/>
      <c r="D138" s="26" t="s">
        <v>21</v>
      </c>
      <c r="E138" s="1">
        <f t="shared" si="121"/>
        <v>0</v>
      </c>
      <c r="F138" s="1">
        <f t="shared" si="121"/>
        <v>0</v>
      </c>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24"/>
      <c r="AS138" s="24"/>
    </row>
    <row r="139" spans="1:45" ht="13.15" customHeight="1" x14ac:dyDescent="0.25">
      <c r="A139" s="101" t="s">
        <v>61</v>
      </c>
      <c r="B139" s="101" t="s">
        <v>95</v>
      </c>
      <c r="C139" s="101" t="s">
        <v>152</v>
      </c>
      <c r="D139" s="26" t="s">
        <v>3</v>
      </c>
      <c r="E139" s="1">
        <f t="shared" si="121"/>
        <v>3390</v>
      </c>
      <c r="F139" s="1">
        <f t="shared" si="121"/>
        <v>2172</v>
      </c>
      <c r="G139" s="1">
        <f>F139/E139*100</f>
        <v>64.070796460176993</v>
      </c>
      <c r="H139" s="1">
        <f>H140+H141+H142+H143</f>
        <v>0</v>
      </c>
      <c r="I139" s="1"/>
      <c r="J139" s="1"/>
      <c r="K139" s="1">
        <f t="shared" ref="K139:AO139" si="178">K140+K141+K142+K143</f>
        <v>0</v>
      </c>
      <c r="L139" s="1">
        <f t="shared" si="178"/>
        <v>0</v>
      </c>
      <c r="M139" s="1"/>
      <c r="N139" s="1">
        <f t="shared" si="178"/>
        <v>953.7</v>
      </c>
      <c r="O139" s="1">
        <f t="shared" si="178"/>
        <v>503.1</v>
      </c>
      <c r="P139" s="1">
        <f>O139/N139*100</f>
        <v>52.752437873545141</v>
      </c>
      <c r="Q139" s="1">
        <f t="shared" si="178"/>
        <v>577</v>
      </c>
      <c r="R139" s="1">
        <f t="shared" si="178"/>
        <v>402.3</v>
      </c>
      <c r="S139" s="1">
        <f>R139/Q139*100</f>
        <v>69.722703639514734</v>
      </c>
      <c r="T139" s="1">
        <f t="shared" si="178"/>
        <v>528</v>
      </c>
      <c r="U139" s="1">
        <f t="shared" si="178"/>
        <v>366.4</v>
      </c>
      <c r="V139" s="1">
        <f>U139/T139*100</f>
        <v>69.393939393939391</v>
      </c>
      <c r="W139" s="1">
        <f t="shared" si="178"/>
        <v>1050</v>
      </c>
      <c r="X139" s="1">
        <f t="shared" si="178"/>
        <v>1042</v>
      </c>
      <c r="Y139" s="1">
        <f>X139/W139*100</f>
        <v>99.238095238095241</v>
      </c>
      <c r="Z139" s="1">
        <f t="shared" si="178"/>
        <v>90</v>
      </c>
      <c r="AA139" s="1">
        <f t="shared" si="178"/>
        <v>-13</v>
      </c>
      <c r="AB139" s="1">
        <f>AA139/Z139*100</f>
        <v>-14.444444444444443</v>
      </c>
      <c r="AC139" s="1">
        <f t="shared" si="178"/>
        <v>0</v>
      </c>
      <c r="AD139" s="1">
        <f t="shared" si="178"/>
        <v>18.2</v>
      </c>
      <c r="AE139" s="1"/>
      <c r="AF139" s="1">
        <f t="shared" si="178"/>
        <v>0</v>
      </c>
      <c r="AG139" s="1">
        <f t="shared" si="178"/>
        <v>-147</v>
      </c>
      <c r="AH139" s="1"/>
      <c r="AI139" s="1">
        <f t="shared" si="178"/>
        <v>191.3</v>
      </c>
      <c r="AJ139" s="1">
        <f t="shared" si="178"/>
        <v>0</v>
      </c>
      <c r="AK139" s="1"/>
      <c r="AL139" s="1">
        <f t="shared" si="178"/>
        <v>0</v>
      </c>
      <c r="AM139" s="1">
        <f t="shared" si="178"/>
        <v>0</v>
      </c>
      <c r="AN139" s="1"/>
      <c r="AO139" s="1">
        <f t="shared" si="178"/>
        <v>0</v>
      </c>
      <c r="AP139" s="1"/>
      <c r="AQ139" s="1" t="e">
        <f>AP139/AO139*100</f>
        <v>#DIV/0!</v>
      </c>
      <c r="AR139" s="24"/>
      <c r="AS139" s="24"/>
    </row>
    <row r="140" spans="1:45" x14ac:dyDescent="0.25">
      <c r="A140" s="101"/>
      <c r="B140" s="101"/>
      <c r="C140" s="101"/>
      <c r="D140" s="26" t="s">
        <v>20</v>
      </c>
      <c r="E140" s="1">
        <f t="shared" si="121"/>
        <v>0</v>
      </c>
      <c r="F140" s="1">
        <f t="shared" si="121"/>
        <v>0</v>
      </c>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24"/>
      <c r="AS140" s="24"/>
    </row>
    <row r="141" spans="1:45" ht="96" customHeight="1" x14ac:dyDescent="0.25">
      <c r="A141" s="101"/>
      <c r="B141" s="101"/>
      <c r="C141" s="101"/>
      <c r="D141" s="26" t="s">
        <v>4</v>
      </c>
      <c r="E141" s="1">
        <f t="shared" si="121"/>
        <v>3390</v>
      </c>
      <c r="F141" s="1">
        <f t="shared" si="121"/>
        <v>2172</v>
      </c>
      <c r="G141" s="1">
        <f>F141/E141*100</f>
        <v>64.070796460176993</v>
      </c>
      <c r="H141" s="1"/>
      <c r="I141" s="1"/>
      <c r="J141" s="1"/>
      <c r="K141" s="1">
        <f>642-642</f>
        <v>0</v>
      </c>
      <c r="L141" s="1">
        <v>0</v>
      </c>
      <c r="M141" s="1"/>
      <c r="N141" s="1">
        <f>856+289-191.3</f>
        <v>953.7</v>
      </c>
      <c r="O141" s="1">
        <v>503.1</v>
      </c>
      <c r="P141" s="1">
        <f>O141/N141*100</f>
        <v>52.752437873545141</v>
      </c>
      <c r="Q141" s="1">
        <v>577</v>
      </c>
      <c r="R141" s="1">
        <v>402.3</v>
      </c>
      <c r="S141" s="1">
        <f>R141/Q141*100</f>
        <v>69.722703639514734</v>
      </c>
      <c r="T141" s="1">
        <f>353+175</f>
        <v>528</v>
      </c>
      <c r="U141" s="1">
        <v>366.4</v>
      </c>
      <c r="V141" s="1">
        <f>U141/T141*100</f>
        <v>69.393939393939391</v>
      </c>
      <c r="W141" s="1">
        <v>1050</v>
      </c>
      <c r="X141" s="1">
        <v>1042</v>
      </c>
      <c r="Y141" s="1">
        <f>X141/W141*100</f>
        <v>99.238095238095241</v>
      </c>
      <c r="Z141" s="1">
        <v>90</v>
      </c>
      <c r="AA141" s="1">
        <v>-13</v>
      </c>
      <c r="AB141" s="1">
        <f>AA141/Z141*100</f>
        <v>-14.444444444444443</v>
      </c>
      <c r="AC141" s="1"/>
      <c r="AD141" s="1">
        <v>18.2</v>
      </c>
      <c r="AE141" s="1"/>
      <c r="AF141" s="1"/>
      <c r="AG141" s="1">
        <v>-147</v>
      </c>
      <c r="AH141" s="1"/>
      <c r="AI141" s="1">
        <v>191.3</v>
      </c>
      <c r="AJ141" s="1"/>
      <c r="AK141" s="1"/>
      <c r="AL141" s="1"/>
      <c r="AM141" s="1"/>
      <c r="AN141" s="1"/>
      <c r="AO141" s="1"/>
      <c r="AP141" s="40"/>
      <c r="AQ141" s="1" t="e">
        <f>AP141/AO141*100</f>
        <v>#DIV/0!</v>
      </c>
      <c r="AR141" s="21" t="s">
        <v>188</v>
      </c>
      <c r="AS141" s="28" t="s">
        <v>196</v>
      </c>
    </row>
    <row r="142" spans="1:45" ht="12.6" customHeight="1" x14ac:dyDescent="0.25">
      <c r="A142" s="101"/>
      <c r="B142" s="101"/>
      <c r="C142" s="101"/>
      <c r="D142" s="26" t="s">
        <v>43</v>
      </c>
      <c r="E142" s="1">
        <f t="shared" si="121"/>
        <v>0</v>
      </c>
      <c r="F142" s="1">
        <f t="shared" si="121"/>
        <v>0</v>
      </c>
      <c r="G142" s="1"/>
      <c r="H142" s="1"/>
      <c r="I142" s="1"/>
      <c r="J142" s="27"/>
      <c r="K142" s="1"/>
      <c r="L142" s="1"/>
      <c r="M142" s="1"/>
      <c r="N142" s="1"/>
      <c r="O142" s="1"/>
      <c r="P142" s="1"/>
      <c r="Q142" s="1"/>
      <c r="R142" s="1"/>
      <c r="S142" s="27"/>
      <c r="T142" s="1"/>
      <c r="U142" s="1"/>
      <c r="V142" s="1"/>
      <c r="W142" s="1"/>
      <c r="X142" s="1"/>
      <c r="Y142" s="27"/>
      <c r="Z142" s="1"/>
      <c r="AA142" s="1"/>
      <c r="AB142" s="27"/>
      <c r="AC142" s="1"/>
      <c r="AD142" s="1"/>
      <c r="AE142" s="27"/>
      <c r="AF142" s="1"/>
      <c r="AG142" s="1"/>
      <c r="AH142" s="1">
        <v>0</v>
      </c>
      <c r="AI142" s="1"/>
      <c r="AJ142" s="1"/>
      <c r="AK142" s="27"/>
      <c r="AL142" s="1"/>
      <c r="AM142" s="1"/>
      <c r="AN142" s="27"/>
      <c r="AO142" s="1"/>
      <c r="AP142" s="40"/>
      <c r="AQ142" s="27"/>
      <c r="AR142" s="24"/>
      <c r="AS142" s="24"/>
    </row>
    <row r="143" spans="1:45" ht="12.6" customHeight="1" x14ac:dyDescent="0.25">
      <c r="A143" s="101"/>
      <c r="B143" s="101"/>
      <c r="C143" s="101"/>
      <c r="D143" s="26" t="s">
        <v>21</v>
      </c>
      <c r="E143" s="1">
        <f t="shared" si="121"/>
        <v>0</v>
      </c>
      <c r="F143" s="1">
        <f t="shared" si="121"/>
        <v>0</v>
      </c>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40"/>
      <c r="AQ143" s="40"/>
      <c r="AR143" s="24"/>
      <c r="AS143" s="24"/>
    </row>
    <row r="144" spans="1:45" ht="13.15" customHeight="1" x14ac:dyDescent="0.25">
      <c r="A144" s="101" t="s">
        <v>127</v>
      </c>
      <c r="B144" s="101" t="s">
        <v>129</v>
      </c>
      <c r="C144" s="101" t="s">
        <v>152</v>
      </c>
      <c r="D144" s="26" t="s">
        <v>3</v>
      </c>
      <c r="E144" s="1">
        <f t="shared" ref="E144:F163" si="179">H144+K144+N144+Q144+T144+W144+Z144+AC144+AF144+AI144+AL144+AO144</f>
        <v>0</v>
      </c>
      <c r="F144" s="1">
        <f t="shared" si="179"/>
        <v>0</v>
      </c>
      <c r="G144" s="1"/>
      <c r="H144" s="1">
        <f>H145+H146+H147+H148</f>
        <v>0</v>
      </c>
      <c r="I144" s="1"/>
      <c r="J144" s="27"/>
      <c r="K144" s="1">
        <f t="shared" ref="K144:L144" si="180">K145+K146+K147+K148</f>
        <v>0</v>
      </c>
      <c r="L144" s="1">
        <f t="shared" si="180"/>
        <v>0</v>
      </c>
      <c r="M144" s="1"/>
      <c r="N144" s="1">
        <f t="shared" ref="N144:O144" si="181">N145+N146+N147+N148</f>
        <v>0</v>
      </c>
      <c r="O144" s="1">
        <f t="shared" si="181"/>
        <v>0</v>
      </c>
      <c r="P144" s="1"/>
      <c r="Q144" s="1">
        <f t="shared" ref="Q144:R144" si="182">Q145+Q146+Q147+Q148</f>
        <v>0</v>
      </c>
      <c r="R144" s="1">
        <f t="shared" si="182"/>
        <v>0</v>
      </c>
      <c r="S144" s="1"/>
      <c r="T144" s="1">
        <f t="shared" ref="T144:U144" si="183">T145+T146+T147+T148</f>
        <v>0</v>
      </c>
      <c r="U144" s="1">
        <f t="shared" si="183"/>
        <v>0</v>
      </c>
      <c r="V144" s="1"/>
      <c r="W144" s="1">
        <f t="shared" ref="W144:X144" si="184">W145+W146+W147+W148</f>
        <v>0</v>
      </c>
      <c r="X144" s="1">
        <f t="shared" si="184"/>
        <v>0</v>
      </c>
      <c r="Y144" s="1"/>
      <c r="Z144" s="1">
        <f t="shared" ref="Z144:AA144" si="185">Z145+Z146+Z147+Z148</f>
        <v>0</v>
      </c>
      <c r="AA144" s="1">
        <f t="shared" si="185"/>
        <v>0</v>
      </c>
      <c r="AB144" s="1"/>
      <c r="AC144" s="1">
        <f t="shared" ref="AC144:AD144" si="186">AC145+AC146+AC147+AC148</f>
        <v>0</v>
      </c>
      <c r="AD144" s="1">
        <f t="shared" si="186"/>
        <v>0</v>
      </c>
      <c r="AE144" s="1"/>
      <c r="AF144" s="1">
        <f t="shared" ref="AF144" si="187">AF145+AF146+AF147+AF148</f>
        <v>0</v>
      </c>
      <c r="AG144" s="1"/>
      <c r="AH144" s="27"/>
      <c r="AI144" s="1">
        <f t="shared" ref="AI144:AJ144" si="188">AI145+AI146+AI147+AI148</f>
        <v>0</v>
      </c>
      <c r="AJ144" s="1">
        <f t="shared" si="188"/>
        <v>0</v>
      </c>
      <c r="AK144" s="1"/>
      <c r="AL144" s="1">
        <f t="shared" ref="AL144:AM144" si="189">AL145+AL146+AL147+AL148</f>
        <v>0</v>
      </c>
      <c r="AM144" s="1">
        <f t="shared" si="189"/>
        <v>0</v>
      </c>
      <c r="AN144" s="1"/>
      <c r="AO144" s="1">
        <f t="shared" ref="AO144" si="190">AO145+AO146+AO147+AO148</f>
        <v>0</v>
      </c>
      <c r="AP144" s="1"/>
      <c r="AQ144" s="27"/>
      <c r="AR144" s="24"/>
      <c r="AS144" s="24"/>
    </row>
    <row r="145" spans="1:45" x14ac:dyDescent="0.25">
      <c r="A145" s="101"/>
      <c r="B145" s="101"/>
      <c r="C145" s="101"/>
      <c r="D145" s="26" t="s">
        <v>20</v>
      </c>
      <c r="E145" s="1">
        <f t="shared" si="179"/>
        <v>0</v>
      </c>
      <c r="F145" s="1">
        <f t="shared" si="179"/>
        <v>0</v>
      </c>
      <c r="G145" s="1"/>
      <c r="H145" s="1"/>
      <c r="I145" s="1"/>
      <c r="J145" s="27"/>
      <c r="K145" s="1"/>
      <c r="L145" s="1"/>
      <c r="M145" s="1"/>
      <c r="N145" s="1"/>
      <c r="O145" s="1"/>
      <c r="P145" s="1"/>
      <c r="Q145" s="1"/>
      <c r="R145" s="1"/>
      <c r="S145" s="1"/>
      <c r="T145" s="1"/>
      <c r="U145" s="1"/>
      <c r="V145" s="1"/>
      <c r="W145" s="1"/>
      <c r="X145" s="1"/>
      <c r="Y145" s="1"/>
      <c r="Z145" s="1"/>
      <c r="AA145" s="1"/>
      <c r="AB145" s="1"/>
      <c r="AC145" s="1"/>
      <c r="AD145" s="1"/>
      <c r="AE145" s="1"/>
      <c r="AF145" s="1"/>
      <c r="AG145" s="1"/>
      <c r="AH145" s="27"/>
      <c r="AI145" s="1"/>
      <c r="AJ145" s="1"/>
      <c r="AK145" s="1"/>
      <c r="AL145" s="1"/>
      <c r="AM145" s="1"/>
      <c r="AN145" s="1"/>
      <c r="AO145" s="1"/>
      <c r="AP145" s="1"/>
      <c r="AQ145" s="27"/>
      <c r="AR145" s="24"/>
      <c r="AS145" s="24"/>
    </row>
    <row r="146" spans="1:45" ht="23.45" customHeight="1" x14ac:dyDescent="0.25">
      <c r="A146" s="101"/>
      <c r="B146" s="101"/>
      <c r="C146" s="101"/>
      <c r="D146" s="26" t="s">
        <v>4</v>
      </c>
      <c r="E146" s="1">
        <f t="shared" si="179"/>
        <v>0</v>
      </c>
      <c r="F146" s="1">
        <f t="shared" si="179"/>
        <v>0</v>
      </c>
      <c r="G146" s="1"/>
      <c r="H146" s="1"/>
      <c r="I146" s="1"/>
      <c r="J146" s="27"/>
      <c r="K146" s="1"/>
      <c r="L146" s="1"/>
      <c r="M146" s="1"/>
      <c r="N146" s="1"/>
      <c r="O146" s="1"/>
      <c r="P146" s="1"/>
      <c r="Q146" s="1"/>
      <c r="R146" s="1"/>
      <c r="S146" s="1"/>
      <c r="T146" s="1"/>
      <c r="U146" s="1"/>
      <c r="V146" s="1"/>
      <c r="W146" s="1"/>
      <c r="X146" s="1"/>
      <c r="Y146" s="1"/>
      <c r="Z146" s="1"/>
      <c r="AA146" s="1"/>
      <c r="AB146" s="1"/>
      <c r="AC146" s="1"/>
      <c r="AD146" s="1"/>
      <c r="AE146" s="1"/>
      <c r="AF146" s="1"/>
      <c r="AG146" s="1"/>
      <c r="AH146" s="27"/>
      <c r="AI146" s="1"/>
      <c r="AJ146" s="1"/>
      <c r="AK146" s="1"/>
      <c r="AL146" s="1"/>
      <c r="AM146" s="1"/>
      <c r="AN146" s="1"/>
      <c r="AO146" s="1"/>
      <c r="AP146" s="40"/>
      <c r="AQ146" s="27"/>
      <c r="AR146" s="21"/>
      <c r="AS146" s="28"/>
    </row>
    <row r="147" spans="1:45" x14ac:dyDescent="0.25">
      <c r="A147" s="101"/>
      <c r="B147" s="101"/>
      <c r="C147" s="101"/>
      <c r="D147" s="26" t="s">
        <v>43</v>
      </c>
      <c r="E147" s="1">
        <f t="shared" si="179"/>
        <v>0</v>
      </c>
      <c r="F147" s="1">
        <f t="shared" si="179"/>
        <v>0</v>
      </c>
      <c r="G147" s="1"/>
      <c r="H147" s="1"/>
      <c r="I147" s="1"/>
      <c r="J147" s="27"/>
      <c r="K147" s="1"/>
      <c r="L147" s="1"/>
      <c r="M147" s="1"/>
      <c r="N147" s="1"/>
      <c r="O147" s="1"/>
      <c r="P147" s="1"/>
      <c r="Q147" s="1"/>
      <c r="R147" s="1"/>
      <c r="S147" s="27"/>
      <c r="T147" s="1"/>
      <c r="U147" s="1"/>
      <c r="V147" s="1"/>
      <c r="W147" s="1"/>
      <c r="X147" s="1"/>
      <c r="Y147" s="27"/>
      <c r="Z147" s="1"/>
      <c r="AA147" s="1"/>
      <c r="AB147" s="27"/>
      <c r="AC147" s="1"/>
      <c r="AD147" s="1"/>
      <c r="AE147" s="1"/>
      <c r="AF147" s="1"/>
      <c r="AG147" s="1"/>
      <c r="AH147" s="27"/>
      <c r="AI147" s="1"/>
      <c r="AJ147" s="1"/>
      <c r="AK147" s="27"/>
      <c r="AL147" s="1"/>
      <c r="AM147" s="1"/>
      <c r="AN147" s="27"/>
      <c r="AO147" s="1"/>
      <c r="AP147" s="40"/>
      <c r="AQ147" s="27"/>
      <c r="AR147" s="21"/>
      <c r="AS147" s="24"/>
    </row>
    <row r="148" spans="1:45" ht="15.75" customHeight="1" x14ac:dyDescent="0.25">
      <c r="A148" s="101"/>
      <c r="B148" s="101"/>
      <c r="C148" s="101"/>
      <c r="D148" s="26" t="s">
        <v>21</v>
      </c>
      <c r="E148" s="1">
        <f t="shared" si="179"/>
        <v>0</v>
      </c>
      <c r="F148" s="1">
        <f t="shared" si="179"/>
        <v>0</v>
      </c>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40"/>
      <c r="AQ148" s="40"/>
      <c r="AR148" s="24"/>
      <c r="AS148" s="24"/>
    </row>
    <row r="149" spans="1:45" ht="13.15" customHeight="1" x14ac:dyDescent="0.25">
      <c r="A149" s="101" t="s">
        <v>128</v>
      </c>
      <c r="B149" s="101" t="s">
        <v>130</v>
      </c>
      <c r="C149" s="101" t="s">
        <v>152</v>
      </c>
      <c r="D149" s="26" t="s">
        <v>3</v>
      </c>
      <c r="E149" s="1">
        <f t="shared" si="179"/>
        <v>0</v>
      </c>
      <c r="F149" s="1">
        <f t="shared" si="179"/>
        <v>0</v>
      </c>
      <c r="G149" s="1"/>
      <c r="H149" s="1">
        <f>H150+H151+H152+H153</f>
        <v>0</v>
      </c>
      <c r="I149" s="1"/>
      <c r="J149" s="27"/>
      <c r="K149" s="1">
        <f t="shared" ref="K149:L149" si="191">K150+K151+K152+K153</f>
        <v>0</v>
      </c>
      <c r="L149" s="1">
        <f t="shared" si="191"/>
        <v>0</v>
      </c>
      <c r="M149" s="1"/>
      <c r="N149" s="1">
        <f t="shared" ref="N149:O149" si="192">N150+N151+N152+N153</f>
        <v>0</v>
      </c>
      <c r="O149" s="1">
        <f t="shared" si="192"/>
        <v>0</v>
      </c>
      <c r="P149" s="1"/>
      <c r="Q149" s="1">
        <f t="shared" ref="Q149:R149" si="193">Q150+Q151+Q152+Q153</f>
        <v>0</v>
      </c>
      <c r="R149" s="1">
        <f t="shared" si="193"/>
        <v>0</v>
      </c>
      <c r="S149" s="1"/>
      <c r="T149" s="1">
        <f t="shared" ref="T149:U149" si="194">T150+T151+T152+T153</f>
        <v>0</v>
      </c>
      <c r="U149" s="1">
        <f t="shared" si="194"/>
        <v>0</v>
      </c>
      <c r="V149" s="1"/>
      <c r="W149" s="1">
        <f t="shared" ref="W149:X149" si="195">W150+W151+W152+W153</f>
        <v>0</v>
      </c>
      <c r="X149" s="1">
        <f t="shared" si="195"/>
        <v>0</v>
      </c>
      <c r="Y149" s="1"/>
      <c r="Z149" s="1">
        <f t="shared" ref="Z149:AA149" si="196">Z150+Z151+Z152+Z153</f>
        <v>0</v>
      </c>
      <c r="AA149" s="1">
        <f t="shared" si="196"/>
        <v>0</v>
      </c>
      <c r="AB149" s="1"/>
      <c r="AC149" s="1">
        <f t="shared" ref="AC149:AD149" si="197">AC150+AC151+AC152+AC153</f>
        <v>0</v>
      </c>
      <c r="AD149" s="1">
        <f t="shared" si="197"/>
        <v>0</v>
      </c>
      <c r="AE149" s="1"/>
      <c r="AF149" s="1">
        <f t="shared" ref="AF149:AG149" si="198">AF150+AF151+AF152+AF153</f>
        <v>0</v>
      </c>
      <c r="AG149" s="1">
        <f t="shared" si="198"/>
        <v>0</v>
      </c>
      <c r="AH149" s="1"/>
      <c r="AI149" s="1">
        <f t="shared" ref="AI149:AJ149" si="199">AI150+AI151+AI152+AI153</f>
        <v>0</v>
      </c>
      <c r="AJ149" s="1">
        <f t="shared" si="199"/>
        <v>0</v>
      </c>
      <c r="AK149" s="1"/>
      <c r="AL149" s="1">
        <f t="shared" ref="AL149:AM149" si="200">AL150+AL151+AL152+AL153</f>
        <v>0</v>
      </c>
      <c r="AM149" s="1">
        <f t="shared" si="200"/>
        <v>0</v>
      </c>
      <c r="AN149" s="1"/>
      <c r="AO149" s="1">
        <f t="shared" ref="AO149" si="201">AO150+AO151+AO152+AO153</f>
        <v>0</v>
      </c>
      <c r="AP149" s="1"/>
      <c r="AQ149" s="27"/>
      <c r="AR149" s="24"/>
      <c r="AS149" s="24"/>
    </row>
    <row r="150" spans="1:45" ht="14.45" customHeight="1" x14ac:dyDescent="0.25">
      <c r="A150" s="101"/>
      <c r="B150" s="101"/>
      <c r="C150" s="101"/>
      <c r="D150" s="26" t="s">
        <v>20</v>
      </c>
      <c r="E150" s="1">
        <f t="shared" si="179"/>
        <v>0</v>
      </c>
      <c r="F150" s="1">
        <f t="shared" si="179"/>
        <v>0</v>
      </c>
      <c r="G150" s="1"/>
      <c r="H150" s="1"/>
      <c r="I150" s="1"/>
      <c r="J150" s="2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27"/>
      <c r="AR150" s="28"/>
      <c r="AS150" s="24"/>
    </row>
    <row r="151" spans="1:45" ht="27" customHeight="1" x14ac:dyDescent="0.25">
      <c r="A151" s="101"/>
      <c r="B151" s="101"/>
      <c r="C151" s="101"/>
      <c r="D151" s="26" t="s">
        <v>4</v>
      </c>
      <c r="E151" s="1">
        <f t="shared" si="179"/>
        <v>0</v>
      </c>
      <c r="F151" s="1">
        <f t="shared" si="179"/>
        <v>0</v>
      </c>
      <c r="G151" s="1"/>
      <c r="H151" s="1"/>
      <c r="I151" s="1"/>
      <c r="J151" s="2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40"/>
      <c r="AQ151" s="27"/>
      <c r="AR151" s="28"/>
      <c r="AS151" s="28"/>
    </row>
    <row r="152" spans="1:45" ht="14.45" customHeight="1" x14ac:dyDescent="0.25">
      <c r="A152" s="101"/>
      <c r="B152" s="101"/>
      <c r="C152" s="101"/>
      <c r="D152" s="26" t="s">
        <v>43</v>
      </c>
      <c r="E152" s="1">
        <f t="shared" si="179"/>
        <v>0</v>
      </c>
      <c r="F152" s="1">
        <f t="shared" si="179"/>
        <v>0</v>
      </c>
      <c r="G152" s="1"/>
      <c r="H152" s="1"/>
      <c r="I152" s="1"/>
      <c r="J152" s="27"/>
      <c r="K152" s="1"/>
      <c r="L152" s="1"/>
      <c r="M152" s="1"/>
      <c r="N152" s="1"/>
      <c r="O152" s="1"/>
      <c r="P152" s="1"/>
      <c r="Q152" s="1"/>
      <c r="R152" s="1"/>
      <c r="S152" s="27"/>
      <c r="T152" s="1">
        <f>477-477</f>
        <v>0</v>
      </c>
      <c r="U152" s="1"/>
      <c r="V152" s="1"/>
      <c r="W152" s="1"/>
      <c r="X152" s="1"/>
      <c r="Y152" s="27"/>
      <c r="Z152" s="1"/>
      <c r="AA152" s="1"/>
      <c r="AB152" s="27"/>
      <c r="AC152" s="1"/>
      <c r="AD152" s="1"/>
      <c r="AE152" s="27"/>
      <c r="AF152" s="1"/>
      <c r="AG152" s="1"/>
      <c r="AH152" s="1"/>
      <c r="AI152" s="1"/>
      <c r="AJ152" s="1"/>
      <c r="AK152" s="1"/>
      <c r="AL152" s="1"/>
      <c r="AM152" s="1"/>
      <c r="AN152" s="27"/>
      <c r="AO152" s="1"/>
      <c r="AP152" s="40"/>
      <c r="AQ152" s="27"/>
      <c r="AR152" s="28"/>
      <c r="AS152" s="24"/>
    </row>
    <row r="153" spans="1:45" ht="12" customHeight="1" thickBot="1" x14ac:dyDescent="0.3">
      <c r="A153" s="101"/>
      <c r="B153" s="101"/>
      <c r="C153" s="101"/>
      <c r="D153" s="26" t="s">
        <v>21</v>
      </c>
      <c r="E153" s="1">
        <f t="shared" si="179"/>
        <v>0</v>
      </c>
      <c r="F153" s="1">
        <f t="shared" si="179"/>
        <v>0</v>
      </c>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40"/>
      <c r="AQ153" s="40"/>
      <c r="AR153" s="24"/>
      <c r="AS153" s="24"/>
    </row>
    <row r="154" spans="1:45" ht="13.15" customHeight="1" x14ac:dyDescent="0.25">
      <c r="A154" s="101" t="s">
        <v>162</v>
      </c>
      <c r="B154" s="135" t="s">
        <v>163</v>
      </c>
      <c r="C154" s="101" t="s">
        <v>152</v>
      </c>
      <c r="D154" s="26" t="s">
        <v>3</v>
      </c>
      <c r="E154" s="1">
        <f t="shared" si="179"/>
        <v>2988.5</v>
      </c>
      <c r="F154" s="1">
        <f t="shared" si="179"/>
        <v>1532.8</v>
      </c>
      <c r="G154" s="1">
        <f>F154/E154*100</f>
        <v>51.289944788355356</v>
      </c>
      <c r="H154" s="1">
        <f>H155+H156+H157+H158</f>
        <v>0</v>
      </c>
      <c r="I154" s="1">
        <f>I155+I156+I157+I158</f>
        <v>0</v>
      </c>
      <c r="J154" s="27"/>
      <c r="K154" s="1">
        <f t="shared" ref="K154:L154" si="202">K155+K156+K157+K158</f>
        <v>204.5</v>
      </c>
      <c r="L154" s="1">
        <f t="shared" si="202"/>
        <v>73.399999999999991</v>
      </c>
      <c r="M154" s="1">
        <f>L154/K154*100</f>
        <v>35.892420537897308</v>
      </c>
      <c r="N154" s="1">
        <f t="shared" ref="N154:O154" si="203">N155+N156+N157+N158</f>
        <v>210.9</v>
      </c>
      <c r="O154" s="1">
        <f t="shared" si="203"/>
        <v>181.70000000000002</v>
      </c>
      <c r="P154" s="1">
        <f>O154/N154*100</f>
        <v>86.154575628259849</v>
      </c>
      <c r="Q154" s="1">
        <f t="shared" ref="Q154:R154" si="204">Q155+Q156+Q157+Q158</f>
        <v>214.89999999999998</v>
      </c>
      <c r="R154" s="1">
        <f t="shared" si="204"/>
        <v>185.60000000000002</v>
      </c>
      <c r="S154" s="1">
        <f>R154/Q154*100</f>
        <v>86.365751512331329</v>
      </c>
      <c r="T154" s="1">
        <f t="shared" ref="T154:U154" si="205">T155+T156+T157+T158</f>
        <v>292.39999999999998</v>
      </c>
      <c r="U154" s="1">
        <f t="shared" si="205"/>
        <v>490.6</v>
      </c>
      <c r="V154" s="1">
        <f>U154/T154*100</f>
        <v>167.78385772913819</v>
      </c>
      <c r="W154" s="1">
        <f t="shared" ref="W154:X154" si="206">W155+W156+W157+W158</f>
        <v>595.10000000000014</v>
      </c>
      <c r="X154" s="1">
        <f t="shared" si="206"/>
        <v>427.3</v>
      </c>
      <c r="Y154" s="1">
        <f>X154/W154*100</f>
        <v>71.803058309527799</v>
      </c>
      <c r="Z154" s="1">
        <f t="shared" ref="Z154:AA154" si="207">Z155+Z156+Z157+Z158</f>
        <v>112.19999999999999</v>
      </c>
      <c r="AA154" s="1">
        <f t="shared" si="207"/>
        <v>116.60000000000001</v>
      </c>
      <c r="AB154" s="1">
        <f>AA154/Z154*100</f>
        <v>103.92156862745099</v>
      </c>
      <c r="AC154" s="1">
        <f t="shared" ref="AC154:AD154" si="208">AC155+AC156+AC157+AC158</f>
        <v>0</v>
      </c>
      <c r="AD154" s="1">
        <f t="shared" si="208"/>
        <v>5.6</v>
      </c>
      <c r="AE154" s="1"/>
      <c r="AF154" s="1">
        <f t="shared" ref="AF154:AG154" si="209">AF155+AF156+AF157+AF158</f>
        <v>58.899999999999991</v>
      </c>
      <c r="AG154" s="1">
        <f t="shared" si="209"/>
        <v>52</v>
      </c>
      <c r="AH154" s="1">
        <f>AG154/AF154*100</f>
        <v>88.285229202037357</v>
      </c>
      <c r="AI154" s="1">
        <f t="shared" ref="AI154:AJ154" si="210">AI155+AI156+AI157+AI158</f>
        <v>214.79999999999998</v>
      </c>
      <c r="AJ154" s="1">
        <f t="shared" si="210"/>
        <v>0</v>
      </c>
      <c r="AK154" s="1"/>
      <c r="AL154" s="1">
        <f t="shared" ref="AL154:AM154" si="211">AL155+AL156+AL157+AL158</f>
        <v>253.7</v>
      </c>
      <c r="AM154" s="1">
        <f t="shared" si="211"/>
        <v>0</v>
      </c>
      <c r="AN154" s="1"/>
      <c r="AO154" s="1">
        <f t="shared" ref="AO154" si="212">AO155+AO156+AO157+AO158</f>
        <v>831.1</v>
      </c>
      <c r="AP154" s="1"/>
      <c r="AQ154" s="27"/>
      <c r="AR154" s="24"/>
      <c r="AS154" s="24"/>
    </row>
    <row r="155" spans="1:45" ht="20.25" customHeight="1" x14ac:dyDescent="0.25">
      <c r="A155" s="101"/>
      <c r="B155" s="99"/>
      <c r="C155" s="101"/>
      <c r="D155" s="26" t="s">
        <v>20</v>
      </c>
      <c r="E155" s="1">
        <f t="shared" si="179"/>
        <v>1153.8000000000002</v>
      </c>
      <c r="F155" s="1">
        <f t="shared" si="179"/>
        <v>591.80000000000007</v>
      </c>
      <c r="G155" s="1">
        <f>F155/E155*100</f>
        <v>51.291384988732879</v>
      </c>
      <c r="H155" s="1"/>
      <c r="I155" s="1"/>
      <c r="J155" s="27"/>
      <c r="K155" s="1">
        <v>79.2</v>
      </c>
      <c r="L155" s="1">
        <v>28.4</v>
      </c>
      <c r="M155" s="1">
        <f>L155/K155*100</f>
        <v>35.858585858585855</v>
      </c>
      <c r="N155" s="1">
        <v>81.7</v>
      </c>
      <c r="O155" s="1">
        <v>70.099999999999994</v>
      </c>
      <c r="P155" s="1">
        <f>O155/N155*100</f>
        <v>85.801713586291299</v>
      </c>
      <c r="Q155" s="1">
        <v>83.2</v>
      </c>
      <c r="R155" s="1">
        <v>71.7</v>
      </c>
      <c r="S155" s="1">
        <f>R155/Q155*100</f>
        <v>86.177884615384613</v>
      </c>
      <c r="T155" s="1">
        <v>113.2</v>
      </c>
      <c r="U155" s="1">
        <v>189.4</v>
      </c>
      <c r="V155" s="1">
        <f>U155/T155*100</f>
        <v>167.31448763250881</v>
      </c>
      <c r="W155" s="1">
        <v>230.8</v>
      </c>
      <c r="X155" s="1">
        <v>165</v>
      </c>
      <c r="Y155" s="1">
        <f>X155/W155*100</f>
        <v>71.490467937608315</v>
      </c>
      <c r="Z155" s="1">
        <v>43.6</v>
      </c>
      <c r="AA155" s="1">
        <v>45</v>
      </c>
      <c r="AB155" s="1">
        <f>AA155/Z155*100</f>
        <v>103.21100917431193</v>
      </c>
      <c r="AC155" s="1"/>
      <c r="AD155" s="1">
        <v>2.1</v>
      </c>
      <c r="AE155" s="1"/>
      <c r="AF155" s="1">
        <v>22.7</v>
      </c>
      <c r="AG155" s="1">
        <v>20.100000000000001</v>
      </c>
      <c r="AH155" s="1">
        <f>AG155/AF155*100</f>
        <v>88.546255506607935</v>
      </c>
      <c r="AI155" s="1">
        <v>83.2</v>
      </c>
      <c r="AJ155" s="1"/>
      <c r="AK155" s="1"/>
      <c r="AL155" s="1">
        <v>98.2</v>
      </c>
      <c r="AM155" s="1"/>
      <c r="AN155" s="1"/>
      <c r="AO155" s="1">
        <v>318</v>
      </c>
      <c r="AP155" s="1"/>
      <c r="AQ155" s="27"/>
      <c r="AR155" s="98" t="s">
        <v>172</v>
      </c>
      <c r="AS155" s="98" t="s">
        <v>231</v>
      </c>
    </row>
    <row r="156" spans="1:45" ht="68.25" customHeight="1" x14ac:dyDescent="0.25">
      <c r="A156" s="101"/>
      <c r="B156" s="99"/>
      <c r="C156" s="101"/>
      <c r="D156" s="26" t="s">
        <v>4</v>
      </c>
      <c r="E156" s="1">
        <f t="shared" si="179"/>
        <v>1804.8000000000002</v>
      </c>
      <c r="F156" s="1">
        <f t="shared" si="179"/>
        <v>925.7</v>
      </c>
      <c r="G156" s="1">
        <f t="shared" ref="G156:G157" si="213">F156/E156*100</f>
        <v>51.291001773049636</v>
      </c>
      <c r="H156" s="1"/>
      <c r="I156" s="1"/>
      <c r="J156" s="27"/>
      <c r="K156" s="1">
        <v>123.3</v>
      </c>
      <c r="L156" s="1">
        <v>44.3</v>
      </c>
      <c r="M156" s="1">
        <f t="shared" ref="M156:M157" si="214">L156/K156*100</f>
        <v>35.92862935928629</v>
      </c>
      <c r="N156" s="1">
        <f>127.1</f>
        <v>127.1</v>
      </c>
      <c r="O156" s="1">
        <v>109.7</v>
      </c>
      <c r="P156" s="1">
        <f t="shared" ref="P156:P157" si="215">O156/N156*100</f>
        <v>86.309992132179389</v>
      </c>
      <c r="Q156" s="1">
        <v>129.5</v>
      </c>
      <c r="R156" s="1">
        <v>112.1</v>
      </c>
      <c r="S156" s="1">
        <f t="shared" ref="S156:S157" si="216">R156/Q156*100</f>
        <v>86.56370656370656</v>
      </c>
      <c r="T156" s="1">
        <v>176.3</v>
      </c>
      <c r="U156" s="1">
        <v>296.3</v>
      </c>
      <c r="V156" s="1">
        <f t="shared" ref="V156:V157" si="217">U156/T156*100</f>
        <v>168.06579693703912</v>
      </c>
      <c r="W156" s="1">
        <f>359.1+0</f>
        <v>359.1</v>
      </c>
      <c r="X156" s="1">
        <v>258</v>
      </c>
      <c r="Y156" s="1">
        <f t="shared" ref="Y156:Y157" si="218">X156/W156*100</f>
        <v>71.846282372598154</v>
      </c>
      <c r="Z156" s="1">
        <v>67.5</v>
      </c>
      <c r="AA156" s="1">
        <v>70.400000000000006</v>
      </c>
      <c r="AB156" s="1">
        <f t="shared" ref="AB156:AB157" si="219">AA156/Z156*100</f>
        <v>104.2962962962963</v>
      </c>
      <c r="AC156" s="1"/>
      <c r="AD156" s="1">
        <v>3.5</v>
      </c>
      <c r="AE156" s="1"/>
      <c r="AF156" s="1">
        <v>35.4</v>
      </c>
      <c r="AG156" s="1">
        <v>31.4</v>
      </c>
      <c r="AH156" s="1">
        <f t="shared" ref="AH156:AH157" si="220">AG156/AF156*100</f>
        <v>88.700564971751419</v>
      </c>
      <c r="AI156" s="1">
        <v>129.5</v>
      </c>
      <c r="AJ156" s="1"/>
      <c r="AK156" s="1"/>
      <c r="AL156" s="1">
        <v>153</v>
      </c>
      <c r="AM156" s="1"/>
      <c r="AN156" s="1"/>
      <c r="AO156" s="1">
        <v>504.1</v>
      </c>
      <c r="AP156" s="40"/>
      <c r="AQ156" s="27"/>
      <c r="AR156" s="99"/>
      <c r="AS156" s="99"/>
    </row>
    <row r="157" spans="1:45" ht="43.5" customHeight="1" x14ac:dyDescent="0.25">
      <c r="A157" s="101"/>
      <c r="B157" s="99"/>
      <c r="C157" s="101"/>
      <c r="D157" s="26" t="s">
        <v>43</v>
      </c>
      <c r="E157" s="1">
        <f t="shared" si="179"/>
        <v>29.9</v>
      </c>
      <c r="F157" s="1">
        <f t="shared" si="179"/>
        <v>15.3</v>
      </c>
      <c r="G157" s="1">
        <f t="shared" si="213"/>
        <v>51.170568561872919</v>
      </c>
      <c r="H157" s="1"/>
      <c r="I157" s="1"/>
      <c r="J157" s="27"/>
      <c r="K157" s="1">
        <v>2</v>
      </c>
      <c r="L157" s="1">
        <v>0.7</v>
      </c>
      <c r="M157" s="1">
        <f t="shared" si="214"/>
        <v>35</v>
      </c>
      <c r="N157" s="1">
        <v>2.1</v>
      </c>
      <c r="O157" s="1">
        <v>1.9</v>
      </c>
      <c r="P157" s="1">
        <f t="shared" si="215"/>
        <v>90.476190476190467</v>
      </c>
      <c r="Q157" s="1">
        <v>2.2000000000000002</v>
      </c>
      <c r="R157" s="1">
        <v>1.8</v>
      </c>
      <c r="S157" s="1">
        <f t="shared" si="216"/>
        <v>81.818181818181813</v>
      </c>
      <c r="T157" s="1">
        <v>2.9</v>
      </c>
      <c r="U157" s="1">
        <v>4.9000000000000004</v>
      </c>
      <c r="V157" s="1">
        <f t="shared" si="217"/>
        <v>168.96551724137933</v>
      </c>
      <c r="W157" s="1">
        <v>5.2</v>
      </c>
      <c r="X157" s="1">
        <v>4.3</v>
      </c>
      <c r="Y157" s="1">
        <f t="shared" si="218"/>
        <v>82.692307692307693</v>
      </c>
      <c r="Z157" s="1">
        <v>1.1000000000000001</v>
      </c>
      <c r="AA157" s="1">
        <v>1.2</v>
      </c>
      <c r="AB157" s="1">
        <f t="shared" si="219"/>
        <v>109.09090909090908</v>
      </c>
      <c r="AC157" s="1"/>
      <c r="AD157" s="1"/>
      <c r="AE157" s="27"/>
      <c r="AF157" s="1">
        <v>0.8</v>
      </c>
      <c r="AG157" s="1">
        <v>0.5</v>
      </c>
      <c r="AH157" s="1">
        <f t="shared" si="220"/>
        <v>62.5</v>
      </c>
      <c r="AI157" s="1">
        <v>2.1</v>
      </c>
      <c r="AJ157" s="1"/>
      <c r="AK157" s="1"/>
      <c r="AL157" s="1">
        <v>2.5</v>
      </c>
      <c r="AM157" s="1"/>
      <c r="AN157" s="27"/>
      <c r="AO157" s="1">
        <v>9</v>
      </c>
      <c r="AP157" s="40"/>
      <c r="AQ157" s="27"/>
      <c r="AR157" s="100"/>
      <c r="AS157" s="100"/>
    </row>
    <row r="158" spans="1:45" ht="12" customHeight="1" thickBot="1" x14ac:dyDescent="0.3">
      <c r="A158" s="101"/>
      <c r="B158" s="136"/>
      <c r="C158" s="101"/>
      <c r="D158" s="26" t="s">
        <v>21</v>
      </c>
      <c r="E158" s="1">
        <f t="shared" si="179"/>
        <v>0</v>
      </c>
      <c r="F158" s="1">
        <f t="shared" si="179"/>
        <v>0</v>
      </c>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40"/>
      <c r="AQ158" s="40"/>
      <c r="AR158" s="24"/>
      <c r="AS158" s="24"/>
    </row>
    <row r="159" spans="1:45" ht="13.15" customHeight="1" x14ac:dyDescent="0.25">
      <c r="A159" s="133" t="s">
        <v>9</v>
      </c>
      <c r="B159" s="134"/>
      <c r="C159" s="133"/>
      <c r="D159" s="30" t="s">
        <v>3</v>
      </c>
      <c r="E159" s="31">
        <f t="shared" si="179"/>
        <v>894537.7</v>
      </c>
      <c r="F159" s="31">
        <f t="shared" si="179"/>
        <v>587681.1</v>
      </c>
      <c r="G159" s="31">
        <f>F159/E159*100</f>
        <v>65.696627431130068</v>
      </c>
      <c r="H159" s="31">
        <f>H161+H160+H162+H163</f>
        <v>23750.9</v>
      </c>
      <c r="I159" s="31">
        <f>I161+I160+I162+I163</f>
        <v>23501.5</v>
      </c>
      <c r="J159" s="31">
        <f>I159/H159*100</f>
        <v>98.949934528796803</v>
      </c>
      <c r="K159" s="31">
        <f t="shared" ref="K159:AO159" si="221">K161+K160+K162+K163</f>
        <v>66735.600000000006</v>
      </c>
      <c r="L159" s="31">
        <f t="shared" si="221"/>
        <v>66529.899999999994</v>
      </c>
      <c r="M159" s="31">
        <f t="shared" ref="M159:M162" si="222">L159/K159*100</f>
        <v>99.691768711152648</v>
      </c>
      <c r="N159" s="31">
        <f t="shared" ref="N159:O159" si="223">N161+N160+N162+N163</f>
        <v>63520.19999999999</v>
      </c>
      <c r="O159" s="31">
        <f t="shared" si="223"/>
        <v>62905.7</v>
      </c>
      <c r="P159" s="31">
        <f t="shared" ref="P159:P162" si="224">O159/N159*100</f>
        <v>99.032591207206536</v>
      </c>
      <c r="Q159" s="31">
        <f t="shared" si="221"/>
        <v>73186.5</v>
      </c>
      <c r="R159" s="31">
        <f t="shared" si="221"/>
        <v>70132.900000000009</v>
      </c>
      <c r="S159" s="31">
        <f>R159/Q159*100</f>
        <v>95.827645808994845</v>
      </c>
      <c r="T159" s="31">
        <f t="shared" si="221"/>
        <v>96255</v>
      </c>
      <c r="U159" s="31">
        <f t="shared" si="221"/>
        <v>95382.7</v>
      </c>
      <c r="V159" s="31">
        <f>U159/T159*100</f>
        <v>99.09376136304607</v>
      </c>
      <c r="W159" s="31">
        <f t="shared" si="221"/>
        <v>147274.4</v>
      </c>
      <c r="X159" s="31">
        <f t="shared" si="221"/>
        <v>145322.79999999999</v>
      </c>
      <c r="Y159" s="31">
        <f>X159/W159*100</f>
        <v>98.674854557207496</v>
      </c>
      <c r="Z159" s="31">
        <f t="shared" si="221"/>
        <v>68355.5</v>
      </c>
      <c r="AA159" s="31">
        <f t="shared" si="221"/>
        <v>70122.2</v>
      </c>
      <c r="AB159" s="31">
        <f>AA159/Z159*100</f>
        <v>102.58457622283504</v>
      </c>
      <c r="AC159" s="31">
        <f t="shared" si="221"/>
        <v>27085.600000000002</v>
      </c>
      <c r="AD159" s="31">
        <f t="shared" si="221"/>
        <v>26767.3</v>
      </c>
      <c r="AE159" s="31">
        <f>AD159/AC159*100</f>
        <v>98.824836813657441</v>
      </c>
      <c r="AF159" s="31">
        <f t="shared" si="221"/>
        <v>29225.9</v>
      </c>
      <c r="AG159" s="31">
        <f t="shared" si="221"/>
        <v>27016.100000000002</v>
      </c>
      <c r="AH159" s="31">
        <f>AG159/AF159*100</f>
        <v>92.438898374387108</v>
      </c>
      <c r="AI159" s="31">
        <f t="shared" si="221"/>
        <v>77257.600000000006</v>
      </c>
      <c r="AJ159" s="31">
        <f t="shared" si="221"/>
        <v>0</v>
      </c>
      <c r="AK159" s="31">
        <f>AJ159/AI159*100</f>
        <v>0</v>
      </c>
      <c r="AL159" s="31">
        <f t="shared" si="221"/>
        <v>77177.3</v>
      </c>
      <c r="AM159" s="31">
        <f t="shared" si="221"/>
        <v>0</v>
      </c>
      <c r="AN159" s="31">
        <f>AM159/AL159*100</f>
        <v>0</v>
      </c>
      <c r="AO159" s="31">
        <f t="shared" si="221"/>
        <v>144713.20000000001</v>
      </c>
      <c r="AP159" s="31"/>
      <c r="AQ159" s="31">
        <f>AP159/AO159*100</f>
        <v>0</v>
      </c>
      <c r="AR159" s="24"/>
      <c r="AS159" s="24"/>
    </row>
    <row r="160" spans="1:45" ht="12.75" customHeight="1" x14ac:dyDescent="0.25">
      <c r="A160" s="133"/>
      <c r="B160" s="133"/>
      <c r="C160" s="133"/>
      <c r="D160" s="30" t="s">
        <v>20</v>
      </c>
      <c r="E160" s="31">
        <f t="shared" si="179"/>
        <v>35214.1</v>
      </c>
      <c r="F160" s="31">
        <f t="shared" si="179"/>
        <v>25571.4</v>
      </c>
      <c r="G160" s="31">
        <f>F160/E160*100</f>
        <v>72.616934693773231</v>
      </c>
      <c r="H160" s="31">
        <f>H90+H95+H100+H105+H110+H115+H120+H130+H135+H140+H145+H150+H155</f>
        <v>2851.5</v>
      </c>
      <c r="I160" s="31">
        <f>I90+I95+I100+I105+I110+I115+I120+I130+I135+I140+I145+I150+I155</f>
        <v>2724.6</v>
      </c>
      <c r="J160" s="31">
        <f>I160/H160*100</f>
        <v>95.549710678590216</v>
      </c>
      <c r="K160" s="31">
        <f>K90+K95+K100+K105+K110+K115+K120+K130+K135+K140+K145+K150+K155</f>
        <v>2929.7</v>
      </c>
      <c r="L160" s="31">
        <f>L90+L95+L100+L105+L110+L115+L120+L130+L135+L140+L145+L150+L155</f>
        <v>2720.7000000000003</v>
      </c>
      <c r="M160" s="31">
        <f t="shared" si="222"/>
        <v>92.866163771034593</v>
      </c>
      <c r="N160" s="31">
        <f>N90+N95+N100+N105+N110+N115+N120+N130+N135+N140+N145+N150+N155</f>
        <v>2933.2</v>
      </c>
      <c r="O160" s="31">
        <f>O90+O95+O100+O105+O110+O115+O120+O130+O135+O140+O145+O150+O155</f>
        <v>2868.9</v>
      </c>
      <c r="P160" s="31">
        <f t="shared" si="224"/>
        <v>97.807854902495578</v>
      </c>
      <c r="Q160" s="31">
        <f>Q90+Q95+Q100+Q105+Q110+Q115+Q120+Q130+Q135+Q140+Q145+Q150+Q155</f>
        <v>2921.7</v>
      </c>
      <c r="R160" s="31">
        <f>R90+R95+R100+R105+R110+R115+R120+R130+R135+R140+R145+R150+R155</f>
        <v>2853.8999999999996</v>
      </c>
      <c r="S160" s="31">
        <f>R160/Q160*100</f>
        <v>97.679433206694725</v>
      </c>
      <c r="T160" s="31">
        <f>T90+T95+T100+T105+T110+T115+T120+T130+T135+T140+T145+T150+T155</f>
        <v>5418.7</v>
      </c>
      <c r="U160" s="31">
        <f>U90+U95+U100+U105+U110+U115+U120+U130+U135+U140+U145+U150+U155</f>
        <v>4297.5999999999995</v>
      </c>
      <c r="V160" s="31">
        <f>U160/T160*100</f>
        <v>79.310535737353973</v>
      </c>
      <c r="W160" s="31">
        <f>W90+W95+W100+W105+W110+W115+W120+W130+W135+W140+W145+W150+W155</f>
        <v>5715.3</v>
      </c>
      <c r="X160" s="31">
        <f>X90+X95+X100+X105+X110+X115+X120+X130+X135+X140+X145+X150+X155</f>
        <v>6623.5</v>
      </c>
      <c r="Y160" s="31">
        <f>X160/W160*100</f>
        <v>115.89067940440572</v>
      </c>
      <c r="Z160" s="31">
        <f>Z90+Z95+Z100+Z105+Z110+Z115+Z120+Z130+Z135+Z140+Z145+Z150+Z155</f>
        <v>43.6</v>
      </c>
      <c r="AA160" s="31">
        <f>AA90+AA95+AA100+AA105+AA110+AA115+AA120+AA130+AA135+AA140+AA145+AA150+AA155</f>
        <v>45</v>
      </c>
      <c r="AB160" s="31">
        <f>AA160/Z160*100</f>
        <v>103.21100917431193</v>
      </c>
      <c r="AC160" s="31">
        <f>AC90+AC95+AC100+AC105+AC110+AC115+AC120+AC130+AC135+AC140+AC145+AC150+AC155</f>
        <v>894.4</v>
      </c>
      <c r="AD160" s="31">
        <f>AD90+AD95+AD100+AD105+AD110+AD115+AD120+AD130+AD135+AD140+AD145+AD150+AD155</f>
        <v>676.80000000000007</v>
      </c>
      <c r="AE160" s="31">
        <f>AD160/AC160*100</f>
        <v>75.670840787119857</v>
      </c>
      <c r="AF160" s="31">
        <f>AF90+AF95+AF100+AF105+AF110+AF115+AF120+AF130+AF135+AF140+AF145+AF150+AF155</f>
        <v>2942.7</v>
      </c>
      <c r="AG160" s="31">
        <f>AG90+AG95+AG100+AG105+AG110+AG115+AG120+AG130+AG135+AG140+AG145+AG150+AG155</f>
        <v>2760.4</v>
      </c>
      <c r="AH160" s="31">
        <f>AG160/AF160*100</f>
        <v>93.805009005335251</v>
      </c>
      <c r="AI160" s="31">
        <f>AI90+AI95+AI100+AI105+AI110+AI115+AI120+AI130+AI135+AI140+AI145+AI150+AI155</f>
        <v>2933.2</v>
      </c>
      <c r="AJ160" s="31">
        <f>AJ90+AJ95+AJ100+AJ105+AJ110+AJ115+AJ120+AJ130+AJ135+AJ140+AJ145+AJ150</f>
        <v>0</v>
      </c>
      <c r="AK160" s="31">
        <f>AJ160/AI160*100</f>
        <v>0</v>
      </c>
      <c r="AL160" s="31">
        <f>AL90+AL95+AL100+AL105+AL110+AL115+AL120+AL130+AL135+AL140+AL145+AL150+AL155</f>
        <v>2948.2</v>
      </c>
      <c r="AM160" s="31">
        <f>AM90+AM95+AM100+AM105+AM110+AM115+AM120+AM130+AM135+AM140+AM145+AM150</f>
        <v>0</v>
      </c>
      <c r="AN160" s="31">
        <f>AM160/AL160*100</f>
        <v>0</v>
      </c>
      <c r="AO160" s="31">
        <f>AO90+AO95+AO100+AO105+AO110+AO115+AO120+AO130+AO135+AO140+AO145+AO150+AO155</f>
        <v>2681.9</v>
      </c>
      <c r="AP160" s="1"/>
      <c r="AQ160" s="31">
        <f>AP160/AO160*100</f>
        <v>0</v>
      </c>
      <c r="AR160" s="24"/>
      <c r="AS160" s="24"/>
    </row>
    <row r="161" spans="1:45" ht="23.25" customHeight="1" x14ac:dyDescent="0.25">
      <c r="A161" s="133"/>
      <c r="B161" s="133"/>
      <c r="C161" s="133"/>
      <c r="D161" s="30" t="s">
        <v>4</v>
      </c>
      <c r="E161" s="31">
        <f t="shared" si="179"/>
        <v>730386.8</v>
      </c>
      <c r="F161" s="31">
        <f t="shared" si="179"/>
        <v>482747.70000000007</v>
      </c>
      <c r="G161" s="31">
        <f t="shared" ref="G161:G162" si="225">F161/E161*100</f>
        <v>66.094800727504946</v>
      </c>
      <c r="H161" s="31">
        <f t="shared" ref="H161:I162" si="226">H91+H96+H101+H106+H111+H116+H121+H131+H136+H141+H146+H151+H156</f>
        <v>17660</v>
      </c>
      <c r="I161" s="31">
        <f t="shared" si="226"/>
        <v>17660</v>
      </c>
      <c r="J161" s="31">
        <f t="shared" ref="J161:J162" si="227">I161/H161*100</f>
        <v>100</v>
      </c>
      <c r="K161" s="31">
        <f t="shared" ref="K161:L162" si="228">K91+K96+K101+K106+K111+K116+K121+K131+K136+K141+K146+K151+K156</f>
        <v>50062.3</v>
      </c>
      <c r="L161" s="31">
        <f t="shared" si="228"/>
        <v>49983.3</v>
      </c>
      <c r="M161" s="31">
        <f t="shared" si="222"/>
        <v>99.842196623007723</v>
      </c>
      <c r="N161" s="31">
        <f t="shared" ref="N161:O162" si="229">N91+N96+N101+N106+N111+N116+N121+N131+N136+N141+N146+N151+N156</f>
        <v>51279.799999999996</v>
      </c>
      <c r="O161" s="31">
        <f t="shared" si="229"/>
        <v>50811.799999999996</v>
      </c>
      <c r="P161" s="31">
        <f t="shared" si="224"/>
        <v>99.087359935101148</v>
      </c>
      <c r="Q161" s="31">
        <f t="shared" ref="Q161:R162" si="230">Q91+Q96+Q101+Q106+Q111+Q116+Q121+Q131+Q136+Q141+Q146+Q151+Q156</f>
        <v>54539.5</v>
      </c>
      <c r="R161" s="31">
        <f t="shared" si="230"/>
        <v>54347.4</v>
      </c>
      <c r="S161" s="31">
        <f t="shared" ref="S161:S162" si="231">R161/Q161*100</f>
        <v>99.647778215788563</v>
      </c>
      <c r="T161" s="31">
        <f t="shared" ref="T161:U162" si="232">T91+T96+T101+T106+T111+T116+T121+T131+T136+T141+T146+T151+T156</f>
        <v>81033.3</v>
      </c>
      <c r="U161" s="31">
        <f t="shared" si="232"/>
        <v>80991.7</v>
      </c>
      <c r="V161" s="31">
        <f t="shared" ref="V161:V162" si="233">U161/T161*100</f>
        <v>99.948663080486654</v>
      </c>
      <c r="W161" s="31">
        <f t="shared" ref="W161:X162" si="234">W91+W96+W101+W106+W111+W116+W121+W131+W136+W141+W146+W151+W156</f>
        <v>131106.1</v>
      </c>
      <c r="X161" s="31">
        <f t="shared" si="234"/>
        <v>130997</v>
      </c>
      <c r="Y161" s="31">
        <f t="shared" ref="Y161:Y162" si="235">X161/W161*100</f>
        <v>99.916784955085987</v>
      </c>
      <c r="Z161" s="31">
        <f t="shared" ref="Z161:AA162" si="236">Z91+Z96+Z101+Z106+Z111+Z116+Z121+Z131+Z136+Z141+Z146+Z151+Z156</f>
        <v>58868.5</v>
      </c>
      <c r="AA161" s="31">
        <f t="shared" si="236"/>
        <v>58768.4</v>
      </c>
      <c r="AB161" s="31">
        <f t="shared" ref="AB161:AB162" si="237">AA161/Z161*100</f>
        <v>99.82995999558338</v>
      </c>
      <c r="AC161" s="31">
        <f t="shared" ref="AC161:AD162" si="238">AC91+AC96+AC101+AC106+AC111+AC116+AC121+AC131+AC136+AC141+AC146+AC151+AC156</f>
        <v>19243</v>
      </c>
      <c r="AD161" s="31">
        <f t="shared" si="238"/>
        <v>19264.7</v>
      </c>
      <c r="AE161" s="31">
        <f t="shared" ref="AE161:AE162" si="239">AD161/AC161*100</f>
        <v>100.11276827937432</v>
      </c>
      <c r="AF161" s="31">
        <f t="shared" ref="AF161:AG162" si="240">AF91+AF96+AF101+AF106+AF111+AF116+AF121+AF131+AF136+AF141+AF146+AF151+AF156</f>
        <v>20074.400000000001</v>
      </c>
      <c r="AG161" s="31">
        <f t="shared" si="240"/>
        <v>19923.400000000001</v>
      </c>
      <c r="AH161" s="31">
        <f t="shared" ref="AH161:AH162" si="241">AG161/AF161*100</f>
        <v>99.247798190730492</v>
      </c>
      <c r="AI161" s="31">
        <f t="shared" ref="AI161:AI162" si="242">AI91+AI96+AI101+AI106+AI111+AI116+AI121+AI131+AI136+AI141+AI146+AI151+AI156</f>
        <v>60635.8</v>
      </c>
      <c r="AJ161" s="31">
        <f>AJ91+AJ96+AJ101+AJ106+AJ111+AJ116+AJ121+AJ131+AJ136+AJ141+AJ146+AJ151</f>
        <v>0</v>
      </c>
      <c r="AK161" s="31">
        <f t="shared" ref="AK161:AK162" si="243">AJ161/AI161*100</f>
        <v>0</v>
      </c>
      <c r="AL161" s="31">
        <f t="shared" ref="AL161:AL162" si="244">AL91+AL96+AL101+AL106+AL111+AL116+AL121+AL131+AL136+AL141+AL146+AL151+AL156</f>
        <v>59655</v>
      </c>
      <c r="AM161" s="31">
        <f>AM91+AM96+AM101+AM106+AM111+AM116+AM121+AM131+AM136+AM141+AM146+AM151</f>
        <v>0</v>
      </c>
      <c r="AN161" s="31">
        <f t="shared" ref="AN161:AN162" si="245">AM161/AL161*100</f>
        <v>0</v>
      </c>
      <c r="AO161" s="31">
        <f t="shared" ref="AO161:AO162" si="246">AO91+AO96+AO101+AO106+AO111+AO116+AO121+AO131+AO136+AO141+AO146+AO151+AO156</f>
        <v>126229.1</v>
      </c>
      <c r="AP161" s="1"/>
      <c r="AQ161" s="31">
        <f t="shared" ref="AQ161:AQ162" si="247">AP161/AO161*100</f>
        <v>0</v>
      </c>
      <c r="AR161" s="24"/>
      <c r="AS161" s="24"/>
    </row>
    <row r="162" spans="1:45" x14ac:dyDescent="0.25">
      <c r="A162" s="133"/>
      <c r="B162" s="133"/>
      <c r="C162" s="133"/>
      <c r="D162" s="30" t="s">
        <v>43</v>
      </c>
      <c r="E162" s="31">
        <f t="shared" si="179"/>
        <v>128936.8</v>
      </c>
      <c r="F162" s="31">
        <f t="shared" si="179"/>
        <v>79362.000000000015</v>
      </c>
      <c r="G162" s="31">
        <f t="shared" si="225"/>
        <v>61.551085493047765</v>
      </c>
      <c r="H162" s="31">
        <f t="shared" si="226"/>
        <v>3239.4</v>
      </c>
      <c r="I162" s="31">
        <f t="shared" si="226"/>
        <v>3116.9</v>
      </c>
      <c r="J162" s="31">
        <f t="shared" si="227"/>
        <v>96.218435512749281</v>
      </c>
      <c r="K162" s="31">
        <f t="shared" si="228"/>
        <v>13743.599999999999</v>
      </c>
      <c r="L162" s="31">
        <f t="shared" si="228"/>
        <v>13825.900000000001</v>
      </c>
      <c r="M162" s="31">
        <f t="shared" si="222"/>
        <v>100.59882417998199</v>
      </c>
      <c r="N162" s="31">
        <f t="shared" si="229"/>
        <v>9307.1999999999989</v>
      </c>
      <c r="O162" s="31">
        <f t="shared" si="229"/>
        <v>9224.9999999999982</v>
      </c>
      <c r="P162" s="31">
        <f t="shared" si="224"/>
        <v>99.116812790097981</v>
      </c>
      <c r="Q162" s="31">
        <f t="shared" si="230"/>
        <v>15725.3</v>
      </c>
      <c r="R162" s="31">
        <f t="shared" si="230"/>
        <v>12931.600000000002</v>
      </c>
      <c r="S162" s="31">
        <f t="shared" si="231"/>
        <v>82.234361188657786</v>
      </c>
      <c r="T162" s="31">
        <f t="shared" si="232"/>
        <v>9802.9999999999982</v>
      </c>
      <c r="U162" s="31">
        <f t="shared" si="232"/>
        <v>10093.4</v>
      </c>
      <c r="V162" s="31">
        <f t="shared" si="233"/>
        <v>102.96235846169542</v>
      </c>
      <c r="W162" s="31">
        <f t="shared" si="234"/>
        <v>10453</v>
      </c>
      <c r="X162" s="31">
        <f t="shared" si="234"/>
        <v>7702.3</v>
      </c>
      <c r="Y162" s="31">
        <f t="shared" si="235"/>
        <v>73.685066488089547</v>
      </c>
      <c r="Z162" s="31">
        <f t="shared" si="236"/>
        <v>9443.4</v>
      </c>
      <c r="AA162" s="31">
        <f t="shared" si="236"/>
        <v>11308.800000000001</v>
      </c>
      <c r="AB162" s="31">
        <f t="shared" si="237"/>
        <v>119.75347861998857</v>
      </c>
      <c r="AC162" s="31">
        <f t="shared" si="238"/>
        <v>6948.2</v>
      </c>
      <c r="AD162" s="31">
        <f t="shared" si="238"/>
        <v>6825.8</v>
      </c>
      <c r="AE162" s="31">
        <f t="shared" si="239"/>
        <v>98.238392677240142</v>
      </c>
      <c r="AF162" s="31">
        <f t="shared" si="240"/>
        <v>6208.8</v>
      </c>
      <c r="AG162" s="31">
        <f t="shared" si="240"/>
        <v>4332.3</v>
      </c>
      <c r="AH162" s="31">
        <f t="shared" si="241"/>
        <v>69.776768457672972</v>
      </c>
      <c r="AI162" s="31">
        <f t="shared" si="242"/>
        <v>13688.6</v>
      </c>
      <c r="AJ162" s="31">
        <f>AJ92+AJ97+AJ102+AJ107+AJ112+AJ117+AJ122+AJ132+AJ137+AJ142+AJ147+AJ152</f>
        <v>0</v>
      </c>
      <c r="AK162" s="31">
        <f t="shared" si="243"/>
        <v>0</v>
      </c>
      <c r="AL162" s="31">
        <f t="shared" si="244"/>
        <v>14574.1</v>
      </c>
      <c r="AM162" s="31">
        <f>AM92+AM97+AM102+AM107+AM112+AM117+AM122+AM132+AM137+AM142+AM147+AM152</f>
        <v>0</v>
      </c>
      <c r="AN162" s="31">
        <f t="shared" si="245"/>
        <v>0</v>
      </c>
      <c r="AO162" s="31">
        <f t="shared" si="246"/>
        <v>15802.2</v>
      </c>
      <c r="AP162" s="1"/>
      <c r="AQ162" s="31">
        <f t="shared" si="247"/>
        <v>0</v>
      </c>
      <c r="AR162" s="24"/>
      <c r="AS162" s="24"/>
    </row>
    <row r="163" spans="1:45" ht="13.9" customHeight="1" x14ac:dyDescent="0.25">
      <c r="A163" s="133"/>
      <c r="B163" s="133"/>
      <c r="C163" s="133"/>
      <c r="D163" s="30" t="s">
        <v>21</v>
      </c>
      <c r="E163" s="31">
        <f t="shared" si="179"/>
        <v>0</v>
      </c>
      <c r="F163" s="31">
        <f t="shared" si="179"/>
        <v>0</v>
      </c>
      <c r="G163" s="31"/>
      <c r="H163" s="31">
        <f>H93+H98+H103+H108+H113+H118+H123+H133+H138+H143+H148+H153</f>
        <v>0</v>
      </c>
      <c r="I163" s="31">
        <f>I93+I98+I103+I108+I113+I118+I123+I133+I138+I143+I148+I153</f>
        <v>0</v>
      </c>
      <c r="J163" s="31"/>
      <c r="K163" s="31">
        <f>K93+K98+K103+K108+K113+K118+K123+K133+K138+K143+K148+K153</f>
        <v>0</v>
      </c>
      <c r="L163" s="31">
        <f>L93+L98+L103+L108+L113+L118+L123+L133+L138+L143+L148+L153</f>
        <v>0</v>
      </c>
      <c r="M163" s="31"/>
      <c r="N163" s="31">
        <f>N93+N98+N103+N108+N113+N118+N123+N133+N138+N143+N148+N153</f>
        <v>0</v>
      </c>
      <c r="O163" s="31">
        <f>O93+O98+O103+O108+O113+O118+O123+O133+O138+O143+O148+O153</f>
        <v>0</v>
      </c>
      <c r="P163" s="31"/>
      <c r="Q163" s="31">
        <f>Q93+Q98+Q103+Q108+Q113+Q118+Q123+Q133+Q138+Q143+Q148+Q153</f>
        <v>0</v>
      </c>
      <c r="R163" s="31">
        <f>R93+R98+R103+R108+R113+R118+R123+R133+R138+R143+R148+R153</f>
        <v>0</v>
      </c>
      <c r="S163" s="31"/>
      <c r="T163" s="31">
        <f>T93+T98+T103+T108+T113+T118+T123+T133+T138+T143+T148+T153</f>
        <v>0</v>
      </c>
      <c r="U163" s="31">
        <f>U93+U98+U103+U108+U113+U118+U123+U133+U138+U143+U148+U153</f>
        <v>0</v>
      </c>
      <c r="V163" s="31"/>
      <c r="W163" s="31">
        <f>W93+W98+W103+W108+W113+W118+W123+W133+W138+W143+W148+W153</f>
        <v>0</v>
      </c>
      <c r="X163" s="31">
        <f>X93+X98+X103+X108+X113+X118+X123+X133+X138+X143+X148+X153</f>
        <v>0</v>
      </c>
      <c r="Y163" s="31"/>
      <c r="Z163" s="31">
        <f>Z93+Z98+Z103+Z108+Z113+Z118+Z123+Z133+Z138+Z143+Z148+Z153</f>
        <v>0</v>
      </c>
      <c r="AA163" s="31">
        <f>AA93+AA98+AA103+AA108+AA113+AA118+AA123+AA133+AA138+AA143+AA148+AA153</f>
        <v>0</v>
      </c>
      <c r="AB163" s="31"/>
      <c r="AC163" s="31">
        <f>AC93+AC98+AC103+AC108+AC113+AC118+AC123+AC133+AC138+AC143+AC148+AC153</f>
        <v>0</v>
      </c>
      <c r="AD163" s="31">
        <f>AD93+AD98+AD103+AD108+AD113+AD118+AD123+AD133+AD138+AD143+AD148+AD153</f>
        <v>0</v>
      </c>
      <c r="AE163" s="31"/>
      <c r="AF163" s="31">
        <f>AF93+AF98+AF103+AF108+AF113+AF118+AF123+AF133+AF138+AF143+AF148+AF153</f>
        <v>0</v>
      </c>
      <c r="AG163" s="31">
        <f>AG93+AG98+AG103+AG108+AG113+AG118+AG123+AG133+AG138+AG143+AG148+AG153</f>
        <v>0</v>
      </c>
      <c r="AH163" s="31"/>
      <c r="AI163" s="31">
        <f>AI93+AI98+AI103+AI108+AI113+AI118+AI123+AI133+AI138+AI143+AI148+AI153</f>
        <v>0</v>
      </c>
      <c r="AJ163" s="31">
        <f>AJ93+AJ98+AJ103+AJ108+AJ113+AJ118+AJ123+AJ133+AJ138+AJ143+AJ148+AJ153</f>
        <v>0</v>
      </c>
      <c r="AK163" s="31"/>
      <c r="AL163" s="31">
        <f>AL93+AL98+AL103+AL108+AL113+AL118+AL123+AL133+AL138+AL143+AL148+AL153</f>
        <v>0</v>
      </c>
      <c r="AM163" s="31">
        <f>AM93+AM98+AM103+AM108+AM113+AM118+AM123+AM133+AM138+AM143+AM148+AM153</f>
        <v>0</v>
      </c>
      <c r="AN163" s="31"/>
      <c r="AO163" s="31">
        <f>AO93+AO98+AO103+AO108+AO113+AO118+AO123+AO133+AO138+AO143+AO148+AO153</f>
        <v>0</v>
      </c>
      <c r="AP163" s="1"/>
      <c r="AQ163" s="31"/>
      <c r="AR163" s="24"/>
      <c r="AS163" s="24"/>
    </row>
    <row r="164" spans="1:45" ht="15.75" x14ac:dyDescent="0.25">
      <c r="A164" s="41" t="s">
        <v>62</v>
      </c>
      <c r="B164" s="22" t="s">
        <v>10</v>
      </c>
      <c r="C164" s="22"/>
      <c r="D164" s="22"/>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2"/>
      <c r="AQ164" s="22"/>
      <c r="AR164" s="24"/>
      <c r="AS164" s="24"/>
    </row>
    <row r="165" spans="1:45" ht="14.45" customHeight="1" x14ac:dyDescent="0.25">
      <c r="A165" s="101" t="s">
        <v>63</v>
      </c>
      <c r="B165" s="101" t="s">
        <v>96</v>
      </c>
      <c r="C165" s="101" t="s">
        <v>152</v>
      </c>
      <c r="D165" s="26" t="s">
        <v>3</v>
      </c>
      <c r="E165" s="1">
        <f t="shared" ref="E165:F180" si="248">H165+K165+N165+Q165+T165+W165+Z165+AC165+AF165+AI165+AL165+AO165</f>
        <v>0</v>
      </c>
      <c r="F165" s="1">
        <f t="shared" si="248"/>
        <v>0</v>
      </c>
      <c r="G165" s="1"/>
      <c r="H165" s="1">
        <f>H166+H167+H168+H169</f>
        <v>0</v>
      </c>
      <c r="I165" s="1">
        <f>I166+I167+I168+I169</f>
        <v>0</v>
      </c>
      <c r="J165" s="1"/>
      <c r="K165" s="1">
        <f t="shared" ref="K165:AO165" si="249">K166+K167+K168+K169</f>
        <v>0</v>
      </c>
      <c r="L165" s="1">
        <f t="shared" si="249"/>
        <v>0</v>
      </c>
      <c r="M165" s="1"/>
      <c r="N165" s="1">
        <f t="shared" si="249"/>
        <v>0</v>
      </c>
      <c r="O165" s="1"/>
      <c r="P165" s="27"/>
      <c r="Q165" s="1">
        <f t="shared" si="249"/>
        <v>0</v>
      </c>
      <c r="R165" s="1"/>
      <c r="S165" s="27"/>
      <c r="T165" s="1">
        <f t="shared" si="249"/>
        <v>0</v>
      </c>
      <c r="U165" s="1"/>
      <c r="V165" s="27"/>
      <c r="W165" s="1">
        <f t="shared" si="249"/>
        <v>0</v>
      </c>
      <c r="X165" s="1"/>
      <c r="Y165" s="27"/>
      <c r="Z165" s="1">
        <f t="shared" si="249"/>
        <v>0</v>
      </c>
      <c r="AA165" s="1"/>
      <c r="AB165" s="27"/>
      <c r="AC165" s="1">
        <f t="shared" si="249"/>
        <v>0</v>
      </c>
      <c r="AD165" s="1"/>
      <c r="AE165" s="27"/>
      <c r="AF165" s="1">
        <f t="shared" si="249"/>
        <v>0</v>
      </c>
      <c r="AG165" s="1">
        <f t="shared" si="249"/>
        <v>0</v>
      </c>
      <c r="AH165" s="27"/>
      <c r="AI165" s="1">
        <f t="shared" si="249"/>
        <v>0</v>
      </c>
      <c r="AJ165" s="1">
        <f t="shared" si="249"/>
        <v>0</v>
      </c>
      <c r="AK165" s="1"/>
      <c r="AL165" s="1">
        <f t="shared" si="249"/>
        <v>0</v>
      </c>
      <c r="AM165" s="1"/>
      <c r="AN165" s="1"/>
      <c r="AO165" s="1">
        <f t="shared" si="249"/>
        <v>0</v>
      </c>
      <c r="AP165" s="1"/>
      <c r="AQ165" s="27"/>
      <c r="AR165" s="24"/>
      <c r="AS165" s="24"/>
    </row>
    <row r="166" spans="1:45" ht="12" customHeight="1" x14ac:dyDescent="0.25">
      <c r="A166" s="101"/>
      <c r="B166" s="101"/>
      <c r="C166" s="101"/>
      <c r="D166" s="26" t="s">
        <v>20</v>
      </c>
      <c r="E166" s="1">
        <f t="shared" si="248"/>
        <v>0</v>
      </c>
      <c r="F166" s="1">
        <f t="shared" si="248"/>
        <v>0</v>
      </c>
      <c r="G166" s="1"/>
      <c r="H166" s="1"/>
      <c r="I166" s="1"/>
      <c r="J166" s="1"/>
      <c r="K166" s="1"/>
      <c r="L166" s="1"/>
      <c r="M166" s="1"/>
      <c r="N166" s="1"/>
      <c r="O166" s="1"/>
      <c r="P166" s="27"/>
      <c r="Q166" s="1"/>
      <c r="R166" s="1"/>
      <c r="S166" s="27"/>
      <c r="T166" s="1"/>
      <c r="U166" s="1"/>
      <c r="V166" s="27"/>
      <c r="W166" s="1"/>
      <c r="X166" s="1"/>
      <c r="Y166" s="27"/>
      <c r="Z166" s="1"/>
      <c r="AA166" s="1"/>
      <c r="AB166" s="27"/>
      <c r="AC166" s="1"/>
      <c r="AD166" s="1"/>
      <c r="AE166" s="27"/>
      <c r="AF166" s="1"/>
      <c r="AG166" s="1"/>
      <c r="AH166" s="27"/>
      <c r="AI166" s="1"/>
      <c r="AJ166" s="1"/>
      <c r="AK166" s="1"/>
      <c r="AL166" s="1"/>
      <c r="AM166" s="1"/>
      <c r="AN166" s="1"/>
      <c r="AO166" s="1"/>
      <c r="AP166" s="1"/>
      <c r="AQ166" s="27"/>
      <c r="AR166" s="24"/>
      <c r="AS166" s="24"/>
    </row>
    <row r="167" spans="1:45" ht="24" customHeight="1" x14ac:dyDescent="0.25">
      <c r="A167" s="101"/>
      <c r="B167" s="101"/>
      <c r="C167" s="101"/>
      <c r="D167" s="26" t="s">
        <v>4</v>
      </c>
      <c r="E167" s="1">
        <f t="shared" si="248"/>
        <v>0</v>
      </c>
      <c r="F167" s="1">
        <f t="shared" si="248"/>
        <v>0</v>
      </c>
      <c r="G167" s="1"/>
      <c r="H167" s="1"/>
      <c r="I167" s="1"/>
      <c r="J167" s="1"/>
      <c r="K167" s="1"/>
      <c r="L167" s="1"/>
      <c r="M167" s="1"/>
      <c r="N167" s="1"/>
      <c r="O167" s="1"/>
      <c r="P167" s="27"/>
      <c r="Q167" s="1"/>
      <c r="R167" s="1"/>
      <c r="S167" s="27"/>
      <c r="T167" s="1"/>
      <c r="U167" s="1"/>
      <c r="V167" s="27"/>
      <c r="W167" s="1"/>
      <c r="X167" s="1"/>
      <c r="Y167" s="27"/>
      <c r="Z167" s="1"/>
      <c r="AA167" s="1"/>
      <c r="AB167" s="27"/>
      <c r="AC167" s="1"/>
      <c r="AD167" s="1"/>
      <c r="AE167" s="27"/>
      <c r="AF167" s="1"/>
      <c r="AG167" s="1"/>
      <c r="AH167" s="27"/>
      <c r="AI167" s="1"/>
      <c r="AJ167" s="1"/>
      <c r="AK167" s="1"/>
      <c r="AL167" s="1"/>
      <c r="AM167" s="1"/>
      <c r="AN167" s="1"/>
      <c r="AO167" s="1"/>
      <c r="AP167" s="40"/>
      <c r="AQ167" s="27"/>
      <c r="AR167" s="24"/>
      <c r="AS167" s="24"/>
    </row>
    <row r="168" spans="1:45" x14ac:dyDescent="0.25">
      <c r="A168" s="101"/>
      <c r="B168" s="101"/>
      <c r="C168" s="101"/>
      <c r="D168" s="26" t="s">
        <v>43</v>
      </c>
      <c r="E168" s="1">
        <f t="shared" si="248"/>
        <v>0</v>
      </c>
      <c r="F168" s="1">
        <f t="shared" si="248"/>
        <v>0</v>
      </c>
      <c r="G168" s="1"/>
      <c r="H168" s="1"/>
      <c r="I168" s="1"/>
      <c r="J168" s="1"/>
      <c r="K168" s="1"/>
      <c r="L168" s="1"/>
      <c r="M168" s="1"/>
      <c r="N168" s="1"/>
      <c r="O168" s="1"/>
      <c r="P168" s="27"/>
      <c r="Q168" s="1"/>
      <c r="R168" s="1"/>
      <c r="S168" s="27"/>
      <c r="T168" s="1"/>
      <c r="U168" s="1"/>
      <c r="V168" s="27"/>
      <c r="W168" s="1"/>
      <c r="X168" s="1"/>
      <c r="Y168" s="27"/>
      <c r="Z168" s="1"/>
      <c r="AA168" s="1"/>
      <c r="AB168" s="27"/>
      <c r="AC168" s="1"/>
      <c r="AD168" s="1"/>
      <c r="AE168" s="27"/>
      <c r="AF168" s="1"/>
      <c r="AG168" s="1"/>
      <c r="AH168" s="27"/>
      <c r="AI168" s="1">
        <f>15-15</f>
        <v>0</v>
      </c>
      <c r="AJ168" s="1">
        <v>0</v>
      </c>
      <c r="AK168" s="1"/>
      <c r="AL168" s="1">
        <f>9.8-9.8</f>
        <v>0</v>
      </c>
      <c r="AM168" s="1"/>
      <c r="AN168" s="1"/>
      <c r="AO168" s="1"/>
      <c r="AP168" s="40"/>
      <c r="AQ168" s="27"/>
      <c r="AR168" s="21"/>
      <c r="AS168" s="24"/>
    </row>
    <row r="169" spans="1:45" ht="15.75" customHeight="1" x14ac:dyDescent="0.25">
      <c r="A169" s="101"/>
      <c r="B169" s="101"/>
      <c r="C169" s="101"/>
      <c r="D169" s="26" t="s">
        <v>21</v>
      </c>
      <c r="E169" s="1">
        <f t="shared" si="248"/>
        <v>0</v>
      </c>
      <c r="F169" s="1">
        <f t="shared" si="248"/>
        <v>0</v>
      </c>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40"/>
      <c r="AQ169" s="40"/>
      <c r="AR169" s="24"/>
      <c r="AS169" s="24"/>
    </row>
    <row r="170" spans="1:45" ht="12.6" customHeight="1" x14ac:dyDescent="0.25">
      <c r="A170" s="101" t="s">
        <v>64</v>
      </c>
      <c r="B170" s="101" t="s">
        <v>97</v>
      </c>
      <c r="C170" s="101" t="s">
        <v>152</v>
      </c>
      <c r="D170" s="26" t="s">
        <v>3</v>
      </c>
      <c r="E170" s="1">
        <f t="shared" si="248"/>
        <v>290.10000000000002</v>
      </c>
      <c r="F170" s="1">
        <f t="shared" si="248"/>
        <v>164.8</v>
      </c>
      <c r="G170" s="1">
        <f>F170/E170*100</f>
        <v>56.807997242330231</v>
      </c>
      <c r="H170" s="1">
        <f>H171+H172+H173+H174</f>
        <v>0</v>
      </c>
      <c r="I170" s="1"/>
      <c r="J170" s="27"/>
      <c r="K170" s="1">
        <f t="shared" ref="K170:AO170" si="250">K171+K172+K173+K174</f>
        <v>0</v>
      </c>
      <c r="L170" s="1"/>
      <c r="M170" s="27"/>
      <c r="N170" s="1">
        <f t="shared" si="250"/>
        <v>0</v>
      </c>
      <c r="O170" s="1"/>
      <c r="P170" s="27"/>
      <c r="Q170" s="1">
        <f t="shared" si="250"/>
        <v>0</v>
      </c>
      <c r="R170" s="1"/>
      <c r="S170" s="27"/>
      <c r="T170" s="1">
        <f t="shared" si="250"/>
        <v>0</v>
      </c>
      <c r="U170" s="1"/>
      <c r="V170" s="27"/>
      <c r="W170" s="1">
        <f t="shared" si="250"/>
        <v>0</v>
      </c>
      <c r="X170" s="1"/>
      <c r="Y170" s="27"/>
      <c r="Z170" s="1">
        <f t="shared" si="250"/>
        <v>0</v>
      </c>
      <c r="AA170" s="1"/>
      <c r="AB170" s="27"/>
      <c r="AC170" s="1">
        <f t="shared" si="250"/>
        <v>186.5</v>
      </c>
      <c r="AD170" s="1">
        <f t="shared" si="250"/>
        <v>186.5</v>
      </c>
      <c r="AE170" s="1">
        <f>AD170/AC170*100</f>
        <v>100</v>
      </c>
      <c r="AF170" s="1">
        <f t="shared" si="250"/>
        <v>0</v>
      </c>
      <c r="AG170" s="1">
        <f t="shared" si="250"/>
        <v>-21.7</v>
      </c>
      <c r="AH170" s="1"/>
      <c r="AI170" s="1">
        <f t="shared" si="250"/>
        <v>103.6</v>
      </c>
      <c r="AJ170" s="1">
        <f t="shared" si="250"/>
        <v>0</v>
      </c>
      <c r="AK170" s="1"/>
      <c r="AL170" s="1">
        <f t="shared" si="250"/>
        <v>0</v>
      </c>
      <c r="AM170" s="1">
        <f t="shared" si="250"/>
        <v>0</v>
      </c>
      <c r="AN170" s="1" t="e">
        <f>AM170/AL170*100</f>
        <v>#DIV/0!</v>
      </c>
      <c r="AO170" s="1">
        <f t="shared" si="250"/>
        <v>0</v>
      </c>
      <c r="AP170" s="1"/>
      <c r="AQ170" s="27"/>
      <c r="AR170" s="24"/>
      <c r="AS170" s="24"/>
    </row>
    <row r="171" spans="1:45" ht="13.15" customHeight="1" x14ac:dyDescent="0.25">
      <c r="A171" s="101"/>
      <c r="B171" s="101"/>
      <c r="C171" s="101"/>
      <c r="D171" s="26" t="s">
        <v>20</v>
      </c>
      <c r="E171" s="1">
        <f t="shared" si="248"/>
        <v>0</v>
      </c>
      <c r="F171" s="1">
        <f t="shared" si="248"/>
        <v>0</v>
      </c>
      <c r="G171" s="1"/>
      <c r="H171" s="1"/>
      <c r="I171" s="1"/>
      <c r="J171" s="27"/>
      <c r="K171" s="1"/>
      <c r="L171" s="1"/>
      <c r="M171" s="27"/>
      <c r="N171" s="1"/>
      <c r="O171" s="1"/>
      <c r="P171" s="27"/>
      <c r="Q171" s="1"/>
      <c r="R171" s="1"/>
      <c r="S171" s="27"/>
      <c r="T171" s="1"/>
      <c r="U171" s="1"/>
      <c r="V171" s="27"/>
      <c r="W171" s="1"/>
      <c r="X171" s="1"/>
      <c r="Y171" s="27"/>
      <c r="Z171" s="1"/>
      <c r="AA171" s="1"/>
      <c r="AB171" s="27"/>
      <c r="AC171" s="1"/>
      <c r="AD171" s="1"/>
      <c r="AE171" s="1"/>
      <c r="AF171" s="1"/>
      <c r="AG171" s="1"/>
      <c r="AH171" s="1"/>
      <c r="AI171" s="1"/>
      <c r="AJ171" s="1"/>
      <c r="AK171" s="1"/>
      <c r="AL171" s="1"/>
      <c r="AM171" s="1"/>
      <c r="AN171" s="1"/>
      <c r="AO171" s="1"/>
      <c r="AP171" s="1"/>
      <c r="AQ171" s="27"/>
      <c r="AR171" s="24"/>
      <c r="AS171" s="24"/>
    </row>
    <row r="172" spans="1:45" ht="24" x14ac:dyDescent="0.25">
      <c r="A172" s="101"/>
      <c r="B172" s="101"/>
      <c r="C172" s="101"/>
      <c r="D172" s="26" t="s">
        <v>4</v>
      </c>
      <c r="E172" s="1">
        <f t="shared" si="248"/>
        <v>0</v>
      </c>
      <c r="F172" s="1">
        <f t="shared" si="248"/>
        <v>0</v>
      </c>
      <c r="G172" s="1"/>
      <c r="H172" s="1"/>
      <c r="I172" s="1"/>
      <c r="J172" s="27"/>
      <c r="K172" s="1"/>
      <c r="L172" s="1"/>
      <c r="M172" s="27"/>
      <c r="N172" s="1"/>
      <c r="O172" s="1"/>
      <c r="P172" s="27"/>
      <c r="Q172" s="1"/>
      <c r="R172" s="1"/>
      <c r="S172" s="27"/>
      <c r="T172" s="1"/>
      <c r="U172" s="1"/>
      <c r="V172" s="27"/>
      <c r="W172" s="1"/>
      <c r="X172" s="1"/>
      <c r="Y172" s="27"/>
      <c r="Z172" s="1"/>
      <c r="AA172" s="1"/>
      <c r="AB172" s="27"/>
      <c r="AC172" s="1"/>
      <c r="AD172" s="1"/>
      <c r="AE172" s="1"/>
      <c r="AF172" s="1"/>
      <c r="AG172" s="1"/>
      <c r="AH172" s="1"/>
      <c r="AI172" s="1"/>
      <c r="AJ172" s="1"/>
      <c r="AK172" s="1"/>
      <c r="AL172" s="1"/>
      <c r="AM172" s="1"/>
      <c r="AN172" s="1"/>
      <c r="AO172" s="1"/>
      <c r="AP172" s="40"/>
      <c r="AQ172" s="27"/>
      <c r="AR172" s="24"/>
      <c r="AS172" s="24"/>
    </row>
    <row r="173" spans="1:45" ht="36" x14ac:dyDescent="0.25">
      <c r="A173" s="101"/>
      <c r="B173" s="101"/>
      <c r="C173" s="101"/>
      <c r="D173" s="26" t="s">
        <v>43</v>
      </c>
      <c r="E173" s="1">
        <f t="shared" si="248"/>
        <v>290.10000000000002</v>
      </c>
      <c r="F173" s="1">
        <f t="shared" si="248"/>
        <v>164.8</v>
      </c>
      <c r="G173" s="1">
        <f t="shared" ref="G173" si="251">F173/E173*100</f>
        <v>56.807997242330231</v>
      </c>
      <c r="H173" s="1"/>
      <c r="I173" s="1"/>
      <c r="J173" s="27"/>
      <c r="K173" s="1"/>
      <c r="L173" s="1"/>
      <c r="M173" s="27"/>
      <c r="N173" s="1"/>
      <c r="O173" s="1"/>
      <c r="P173" s="27"/>
      <c r="Q173" s="1"/>
      <c r="R173" s="1"/>
      <c r="S173" s="27"/>
      <c r="T173" s="1"/>
      <c r="U173" s="1"/>
      <c r="V173" s="27"/>
      <c r="W173" s="1"/>
      <c r="X173" s="1"/>
      <c r="Y173" s="27"/>
      <c r="Z173" s="1"/>
      <c r="AA173" s="1"/>
      <c r="AB173" s="27"/>
      <c r="AC173" s="1">
        <f>56.5+130</f>
        <v>186.5</v>
      </c>
      <c r="AD173" s="1">
        <v>186.5</v>
      </c>
      <c r="AE173" s="1">
        <f t="shared" ref="AE173" si="252">AD173/AC173*100</f>
        <v>100</v>
      </c>
      <c r="AF173" s="1"/>
      <c r="AG173" s="1">
        <v>-21.7</v>
      </c>
      <c r="AH173" s="1"/>
      <c r="AI173" s="1">
        <v>103.6</v>
      </c>
      <c r="AJ173" s="1">
        <v>0</v>
      </c>
      <c r="AK173" s="1"/>
      <c r="AL173" s="1"/>
      <c r="AM173" s="1"/>
      <c r="AN173" s="1" t="e">
        <f t="shared" ref="AN173" si="253">AM173/AL173*100</f>
        <v>#DIV/0!</v>
      </c>
      <c r="AO173" s="1"/>
      <c r="AP173" s="40"/>
      <c r="AQ173" s="27"/>
      <c r="AR173" s="21" t="s">
        <v>211</v>
      </c>
      <c r="AS173" s="21" t="s">
        <v>234</v>
      </c>
    </row>
    <row r="174" spans="1:45" ht="13.15" customHeight="1" x14ac:dyDescent="0.25">
      <c r="A174" s="101"/>
      <c r="B174" s="101"/>
      <c r="C174" s="101"/>
      <c r="D174" s="26" t="s">
        <v>21</v>
      </c>
      <c r="E174" s="1">
        <f t="shared" si="248"/>
        <v>0</v>
      </c>
      <c r="F174" s="1">
        <f t="shared" si="248"/>
        <v>0</v>
      </c>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40"/>
      <c r="AQ174" s="40"/>
      <c r="AR174" s="24"/>
      <c r="AS174" s="24"/>
    </row>
    <row r="175" spans="1:45" ht="13.15" customHeight="1" x14ac:dyDescent="0.25">
      <c r="A175" s="101" t="s">
        <v>65</v>
      </c>
      <c r="B175" s="101" t="s">
        <v>98</v>
      </c>
      <c r="C175" s="101" t="s">
        <v>152</v>
      </c>
      <c r="D175" s="26" t="s">
        <v>3</v>
      </c>
      <c r="E175" s="1">
        <f t="shared" si="248"/>
        <v>249.8</v>
      </c>
      <c r="F175" s="1">
        <f t="shared" si="248"/>
        <v>166.6</v>
      </c>
      <c r="G175" s="1">
        <f>F175/E175*100</f>
        <v>66.693354683747003</v>
      </c>
      <c r="H175" s="1">
        <f>H176+H177+H178+H179</f>
        <v>0</v>
      </c>
      <c r="I175" s="1"/>
      <c r="J175" s="27"/>
      <c r="K175" s="1">
        <f t="shared" ref="K175:AO175" si="254">K176+K177+K178+K179</f>
        <v>128</v>
      </c>
      <c r="L175" s="1">
        <f t="shared" si="254"/>
        <v>0</v>
      </c>
      <c r="M175" s="1">
        <f>L175/K175*100</f>
        <v>0</v>
      </c>
      <c r="N175" s="1">
        <f t="shared" si="254"/>
        <v>0</v>
      </c>
      <c r="O175" s="1">
        <f t="shared" si="254"/>
        <v>128</v>
      </c>
      <c r="P175" s="1"/>
      <c r="Q175" s="1">
        <f t="shared" si="254"/>
        <v>38.6</v>
      </c>
      <c r="R175" s="1">
        <f t="shared" si="254"/>
        <v>38.6</v>
      </c>
      <c r="S175" s="1">
        <f>R175/Q175*100</f>
        <v>100</v>
      </c>
      <c r="T175" s="1">
        <f t="shared" si="254"/>
        <v>0</v>
      </c>
      <c r="U175" s="1">
        <f t="shared" si="254"/>
        <v>0</v>
      </c>
      <c r="V175" s="1"/>
      <c r="W175" s="1">
        <f t="shared" si="254"/>
        <v>0</v>
      </c>
      <c r="X175" s="1">
        <f t="shared" si="254"/>
        <v>0</v>
      </c>
      <c r="Y175" s="27"/>
      <c r="Z175" s="1">
        <f t="shared" si="254"/>
        <v>0</v>
      </c>
      <c r="AA175" s="1"/>
      <c r="AB175" s="27"/>
      <c r="AC175" s="1">
        <f t="shared" si="254"/>
        <v>0</v>
      </c>
      <c r="AD175" s="1"/>
      <c r="AE175" s="27"/>
      <c r="AF175" s="1">
        <f t="shared" si="254"/>
        <v>0</v>
      </c>
      <c r="AG175" s="1">
        <f t="shared" si="254"/>
        <v>0</v>
      </c>
      <c r="AH175" s="1"/>
      <c r="AI175" s="1">
        <f t="shared" si="254"/>
        <v>0</v>
      </c>
      <c r="AJ175" s="1">
        <f t="shared" si="254"/>
        <v>0</v>
      </c>
      <c r="AK175" s="1"/>
      <c r="AL175" s="1">
        <f t="shared" si="254"/>
        <v>0</v>
      </c>
      <c r="AM175" s="1">
        <f t="shared" si="254"/>
        <v>0</v>
      </c>
      <c r="AN175" s="27"/>
      <c r="AO175" s="1">
        <f t="shared" si="254"/>
        <v>83.2</v>
      </c>
      <c r="AP175" s="1"/>
      <c r="AQ175" s="1">
        <f>AP175/AO175*100</f>
        <v>0</v>
      </c>
      <c r="AR175" s="24"/>
      <c r="AS175" s="24"/>
    </row>
    <row r="176" spans="1:45" x14ac:dyDescent="0.25">
      <c r="A176" s="101"/>
      <c r="B176" s="101"/>
      <c r="C176" s="101"/>
      <c r="D176" s="26" t="s">
        <v>20</v>
      </c>
      <c r="E176" s="1">
        <f t="shared" si="248"/>
        <v>0</v>
      </c>
      <c r="F176" s="1">
        <f t="shared" si="248"/>
        <v>0</v>
      </c>
      <c r="G176" s="1"/>
      <c r="H176" s="1"/>
      <c r="I176" s="1"/>
      <c r="J176" s="27"/>
      <c r="K176" s="1"/>
      <c r="L176" s="1"/>
      <c r="M176" s="1"/>
      <c r="N176" s="1"/>
      <c r="O176" s="1"/>
      <c r="P176" s="1"/>
      <c r="Q176" s="1"/>
      <c r="R176" s="1"/>
      <c r="S176" s="1"/>
      <c r="T176" s="1"/>
      <c r="U176" s="1"/>
      <c r="V176" s="1"/>
      <c r="W176" s="1"/>
      <c r="X176" s="1"/>
      <c r="Y176" s="27"/>
      <c r="Z176" s="1"/>
      <c r="AA176" s="1"/>
      <c r="AB176" s="27"/>
      <c r="AC176" s="1"/>
      <c r="AD176" s="1"/>
      <c r="AE176" s="27"/>
      <c r="AF176" s="1"/>
      <c r="AG176" s="1"/>
      <c r="AH176" s="1"/>
      <c r="AI176" s="1"/>
      <c r="AJ176" s="1"/>
      <c r="AK176" s="1"/>
      <c r="AL176" s="1"/>
      <c r="AM176" s="1"/>
      <c r="AN176" s="27"/>
      <c r="AO176" s="1"/>
      <c r="AP176" s="1"/>
      <c r="AQ176" s="1"/>
      <c r="AR176" s="24"/>
      <c r="AS176" s="24"/>
    </row>
    <row r="177" spans="1:45" ht="24" x14ac:dyDescent="0.25">
      <c r="A177" s="101"/>
      <c r="B177" s="101"/>
      <c r="C177" s="101"/>
      <c r="D177" s="26" t="s">
        <v>4</v>
      </c>
      <c r="E177" s="1">
        <f t="shared" si="248"/>
        <v>0</v>
      </c>
      <c r="F177" s="1">
        <f t="shared" si="248"/>
        <v>0</v>
      </c>
      <c r="G177" s="1"/>
      <c r="H177" s="1"/>
      <c r="I177" s="1"/>
      <c r="J177" s="27"/>
      <c r="K177" s="1"/>
      <c r="L177" s="1"/>
      <c r="M177" s="1"/>
      <c r="N177" s="1"/>
      <c r="O177" s="1"/>
      <c r="P177" s="1"/>
      <c r="Q177" s="1"/>
      <c r="R177" s="1"/>
      <c r="S177" s="1"/>
      <c r="T177" s="1"/>
      <c r="U177" s="1"/>
      <c r="V177" s="1"/>
      <c r="W177" s="1"/>
      <c r="X177" s="1"/>
      <c r="Y177" s="27"/>
      <c r="Z177" s="1"/>
      <c r="AA177" s="1"/>
      <c r="AB177" s="27"/>
      <c r="AC177" s="1"/>
      <c r="AD177" s="1"/>
      <c r="AE177" s="27"/>
      <c r="AF177" s="1"/>
      <c r="AG177" s="1"/>
      <c r="AH177" s="1"/>
      <c r="AI177" s="1"/>
      <c r="AJ177" s="1"/>
      <c r="AK177" s="1"/>
      <c r="AL177" s="1"/>
      <c r="AM177" s="1"/>
      <c r="AN177" s="27"/>
      <c r="AO177" s="1"/>
      <c r="AP177" s="40"/>
      <c r="AQ177" s="1"/>
      <c r="AR177" s="24"/>
      <c r="AS177" s="24"/>
    </row>
    <row r="178" spans="1:45" ht="60" x14ac:dyDescent="0.25">
      <c r="A178" s="101"/>
      <c r="B178" s="101"/>
      <c r="C178" s="101"/>
      <c r="D178" s="26" t="s">
        <v>43</v>
      </c>
      <c r="E178" s="1">
        <f t="shared" si="248"/>
        <v>249.8</v>
      </c>
      <c r="F178" s="1">
        <f t="shared" si="248"/>
        <v>166.6</v>
      </c>
      <c r="G178" s="1">
        <f t="shared" ref="G178" si="255">F178/E178*100</f>
        <v>66.693354683747003</v>
      </c>
      <c r="H178" s="1"/>
      <c r="I178" s="1"/>
      <c r="J178" s="27"/>
      <c r="K178" s="1">
        <v>128</v>
      </c>
      <c r="L178" s="1">
        <v>0</v>
      </c>
      <c r="M178" s="1">
        <f t="shared" ref="M178" si="256">L178/K178*100</f>
        <v>0</v>
      </c>
      <c r="N178" s="1">
        <f>106-106</f>
        <v>0</v>
      </c>
      <c r="O178" s="1">
        <v>128</v>
      </c>
      <c r="P178" s="1"/>
      <c r="Q178" s="1">
        <v>38.6</v>
      </c>
      <c r="R178" s="1">
        <v>38.6</v>
      </c>
      <c r="S178" s="1">
        <f t="shared" ref="S178" si="257">R178/Q178*100</f>
        <v>100</v>
      </c>
      <c r="T178" s="1"/>
      <c r="U178" s="1"/>
      <c r="V178" s="1"/>
      <c r="W178" s="1"/>
      <c r="X178" s="1"/>
      <c r="Y178" s="27"/>
      <c r="Z178" s="1"/>
      <c r="AA178" s="1"/>
      <c r="AB178" s="27"/>
      <c r="AC178" s="1"/>
      <c r="AD178" s="1"/>
      <c r="AE178" s="27"/>
      <c r="AF178" s="1"/>
      <c r="AG178" s="1"/>
      <c r="AH178" s="1"/>
      <c r="AI178" s="1"/>
      <c r="AJ178" s="1"/>
      <c r="AK178" s="1"/>
      <c r="AL178" s="1"/>
      <c r="AM178" s="1"/>
      <c r="AN178" s="27"/>
      <c r="AO178" s="1">
        <v>83.2</v>
      </c>
      <c r="AP178" s="40"/>
      <c r="AQ178" s="1">
        <f t="shared" ref="AQ178" si="258">AP178/AO178*100</f>
        <v>0</v>
      </c>
      <c r="AR178" s="21" t="s">
        <v>173</v>
      </c>
      <c r="AS178" s="21"/>
    </row>
    <row r="179" spans="1:45" ht="12.6" customHeight="1" x14ac:dyDescent="0.25">
      <c r="A179" s="101"/>
      <c r="B179" s="101"/>
      <c r="C179" s="101"/>
      <c r="D179" s="26" t="s">
        <v>21</v>
      </c>
      <c r="E179" s="1">
        <f t="shared" si="248"/>
        <v>0</v>
      </c>
      <c r="F179" s="1">
        <f t="shared" si="248"/>
        <v>0</v>
      </c>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40"/>
      <c r="AQ179" s="1"/>
      <c r="AR179" s="24"/>
      <c r="AS179" s="24"/>
    </row>
    <row r="180" spans="1:45" ht="12" customHeight="1" x14ac:dyDescent="0.25">
      <c r="A180" s="101" t="s">
        <v>66</v>
      </c>
      <c r="B180" s="101" t="s">
        <v>142</v>
      </c>
      <c r="C180" s="101" t="s">
        <v>152</v>
      </c>
      <c r="D180" s="26" t="s">
        <v>3</v>
      </c>
      <c r="E180" s="1">
        <f t="shared" si="248"/>
        <v>0</v>
      </c>
      <c r="F180" s="1">
        <f t="shared" si="248"/>
        <v>0</v>
      </c>
      <c r="G180" s="1"/>
      <c r="H180" s="1">
        <f>H181+H182+H183+H184</f>
        <v>0</v>
      </c>
      <c r="I180" s="1">
        <f>I181+I182+I183+I184</f>
        <v>0</v>
      </c>
      <c r="J180" s="1"/>
      <c r="K180" s="1">
        <f t="shared" ref="K180:AO180" si="259">K181+K182+K183+K184</f>
        <v>0</v>
      </c>
      <c r="L180" s="1">
        <f t="shared" si="259"/>
        <v>0</v>
      </c>
      <c r="M180" s="1"/>
      <c r="N180" s="1">
        <f t="shared" si="259"/>
        <v>0</v>
      </c>
      <c r="O180" s="1">
        <f t="shared" si="259"/>
        <v>0</v>
      </c>
      <c r="P180" s="1"/>
      <c r="Q180" s="1">
        <f t="shared" si="259"/>
        <v>0</v>
      </c>
      <c r="R180" s="1">
        <f t="shared" si="259"/>
        <v>0</v>
      </c>
      <c r="S180" s="1"/>
      <c r="T180" s="1">
        <f t="shared" si="259"/>
        <v>0</v>
      </c>
      <c r="U180" s="1">
        <f t="shared" si="259"/>
        <v>0</v>
      </c>
      <c r="V180" s="1"/>
      <c r="W180" s="1">
        <f t="shared" si="259"/>
        <v>0</v>
      </c>
      <c r="X180" s="1">
        <f t="shared" si="259"/>
        <v>0</v>
      </c>
      <c r="Y180" s="1"/>
      <c r="Z180" s="1">
        <f t="shared" si="259"/>
        <v>0</v>
      </c>
      <c r="AA180" s="1">
        <f t="shared" si="259"/>
        <v>0</v>
      </c>
      <c r="AB180" s="1"/>
      <c r="AC180" s="1">
        <f t="shared" si="259"/>
        <v>0</v>
      </c>
      <c r="AD180" s="1">
        <f t="shared" si="259"/>
        <v>0</v>
      </c>
      <c r="AE180" s="1"/>
      <c r="AF180" s="1">
        <f t="shared" si="259"/>
        <v>0</v>
      </c>
      <c r="AG180" s="1">
        <f t="shared" si="259"/>
        <v>0</v>
      </c>
      <c r="AH180" s="1"/>
      <c r="AI180" s="1">
        <f t="shared" si="259"/>
        <v>0</v>
      </c>
      <c r="AJ180" s="1">
        <f t="shared" si="259"/>
        <v>0</v>
      </c>
      <c r="AK180" s="1" t="e">
        <f>AJ180/AI180*100</f>
        <v>#DIV/0!</v>
      </c>
      <c r="AL180" s="1">
        <f t="shared" si="259"/>
        <v>0</v>
      </c>
      <c r="AM180" s="1">
        <f t="shared" si="259"/>
        <v>0</v>
      </c>
      <c r="AN180" s="1" t="e">
        <f>AM180/AL180*100</f>
        <v>#DIV/0!</v>
      </c>
      <c r="AO180" s="1">
        <f t="shared" si="259"/>
        <v>0</v>
      </c>
      <c r="AP180" s="1"/>
      <c r="AQ180" s="1" t="e">
        <f>AP180/AO180*100</f>
        <v>#DIV/0!</v>
      </c>
      <c r="AR180" s="24"/>
      <c r="AS180" s="24"/>
    </row>
    <row r="181" spans="1:45" ht="13.15" customHeight="1" x14ac:dyDescent="0.25">
      <c r="A181" s="101"/>
      <c r="B181" s="101"/>
      <c r="C181" s="101"/>
      <c r="D181" s="26" t="s">
        <v>20</v>
      </c>
      <c r="E181" s="1">
        <f t="shared" ref="E181:F199" si="260">H181+K181+N181+Q181+T181+W181+Z181+AC181+AF181+AI181+AL181+AO181</f>
        <v>0</v>
      </c>
      <c r="F181" s="1">
        <f t="shared" si="260"/>
        <v>0</v>
      </c>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24"/>
      <c r="AS181" s="24"/>
    </row>
    <row r="182" spans="1:45" ht="24" x14ac:dyDescent="0.25">
      <c r="A182" s="101"/>
      <c r="B182" s="101"/>
      <c r="C182" s="101"/>
      <c r="D182" s="26" t="s">
        <v>4</v>
      </c>
      <c r="E182" s="1">
        <f t="shared" si="260"/>
        <v>0</v>
      </c>
      <c r="F182" s="1">
        <f t="shared" si="260"/>
        <v>0</v>
      </c>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40"/>
      <c r="AQ182" s="1"/>
      <c r="AR182" s="24"/>
      <c r="AS182" s="24"/>
    </row>
    <row r="183" spans="1:45" x14ac:dyDescent="0.25">
      <c r="A183" s="101"/>
      <c r="B183" s="101"/>
      <c r="C183" s="101"/>
      <c r="D183" s="26" t="s">
        <v>43</v>
      </c>
      <c r="E183" s="1">
        <f t="shared" si="260"/>
        <v>0</v>
      </c>
      <c r="F183" s="1">
        <f t="shared" si="260"/>
        <v>0</v>
      </c>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t="e">
        <f t="shared" ref="AK183" si="261">AJ183/AI183*100</f>
        <v>#DIV/0!</v>
      </c>
      <c r="AL183" s="1"/>
      <c r="AM183" s="1"/>
      <c r="AN183" s="1" t="e">
        <f t="shared" ref="AN183" si="262">AM183/AL183*100</f>
        <v>#DIV/0!</v>
      </c>
      <c r="AO183" s="1"/>
      <c r="AP183" s="40"/>
      <c r="AQ183" s="1" t="e">
        <f t="shared" ref="AQ183" si="263">AP183/AO183*100</f>
        <v>#DIV/0!</v>
      </c>
      <c r="AR183" s="21"/>
      <c r="AS183" s="21"/>
    </row>
    <row r="184" spans="1:45" ht="13.9" customHeight="1" x14ac:dyDescent="0.25">
      <c r="A184" s="101"/>
      <c r="B184" s="101"/>
      <c r="C184" s="101"/>
      <c r="D184" s="26" t="s">
        <v>21</v>
      </c>
      <c r="E184" s="1">
        <f t="shared" si="260"/>
        <v>0</v>
      </c>
      <c r="F184" s="1">
        <f t="shared" si="260"/>
        <v>0</v>
      </c>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40"/>
      <c r="AQ184" s="40"/>
      <c r="AR184" s="24"/>
      <c r="AS184" s="24"/>
    </row>
    <row r="185" spans="1:45" ht="13.15" customHeight="1" x14ac:dyDescent="0.25">
      <c r="A185" s="101" t="s">
        <v>67</v>
      </c>
      <c r="B185" s="101" t="s">
        <v>151</v>
      </c>
      <c r="C185" s="101" t="s">
        <v>168</v>
      </c>
      <c r="D185" s="26" t="s">
        <v>3</v>
      </c>
      <c r="E185" s="1">
        <f t="shared" si="260"/>
        <v>38404.5</v>
      </c>
      <c r="F185" s="1">
        <f t="shared" si="260"/>
        <v>25614.299999999996</v>
      </c>
      <c r="G185" s="1">
        <f>F185/E185*100</f>
        <v>66.696090301917735</v>
      </c>
      <c r="H185" s="1">
        <f>H186+H187+H188+H189</f>
        <v>469.9</v>
      </c>
      <c r="I185" s="1">
        <f>I186+I187+I188+I189</f>
        <v>448.09999999999997</v>
      </c>
      <c r="J185" s="1">
        <f>I185/H185*100</f>
        <v>95.360715045754418</v>
      </c>
      <c r="K185" s="1">
        <f t="shared" ref="K185:AO185" si="264">K186+K187+K188+K189</f>
        <v>4660.8</v>
      </c>
      <c r="L185" s="1">
        <f t="shared" si="264"/>
        <v>4666.3</v>
      </c>
      <c r="M185" s="1">
        <f t="shared" ref="M185:M188" si="265">L185/K185*100</f>
        <v>100.11800549261929</v>
      </c>
      <c r="N185" s="1">
        <f t="shared" si="264"/>
        <v>3384</v>
      </c>
      <c r="O185" s="1">
        <f t="shared" si="264"/>
        <v>2979.7</v>
      </c>
      <c r="P185" s="1">
        <f t="shared" ref="P185:P188" si="266">O185/N185*100</f>
        <v>88.052600472813239</v>
      </c>
      <c r="Q185" s="1">
        <f t="shared" si="264"/>
        <v>2563.7999999999997</v>
      </c>
      <c r="R185" s="1">
        <f t="shared" si="264"/>
        <v>2587.5</v>
      </c>
      <c r="S185" s="1">
        <f>R185/Q185*100</f>
        <v>100.92440908027149</v>
      </c>
      <c r="T185" s="1">
        <f t="shared" si="264"/>
        <v>2548.7000000000003</v>
      </c>
      <c r="U185" s="1">
        <f t="shared" si="264"/>
        <v>2398.9</v>
      </c>
      <c r="V185" s="1">
        <f>U185/T185*100</f>
        <v>94.122493820379006</v>
      </c>
      <c r="W185" s="1">
        <f t="shared" si="264"/>
        <v>3568.6</v>
      </c>
      <c r="X185" s="1">
        <f t="shared" si="264"/>
        <v>2985.8999999999996</v>
      </c>
      <c r="Y185" s="1">
        <f>X185/W185*100</f>
        <v>83.671467802499564</v>
      </c>
      <c r="Z185" s="1">
        <f t="shared" si="264"/>
        <v>4002.4</v>
      </c>
      <c r="AA185" s="1">
        <f t="shared" si="264"/>
        <v>3953.2</v>
      </c>
      <c r="AB185" s="1">
        <f>AA185/Z185*100</f>
        <v>98.770737557465509</v>
      </c>
      <c r="AC185" s="1">
        <f t="shared" si="264"/>
        <v>2977.7</v>
      </c>
      <c r="AD185" s="1">
        <f t="shared" si="264"/>
        <v>3184.7999999999997</v>
      </c>
      <c r="AE185" s="1">
        <f>AD185/AC185*100</f>
        <v>106.95503240756288</v>
      </c>
      <c r="AF185" s="1">
        <f t="shared" si="264"/>
        <v>2527.9</v>
      </c>
      <c r="AG185" s="1">
        <f t="shared" si="264"/>
        <v>2409.8999999999996</v>
      </c>
      <c r="AH185" s="1">
        <f>AG185/AF185*100</f>
        <v>95.332093832825649</v>
      </c>
      <c r="AI185" s="1">
        <f t="shared" si="264"/>
        <v>2566.1</v>
      </c>
      <c r="AJ185" s="1">
        <f t="shared" si="264"/>
        <v>0</v>
      </c>
      <c r="AK185" s="1">
        <f>AJ185/AI185*100</f>
        <v>0</v>
      </c>
      <c r="AL185" s="1">
        <f t="shared" si="264"/>
        <v>2357.8000000000002</v>
      </c>
      <c r="AM185" s="1">
        <f t="shared" si="264"/>
        <v>0</v>
      </c>
      <c r="AN185" s="1">
        <f>AM185/AL185*100</f>
        <v>0</v>
      </c>
      <c r="AO185" s="1">
        <f t="shared" si="264"/>
        <v>6776.7999999999993</v>
      </c>
      <c r="AP185" s="1"/>
      <c r="AQ185" s="1">
        <f>AP185/AO185*100</f>
        <v>0</v>
      </c>
      <c r="AR185" s="24"/>
      <c r="AS185" s="24"/>
    </row>
    <row r="186" spans="1:45" x14ac:dyDescent="0.25">
      <c r="A186" s="101"/>
      <c r="B186" s="101"/>
      <c r="C186" s="101"/>
      <c r="D186" s="26" t="s">
        <v>20</v>
      </c>
      <c r="E186" s="1">
        <f t="shared" si="260"/>
        <v>0</v>
      </c>
      <c r="F186" s="1">
        <f t="shared" si="260"/>
        <v>0</v>
      </c>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24"/>
      <c r="AS186" s="24"/>
    </row>
    <row r="187" spans="1:45" ht="60" x14ac:dyDescent="0.25">
      <c r="A187" s="101"/>
      <c r="B187" s="101"/>
      <c r="C187" s="101"/>
      <c r="D187" s="26" t="s">
        <v>4</v>
      </c>
      <c r="E187" s="1">
        <f t="shared" si="260"/>
        <v>1359</v>
      </c>
      <c r="F187" s="1">
        <f t="shared" si="260"/>
        <v>917.30000000000018</v>
      </c>
      <c r="G187" s="1">
        <f t="shared" ref="G187:G188" si="267">F187/E187*100</f>
        <v>67.498160412067705</v>
      </c>
      <c r="H187" s="1">
        <v>44</v>
      </c>
      <c r="I187" s="1">
        <v>22.2</v>
      </c>
      <c r="J187" s="1">
        <f t="shared" ref="J187:J188" si="268">I187/H187*100</f>
        <v>50.454545454545453</v>
      </c>
      <c r="K187" s="1">
        <v>99.8</v>
      </c>
      <c r="L187" s="1">
        <v>105.3</v>
      </c>
      <c r="M187" s="1">
        <f t="shared" si="265"/>
        <v>105.51102204408818</v>
      </c>
      <c r="N187" s="1">
        <f>163.7-57</f>
        <v>106.69999999999999</v>
      </c>
      <c r="O187" s="1">
        <v>99</v>
      </c>
      <c r="P187" s="1">
        <f t="shared" si="266"/>
        <v>92.783505154639187</v>
      </c>
      <c r="Q187" s="1">
        <v>107.1</v>
      </c>
      <c r="R187" s="1">
        <v>130.80000000000001</v>
      </c>
      <c r="S187" s="1">
        <f t="shared" ref="S187:S188" si="269">R187/Q187*100</f>
        <v>122.12885154061625</v>
      </c>
      <c r="T187" s="1">
        <v>99.8</v>
      </c>
      <c r="U187" s="1">
        <v>67.3</v>
      </c>
      <c r="V187" s="1">
        <f t="shared" ref="V187:V188" si="270">U187/T187*100</f>
        <v>67.434869739478955</v>
      </c>
      <c r="W187" s="1">
        <v>99.6</v>
      </c>
      <c r="X187" s="1">
        <v>100.7</v>
      </c>
      <c r="Y187" s="1">
        <f t="shared" ref="Y187:Y188" si="271">X187/W187*100</f>
        <v>101.10441767068275</v>
      </c>
      <c r="Z187" s="1">
        <v>107.1</v>
      </c>
      <c r="AA187" s="1">
        <v>102.7</v>
      </c>
      <c r="AB187" s="1">
        <f t="shared" ref="AB187:AB188" si="272">AA187/Z187*100</f>
        <v>95.891690009337069</v>
      </c>
      <c r="AC187" s="1">
        <v>149.69999999999999</v>
      </c>
      <c r="AD187" s="1">
        <v>173.1</v>
      </c>
      <c r="AE187" s="1">
        <f t="shared" ref="AE187:AE188" si="273">AD187/AC187*100</f>
        <v>115.63126252505012</v>
      </c>
      <c r="AF187" s="1">
        <f>99.8-50+85.1</f>
        <v>134.89999999999998</v>
      </c>
      <c r="AG187" s="1">
        <v>116.2</v>
      </c>
      <c r="AH187" s="1">
        <f t="shared" ref="AH187:AH188" si="274">AG187/AF187*100</f>
        <v>86.137879911045232</v>
      </c>
      <c r="AI187" s="1">
        <v>107.1</v>
      </c>
      <c r="AJ187" s="1"/>
      <c r="AK187" s="1">
        <f t="shared" ref="AK187:AK188" si="275">AJ187/AI187*100</f>
        <v>0</v>
      </c>
      <c r="AL187" s="1">
        <f>99.8+57</f>
        <v>156.80000000000001</v>
      </c>
      <c r="AM187" s="1"/>
      <c r="AN187" s="1">
        <f t="shared" ref="AN187:AN188" si="276">AM187/AL187*100</f>
        <v>0</v>
      </c>
      <c r="AO187" s="1">
        <f>181.3+50.2-85.1</f>
        <v>146.4</v>
      </c>
      <c r="AP187" s="40"/>
      <c r="AQ187" s="1">
        <f t="shared" ref="AQ187:AQ188" si="277">AP187/AO187*100</f>
        <v>0</v>
      </c>
      <c r="AR187" s="21" t="s">
        <v>212</v>
      </c>
      <c r="AS187" s="29" t="s">
        <v>179</v>
      </c>
    </row>
    <row r="188" spans="1:45" ht="60" customHeight="1" x14ac:dyDescent="0.25">
      <c r="A188" s="101"/>
      <c r="B188" s="101"/>
      <c r="C188" s="101"/>
      <c r="D188" s="26" t="s">
        <v>43</v>
      </c>
      <c r="E188" s="1">
        <f t="shared" si="260"/>
        <v>37045.5</v>
      </c>
      <c r="F188" s="1">
        <f t="shared" si="260"/>
        <v>24697</v>
      </c>
      <c r="G188" s="1">
        <f t="shared" si="267"/>
        <v>66.666666666666657</v>
      </c>
      <c r="H188" s="1">
        <v>425.9</v>
      </c>
      <c r="I188" s="1">
        <v>425.9</v>
      </c>
      <c r="J188" s="1">
        <f t="shared" si="268"/>
        <v>100</v>
      </c>
      <c r="K188" s="1">
        <v>4561</v>
      </c>
      <c r="L188" s="1">
        <v>4561</v>
      </c>
      <c r="M188" s="1">
        <f t="shared" si="265"/>
        <v>100</v>
      </c>
      <c r="N188" s="1">
        <f>3504-226.7</f>
        <v>3277.3</v>
      </c>
      <c r="O188" s="1">
        <v>2880.7</v>
      </c>
      <c r="P188" s="1">
        <f t="shared" si="266"/>
        <v>87.898575046532201</v>
      </c>
      <c r="Q188" s="1">
        <v>2456.6999999999998</v>
      </c>
      <c r="R188" s="1">
        <v>2456.6999999999998</v>
      </c>
      <c r="S188" s="1">
        <f t="shared" si="269"/>
        <v>100</v>
      </c>
      <c r="T188" s="1">
        <f>2331.6+117.3</f>
        <v>2448.9</v>
      </c>
      <c r="U188" s="1">
        <v>2331.6</v>
      </c>
      <c r="V188" s="1">
        <f t="shared" si="270"/>
        <v>95.210094328065651</v>
      </c>
      <c r="W188" s="1">
        <v>3469</v>
      </c>
      <c r="X188" s="1">
        <v>2885.2</v>
      </c>
      <c r="Y188" s="1">
        <f t="shared" si="271"/>
        <v>83.170942634765055</v>
      </c>
      <c r="Z188" s="1">
        <v>3895.3</v>
      </c>
      <c r="AA188" s="1">
        <v>3850.5</v>
      </c>
      <c r="AB188" s="1">
        <f t="shared" si="272"/>
        <v>98.849896028547221</v>
      </c>
      <c r="AC188" s="1">
        <v>2828</v>
      </c>
      <c r="AD188" s="1">
        <v>3011.7</v>
      </c>
      <c r="AE188" s="1">
        <f t="shared" si="273"/>
        <v>106.49575671852899</v>
      </c>
      <c r="AF188" s="1">
        <f>2393</f>
        <v>2393</v>
      </c>
      <c r="AG188" s="1">
        <v>2293.6999999999998</v>
      </c>
      <c r="AH188" s="1">
        <f t="shared" si="274"/>
        <v>95.8503969912244</v>
      </c>
      <c r="AI188" s="1">
        <v>2459</v>
      </c>
      <c r="AJ188" s="1"/>
      <c r="AK188" s="1">
        <f t="shared" si="275"/>
        <v>0</v>
      </c>
      <c r="AL188" s="1">
        <v>2201</v>
      </c>
      <c r="AM188" s="1"/>
      <c r="AN188" s="1">
        <f t="shared" si="276"/>
        <v>0</v>
      </c>
      <c r="AO188" s="1">
        <f>4264.2+2366.2</f>
        <v>6630.4</v>
      </c>
      <c r="AP188" s="40"/>
      <c r="AQ188" s="1">
        <f t="shared" si="277"/>
        <v>0</v>
      </c>
      <c r="AR188" s="21" t="s">
        <v>213</v>
      </c>
      <c r="AS188" s="28" t="s">
        <v>232</v>
      </c>
    </row>
    <row r="189" spans="1:45" ht="15.75" customHeight="1" x14ac:dyDescent="0.25">
      <c r="A189" s="101"/>
      <c r="B189" s="101"/>
      <c r="C189" s="101"/>
      <c r="D189" s="26" t="s">
        <v>21</v>
      </c>
      <c r="E189" s="1">
        <f t="shared" si="260"/>
        <v>0</v>
      </c>
      <c r="F189" s="1">
        <f t="shared" si="260"/>
        <v>0</v>
      </c>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40"/>
      <c r="AQ189" s="40"/>
      <c r="AR189" s="24"/>
      <c r="AS189" s="24"/>
    </row>
    <row r="190" spans="1:45" ht="15.75" customHeight="1" x14ac:dyDescent="0.25">
      <c r="A190" s="101" t="s">
        <v>68</v>
      </c>
      <c r="B190" s="101" t="s">
        <v>99</v>
      </c>
      <c r="C190" s="101" t="s">
        <v>152</v>
      </c>
      <c r="D190" s="26" t="s">
        <v>3</v>
      </c>
      <c r="E190" s="1">
        <f t="shared" si="260"/>
        <v>0</v>
      </c>
      <c r="F190" s="1">
        <f t="shared" si="260"/>
        <v>0</v>
      </c>
      <c r="G190" s="1"/>
      <c r="H190" s="1">
        <f>H191+H192+H193+H194</f>
        <v>0</v>
      </c>
      <c r="I190" s="1"/>
      <c r="J190" s="1"/>
      <c r="K190" s="1">
        <f t="shared" ref="K190:AO190" si="278">K191+K192+K193+K194</f>
        <v>0</v>
      </c>
      <c r="L190" s="1"/>
      <c r="M190" s="1"/>
      <c r="N190" s="1">
        <f t="shared" si="278"/>
        <v>0</v>
      </c>
      <c r="O190" s="1"/>
      <c r="P190" s="1"/>
      <c r="Q190" s="1">
        <f t="shared" si="278"/>
        <v>0</v>
      </c>
      <c r="R190" s="1"/>
      <c r="S190" s="1"/>
      <c r="T190" s="1">
        <f t="shared" si="278"/>
        <v>0</v>
      </c>
      <c r="U190" s="1"/>
      <c r="V190" s="1"/>
      <c r="W190" s="1">
        <f t="shared" si="278"/>
        <v>0</v>
      </c>
      <c r="X190" s="1"/>
      <c r="Y190" s="1"/>
      <c r="Z190" s="1">
        <f t="shared" si="278"/>
        <v>0</v>
      </c>
      <c r="AA190" s="1"/>
      <c r="AB190" s="1"/>
      <c r="AC190" s="1">
        <f t="shared" si="278"/>
        <v>0</v>
      </c>
      <c r="AD190" s="1"/>
      <c r="AE190" s="1"/>
      <c r="AF190" s="1">
        <f t="shared" si="278"/>
        <v>0</v>
      </c>
      <c r="AG190" s="1"/>
      <c r="AH190" s="1"/>
      <c r="AI190" s="1">
        <f t="shared" si="278"/>
        <v>0</v>
      </c>
      <c r="AJ190" s="1"/>
      <c r="AK190" s="1"/>
      <c r="AL190" s="1">
        <f t="shared" si="278"/>
        <v>0</v>
      </c>
      <c r="AM190" s="1"/>
      <c r="AN190" s="1"/>
      <c r="AO190" s="1">
        <f t="shared" si="278"/>
        <v>0</v>
      </c>
      <c r="AP190" s="1"/>
      <c r="AQ190" s="40"/>
      <c r="AR190" s="24"/>
      <c r="AS190" s="24"/>
    </row>
    <row r="191" spans="1:45" x14ac:dyDescent="0.25">
      <c r="A191" s="101"/>
      <c r="B191" s="101"/>
      <c r="C191" s="101"/>
      <c r="D191" s="26" t="s">
        <v>20</v>
      </c>
      <c r="E191" s="1">
        <f t="shared" si="260"/>
        <v>0</v>
      </c>
      <c r="F191" s="1">
        <f t="shared" si="260"/>
        <v>0</v>
      </c>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40"/>
      <c r="AR191" s="24"/>
      <c r="AS191" s="24"/>
    </row>
    <row r="192" spans="1:45" ht="26.25" customHeight="1" x14ac:dyDescent="0.25">
      <c r="A192" s="101"/>
      <c r="B192" s="101"/>
      <c r="C192" s="101"/>
      <c r="D192" s="26" t="s">
        <v>4</v>
      </c>
      <c r="E192" s="1">
        <f t="shared" si="260"/>
        <v>0</v>
      </c>
      <c r="F192" s="1">
        <f t="shared" si="260"/>
        <v>0</v>
      </c>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40"/>
      <c r="AR192" s="24"/>
      <c r="AS192" s="24"/>
    </row>
    <row r="193" spans="1:45" x14ac:dyDescent="0.25">
      <c r="A193" s="101"/>
      <c r="B193" s="101"/>
      <c r="C193" s="101"/>
      <c r="D193" s="26" t="s">
        <v>43</v>
      </c>
      <c r="E193" s="1">
        <f t="shared" si="260"/>
        <v>0</v>
      </c>
      <c r="F193" s="1">
        <f t="shared" si="260"/>
        <v>0</v>
      </c>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40"/>
      <c r="AR193" s="24"/>
      <c r="AS193" s="24"/>
    </row>
    <row r="194" spans="1:45" ht="15.75" customHeight="1" x14ac:dyDescent="0.25">
      <c r="A194" s="101"/>
      <c r="B194" s="101"/>
      <c r="C194" s="101"/>
      <c r="D194" s="26" t="s">
        <v>21</v>
      </c>
      <c r="E194" s="1">
        <f t="shared" si="260"/>
        <v>0</v>
      </c>
      <c r="F194" s="1">
        <f t="shared" si="260"/>
        <v>0</v>
      </c>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40"/>
      <c r="AR194" s="24"/>
      <c r="AS194" s="24"/>
    </row>
    <row r="195" spans="1:45" ht="12" customHeight="1" x14ac:dyDescent="0.25">
      <c r="A195" s="104" t="s">
        <v>11</v>
      </c>
      <c r="B195" s="104"/>
      <c r="C195" s="104"/>
      <c r="D195" s="30" t="s">
        <v>3</v>
      </c>
      <c r="E195" s="31">
        <f t="shared" si="260"/>
        <v>38944.400000000001</v>
      </c>
      <c r="F195" s="31">
        <f t="shared" si="260"/>
        <v>25945.7</v>
      </c>
      <c r="G195" s="31">
        <f>F195/E195*100</f>
        <v>66.622415546265955</v>
      </c>
      <c r="H195" s="31">
        <f>H196+H197+H198+H199</f>
        <v>469.9</v>
      </c>
      <c r="I195" s="31">
        <f>I196+I197+I198+I199</f>
        <v>448.09999999999997</v>
      </c>
      <c r="J195" s="31">
        <f>I195/H195*100</f>
        <v>95.360715045754418</v>
      </c>
      <c r="K195" s="31">
        <f t="shared" ref="K195:AO195" si="279">K196+K197+K198+K199</f>
        <v>4788.8</v>
      </c>
      <c r="L195" s="31">
        <f t="shared" si="279"/>
        <v>4666.3</v>
      </c>
      <c r="M195" s="31">
        <f t="shared" ref="M195:M198" si="280">L195/K195*100</f>
        <v>97.441947878382891</v>
      </c>
      <c r="N195" s="31">
        <f t="shared" si="279"/>
        <v>3384</v>
      </c>
      <c r="O195" s="31">
        <f t="shared" si="279"/>
        <v>3107.7</v>
      </c>
      <c r="P195" s="31">
        <f t="shared" ref="P195:P198" si="281">O195/N195*100</f>
        <v>91.835106382978722</v>
      </c>
      <c r="Q195" s="31">
        <f t="shared" si="279"/>
        <v>2602.3999999999996</v>
      </c>
      <c r="R195" s="31">
        <f t="shared" si="279"/>
        <v>2626.1</v>
      </c>
      <c r="S195" s="31">
        <f>R195/Q195*100</f>
        <v>100.91069781739934</v>
      </c>
      <c r="T195" s="31">
        <f t="shared" si="279"/>
        <v>2548.7000000000003</v>
      </c>
      <c r="U195" s="31">
        <f t="shared" si="279"/>
        <v>2398.9</v>
      </c>
      <c r="V195" s="31">
        <f>U195/T195*100</f>
        <v>94.122493820379006</v>
      </c>
      <c r="W195" s="31">
        <f t="shared" si="279"/>
        <v>3568.6</v>
      </c>
      <c r="X195" s="31">
        <f t="shared" si="279"/>
        <v>2985.8999999999996</v>
      </c>
      <c r="Y195" s="31">
        <f>X195/W195*100</f>
        <v>83.671467802499564</v>
      </c>
      <c r="Z195" s="31">
        <f t="shared" si="279"/>
        <v>4002.4</v>
      </c>
      <c r="AA195" s="31">
        <f t="shared" si="279"/>
        <v>3953.2</v>
      </c>
      <c r="AB195" s="31">
        <f>AA195/Z195*100</f>
        <v>98.770737557465509</v>
      </c>
      <c r="AC195" s="31">
        <f t="shared" si="279"/>
        <v>3164.2</v>
      </c>
      <c r="AD195" s="31">
        <f t="shared" si="279"/>
        <v>3371.2999999999997</v>
      </c>
      <c r="AE195" s="31">
        <f>AD195/AC195*100</f>
        <v>106.54509828708679</v>
      </c>
      <c r="AF195" s="31">
        <f t="shared" si="279"/>
        <v>2527.9</v>
      </c>
      <c r="AG195" s="31">
        <f t="shared" si="279"/>
        <v>2388.1999999999998</v>
      </c>
      <c r="AH195" s="31">
        <f>AG195/AF195*100</f>
        <v>94.473673800387658</v>
      </c>
      <c r="AI195" s="31">
        <f t="shared" si="279"/>
        <v>2669.7</v>
      </c>
      <c r="AJ195" s="31">
        <f t="shared" si="279"/>
        <v>0</v>
      </c>
      <c r="AK195" s="31">
        <f>AJ195/AI195*100</f>
        <v>0</v>
      </c>
      <c r="AL195" s="31">
        <f t="shared" si="279"/>
        <v>2357.8000000000002</v>
      </c>
      <c r="AM195" s="31">
        <f t="shared" si="279"/>
        <v>0</v>
      </c>
      <c r="AN195" s="31">
        <f>AM195/AL195*100</f>
        <v>0</v>
      </c>
      <c r="AO195" s="31">
        <f t="shared" si="279"/>
        <v>6859.9999999999991</v>
      </c>
      <c r="AP195" s="31"/>
      <c r="AQ195" s="31">
        <f>AP195/AO195*100</f>
        <v>0</v>
      </c>
      <c r="AR195" s="24"/>
      <c r="AS195" s="24"/>
    </row>
    <row r="196" spans="1:45" x14ac:dyDescent="0.25">
      <c r="A196" s="104"/>
      <c r="B196" s="104"/>
      <c r="C196" s="104"/>
      <c r="D196" s="30" t="s">
        <v>20</v>
      </c>
      <c r="E196" s="31">
        <f t="shared" si="260"/>
        <v>0</v>
      </c>
      <c r="F196" s="31">
        <f t="shared" si="260"/>
        <v>0</v>
      </c>
      <c r="G196" s="32"/>
      <c r="H196" s="31">
        <f t="shared" ref="H196:I199" si="282">H166+H171+H176+H181+H186+H191</f>
        <v>0</v>
      </c>
      <c r="I196" s="31">
        <f t="shared" si="282"/>
        <v>0</v>
      </c>
      <c r="J196" s="32"/>
      <c r="K196" s="31">
        <f t="shared" ref="K196:AO199" si="283">K166+K171+K176+K181+K186+K191</f>
        <v>0</v>
      </c>
      <c r="L196" s="31">
        <f t="shared" si="283"/>
        <v>0</v>
      </c>
      <c r="M196" s="31"/>
      <c r="N196" s="31">
        <f t="shared" si="283"/>
        <v>0</v>
      </c>
      <c r="O196" s="31">
        <f t="shared" si="283"/>
        <v>0</v>
      </c>
      <c r="P196" s="31"/>
      <c r="Q196" s="31">
        <f t="shared" si="283"/>
        <v>0</v>
      </c>
      <c r="R196" s="31">
        <f t="shared" si="283"/>
        <v>0</v>
      </c>
      <c r="S196" s="32"/>
      <c r="T196" s="31">
        <f t="shared" si="283"/>
        <v>0</v>
      </c>
      <c r="U196" s="31">
        <f t="shared" si="283"/>
        <v>0</v>
      </c>
      <c r="V196" s="32"/>
      <c r="W196" s="31">
        <f t="shared" si="283"/>
        <v>0</v>
      </c>
      <c r="X196" s="31">
        <f t="shared" si="283"/>
        <v>0</v>
      </c>
      <c r="Y196" s="32"/>
      <c r="Z196" s="31">
        <f t="shared" si="283"/>
        <v>0</v>
      </c>
      <c r="AA196" s="31">
        <f t="shared" si="283"/>
        <v>0</v>
      </c>
      <c r="AB196" s="32"/>
      <c r="AC196" s="31">
        <f t="shared" si="283"/>
        <v>0</v>
      </c>
      <c r="AD196" s="31">
        <f t="shared" si="283"/>
        <v>0</v>
      </c>
      <c r="AE196" s="32"/>
      <c r="AF196" s="31">
        <f t="shared" si="283"/>
        <v>0</v>
      </c>
      <c r="AG196" s="31">
        <f t="shared" si="283"/>
        <v>0</v>
      </c>
      <c r="AH196" s="32"/>
      <c r="AI196" s="31">
        <f t="shared" si="283"/>
        <v>0</v>
      </c>
      <c r="AJ196" s="31">
        <f t="shared" si="283"/>
        <v>0</v>
      </c>
      <c r="AK196" s="32"/>
      <c r="AL196" s="31">
        <f t="shared" si="283"/>
        <v>0</v>
      </c>
      <c r="AM196" s="31">
        <f t="shared" si="283"/>
        <v>0</v>
      </c>
      <c r="AN196" s="32"/>
      <c r="AO196" s="31">
        <f t="shared" si="283"/>
        <v>0</v>
      </c>
      <c r="AP196" s="40"/>
      <c r="AQ196" s="32"/>
      <c r="AR196" s="24"/>
      <c r="AS196" s="24"/>
    </row>
    <row r="197" spans="1:45" ht="24" customHeight="1" x14ac:dyDescent="0.25">
      <c r="A197" s="104"/>
      <c r="B197" s="104"/>
      <c r="C197" s="104"/>
      <c r="D197" s="30" t="s">
        <v>4</v>
      </c>
      <c r="E197" s="31">
        <f t="shared" si="260"/>
        <v>1359</v>
      </c>
      <c r="F197" s="31">
        <f t="shared" si="260"/>
        <v>917.30000000000018</v>
      </c>
      <c r="G197" s="31">
        <f>F197/E197*100</f>
        <v>67.498160412067705</v>
      </c>
      <c r="H197" s="31">
        <f t="shared" si="282"/>
        <v>44</v>
      </c>
      <c r="I197" s="31">
        <f t="shared" si="282"/>
        <v>22.2</v>
      </c>
      <c r="J197" s="31">
        <f>I197/H197*100</f>
        <v>50.454545454545453</v>
      </c>
      <c r="K197" s="31">
        <f t="shared" si="283"/>
        <v>99.8</v>
      </c>
      <c r="L197" s="31">
        <f t="shared" si="283"/>
        <v>105.3</v>
      </c>
      <c r="M197" s="31">
        <f t="shared" si="280"/>
        <v>105.51102204408818</v>
      </c>
      <c r="N197" s="31">
        <f t="shared" si="283"/>
        <v>106.69999999999999</v>
      </c>
      <c r="O197" s="31">
        <f t="shared" si="283"/>
        <v>99</v>
      </c>
      <c r="P197" s="31">
        <f t="shared" si="281"/>
        <v>92.783505154639187</v>
      </c>
      <c r="Q197" s="31">
        <f t="shared" si="283"/>
        <v>107.1</v>
      </c>
      <c r="R197" s="31">
        <f t="shared" si="283"/>
        <v>130.80000000000001</v>
      </c>
      <c r="S197" s="31">
        <f>R197/Q197*100</f>
        <v>122.12885154061625</v>
      </c>
      <c r="T197" s="31">
        <f t="shared" si="283"/>
        <v>99.8</v>
      </c>
      <c r="U197" s="31">
        <f t="shared" si="283"/>
        <v>67.3</v>
      </c>
      <c r="V197" s="31">
        <f>U197/T197*100</f>
        <v>67.434869739478955</v>
      </c>
      <c r="W197" s="31">
        <f t="shared" si="283"/>
        <v>99.6</v>
      </c>
      <c r="X197" s="31">
        <f t="shared" si="283"/>
        <v>100.7</v>
      </c>
      <c r="Y197" s="31">
        <f>X197/W197*100</f>
        <v>101.10441767068275</v>
      </c>
      <c r="Z197" s="31">
        <f t="shared" si="283"/>
        <v>107.1</v>
      </c>
      <c r="AA197" s="31">
        <f t="shared" si="283"/>
        <v>102.7</v>
      </c>
      <c r="AB197" s="31">
        <f>AA197/Z197*100</f>
        <v>95.891690009337069</v>
      </c>
      <c r="AC197" s="31">
        <f t="shared" si="283"/>
        <v>149.69999999999999</v>
      </c>
      <c r="AD197" s="31">
        <f t="shared" si="283"/>
        <v>173.1</v>
      </c>
      <c r="AE197" s="31">
        <f>AD197/AC197*100</f>
        <v>115.63126252505012</v>
      </c>
      <c r="AF197" s="31">
        <f t="shared" si="283"/>
        <v>134.89999999999998</v>
      </c>
      <c r="AG197" s="31">
        <f t="shared" si="283"/>
        <v>116.2</v>
      </c>
      <c r="AH197" s="31">
        <f>AG197/AF197*100</f>
        <v>86.137879911045232</v>
      </c>
      <c r="AI197" s="31">
        <f t="shared" si="283"/>
        <v>107.1</v>
      </c>
      <c r="AJ197" s="31">
        <f t="shared" si="283"/>
        <v>0</v>
      </c>
      <c r="AK197" s="31">
        <f>AJ197/AI197*100</f>
        <v>0</v>
      </c>
      <c r="AL197" s="31">
        <f t="shared" si="283"/>
        <v>156.80000000000001</v>
      </c>
      <c r="AM197" s="31">
        <f t="shared" si="283"/>
        <v>0</v>
      </c>
      <c r="AN197" s="31">
        <f>AM197/AL197*100</f>
        <v>0</v>
      </c>
      <c r="AO197" s="31">
        <f t="shared" si="283"/>
        <v>146.4</v>
      </c>
      <c r="AP197" s="40"/>
      <c r="AQ197" s="31">
        <f>AP197/AO197*100</f>
        <v>0</v>
      </c>
      <c r="AR197" s="24"/>
      <c r="AS197" s="24"/>
    </row>
    <row r="198" spans="1:45" x14ac:dyDescent="0.25">
      <c r="A198" s="104"/>
      <c r="B198" s="104"/>
      <c r="C198" s="104"/>
      <c r="D198" s="30" t="s">
        <v>43</v>
      </c>
      <c r="E198" s="31">
        <f t="shared" si="260"/>
        <v>37585.4</v>
      </c>
      <c r="F198" s="31">
        <f t="shared" si="260"/>
        <v>25028.400000000001</v>
      </c>
      <c r="G198" s="31">
        <f>F198/E198*100</f>
        <v>66.590750663821595</v>
      </c>
      <c r="H198" s="31">
        <f t="shared" si="282"/>
        <v>425.9</v>
      </c>
      <c r="I198" s="31">
        <f t="shared" si="282"/>
        <v>425.9</v>
      </c>
      <c r="J198" s="31">
        <f>I198/H198*100</f>
        <v>100</v>
      </c>
      <c r="K198" s="31">
        <f t="shared" si="283"/>
        <v>4689</v>
      </c>
      <c r="L198" s="31">
        <f t="shared" si="283"/>
        <v>4561</v>
      </c>
      <c r="M198" s="31">
        <f t="shared" si="280"/>
        <v>97.27020686713584</v>
      </c>
      <c r="N198" s="31">
        <f t="shared" si="283"/>
        <v>3277.3</v>
      </c>
      <c r="O198" s="31">
        <f t="shared" si="283"/>
        <v>3008.7</v>
      </c>
      <c r="P198" s="31">
        <f t="shared" si="281"/>
        <v>91.804229091020034</v>
      </c>
      <c r="Q198" s="31">
        <f t="shared" si="283"/>
        <v>2495.2999999999997</v>
      </c>
      <c r="R198" s="31">
        <f t="shared" si="283"/>
        <v>2495.2999999999997</v>
      </c>
      <c r="S198" s="31">
        <f>R198/Q198*100</f>
        <v>100</v>
      </c>
      <c r="T198" s="31">
        <f t="shared" si="283"/>
        <v>2448.9</v>
      </c>
      <c r="U198" s="31">
        <f t="shared" si="283"/>
        <v>2331.6</v>
      </c>
      <c r="V198" s="31">
        <f>U198/T198*100</f>
        <v>95.210094328065651</v>
      </c>
      <c r="W198" s="31">
        <f t="shared" si="283"/>
        <v>3469</v>
      </c>
      <c r="X198" s="31">
        <f t="shared" si="283"/>
        <v>2885.2</v>
      </c>
      <c r="Y198" s="31">
        <f>X198/W198*100</f>
        <v>83.170942634765055</v>
      </c>
      <c r="Z198" s="31">
        <f t="shared" si="283"/>
        <v>3895.3</v>
      </c>
      <c r="AA198" s="31">
        <f t="shared" si="283"/>
        <v>3850.5</v>
      </c>
      <c r="AB198" s="31">
        <f>AA198/Z198*100</f>
        <v>98.849896028547221</v>
      </c>
      <c r="AC198" s="31">
        <f t="shared" si="283"/>
        <v>3014.5</v>
      </c>
      <c r="AD198" s="31">
        <f t="shared" si="283"/>
        <v>3198.2</v>
      </c>
      <c r="AE198" s="31">
        <f>AD198/AC198*100</f>
        <v>106.09387958202024</v>
      </c>
      <c r="AF198" s="31">
        <f t="shared" si="283"/>
        <v>2393</v>
      </c>
      <c r="AG198" s="31">
        <f t="shared" si="283"/>
        <v>2272</v>
      </c>
      <c r="AH198" s="31">
        <f>AG198/AF198*100</f>
        <v>94.943585457584618</v>
      </c>
      <c r="AI198" s="31">
        <f t="shared" si="283"/>
        <v>2562.6</v>
      </c>
      <c r="AJ198" s="31">
        <f t="shared" si="283"/>
        <v>0</v>
      </c>
      <c r="AK198" s="31">
        <f>AJ198/AI198*100</f>
        <v>0</v>
      </c>
      <c r="AL198" s="31">
        <f t="shared" si="283"/>
        <v>2201</v>
      </c>
      <c r="AM198" s="31">
        <f t="shared" si="283"/>
        <v>0</v>
      </c>
      <c r="AN198" s="31">
        <f>AM198/AL198*100</f>
        <v>0</v>
      </c>
      <c r="AO198" s="31">
        <f t="shared" si="283"/>
        <v>6713.5999999999995</v>
      </c>
      <c r="AP198" s="40"/>
      <c r="AQ198" s="31">
        <f>AP198/AO198*100</f>
        <v>0</v>
      </c>
      <c r="AR198" s="24"/>
      <c r="AS198" s="24"/>
    </row>
    <row r="199" spans="1:45" ht="13.5" customHeight="1" x14ac:dyDescent="0.25">
      <c r="A199" s="104"/>
      <c r="B199" s="104"/>
      <c r="C199" s="104"/>
      <c r="D199" s="30" t="s">
        <v>21</v>
      </c>
      <c r="E199" s="31">
        <f t="shared" si="260"/>
        <v>0</v>
      </c>
      <c r="F199" s="31">
        <f t="shared" si="260"/>
        <v>0</v>
      </c>
      <c r="G199" s="31"/>
      <c r="H199" s="31">
        <f t="shared" si="282"/>
        <v>0</v>
      </c>
      <c r="I199" s="31">
        <f t="shared" si="282"/>
        <v>0</v>
      </c>
      <c r="J199" s="31"/>
      <c r="K199" s="31">
        <f t="shared" si="283"/>
        <v>0</v>
      </c>
      <c r="L199" s="31">
        <f t="shared" si="283"/>
        <v>0</v>
      </c>
      <c r="M199" s="31"/>
      <c r="N199" s="31">
        <f t="shared" si="283"/>
        <v>0</v>
      </c>
      <c r="O199" s="31">
        <f t="shared" si="283"/>
        <v>0</v>
      </c>
      <c r="P199" s="31"/>
      <c r="Q199" s="31">
        <f t="shared" si="283"/>
        <v>0</v>
      </c>
      <c r="R199" s="31">
        <f t="shared" si="283"/>
        <v>0</v>
      </c>
      <c r="S199" s="31"/>
      <c r="T199" s="31">
        <f t="shared" si="283"/>
        <v>0</v>
      </c>
      <c r="U199" s="31">
        <f t="shared" si="283"/>
        <v>0</v>
      </c>
      <c r="V199" s="31"/>
      <c r="W199" s="31">
        <f t="shared" si="283"/>
        <v>0</v>
      </c>
      <c r="X199" s="31">
        <f t="shared" si="283"/>
        <v>0</v>
      </c>
      <c r="Y199" s="31"/>
      <c r="Z199" s="31">
        <f t="shared" si="283"/>
        <v>0</v>
      </c>
      <c r="AA199" s="31"/>
      <c r="AB199" s="31"/>
      <c r="AC199" s="31">
        <f t="shared" si="283"/>
        <v>0</v>
      </c>
      <c r="AD199" s="31">
        <f t="shared" si="283"/>
        <v>0</v>
      </c>
      <c r="AE199" s="31"/>
      <c r="AF199" s="31">
        <f t="shared" si="283"/>
        <v>0</v>
      </c>
      <c r="AG199" s="31"/>
      <c r="AH199" s="31"/>
      <c r="AI199" s="31">
        <f t="shared" si="283"/>
        <v>0</v>
      </c>
      <c r="AJ199" s="31"/>
      <c r="AK199" s="31"/>
      <c r="AL199" s="31">
        <f t="shared" si="283"/>
        <v>0</v>
      </c>
      <c r="AM199" s="31">
        <f t="shared" si="283"/>
        <v>0</v>
      </c>
      <c r="AN199" s="31"/>
      <c r="AO199" s="31">
        <f t="shared" si="283"/>
        <v>0</v>
      </c>
      <c r="AP199" s="40"/>
      <c r="AQ199" s="42"/>
      <c r="AR199" s="24"/>
      <c r="AS199" s="24"/>
    </row>
    <row r="200" spans="1:45" ht="15" customHeight="1" x14ac:dyDescent="0.25">
      <c r="A200" s="43" t="s">
        <v>69</v>
      </c>
      <c r="B200" s="22" t="s">
        <v>12</v>
      </c>
      <c r="C200" s="22"/>
      <c r="D200" s="22"/>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2"/>
      <c r="AQ200" s="22"/>
      <c r="AR200" s="24"/>
      <c r="AS200" s="24"/>
    </row>
    <row r="201" spans="1:45" ht="14.45" customHeight="1" x14ac:dyDescent="0.25">
      <c r="A201" s="131" t="s">
        <v>70</v>
      </c>
      <c r="B201" s="101" t="s">
        <v>100</v>
      </c>
      <c r="C201" s="101" t="s">
        <v>152</v>
      </c>
      <c r="D201" s="26" t="s">
        <v>3</v>
      </c>
      <c r="E201" s="1">
        <f t="shared" ref="E201:F216" si="284">H201+K201+N201+Q201+T201+W201+Z201+AC201+AF201+AI201+AL201+AO201</f>
        <v>98</v>
      </c>
      <c r="F201" s="1">
        <f t="shared" si="284"/>
        <v>90</v>
      </c>
      <c r="G201" s="1">
        <f>F201/E201*100</f>
        <v>91.83673469387756</v>
      </c>
      <c r="H201" s="1">
        <f>H202+H203+H204+H205</f>
        <v>0</v>
      </c>
      <c r="I201" s="1"/>
      <c r="J201" s="27"/>
      <c r="K201" s="1">
        <f t="shared" ref="K201:AO201" si="285">K202+K203+K204+K205</f>
        <v>0</v>
      </c>
      <c r="L201" s="1"/>
      <c r="M201" s="27"/>
      <c r="N201" s="1">
        <f t="shared" si="285"/>
        <v>98</v>
      </c>
      <c r="O201" s="1">
        <f t="shared" si="285"/>
        <v>70.3</v>
      </c>
      <c r="P201" s="1">
        <f>O201/N201*100</f>
        <v>71.73469387755101</v>
      </c>
      <c r="Q201" s="1">
        <f t="shared" si="285"/>
        <v>0</v>
      </c>
      <c r="R201" s="1"/>
      <c r="S201" s="27"/>
      <c r="T201" s="1">
        <f t="shared" si="285"/>
        <v>0</v>
      </c>
      <c r="U201" s="1">
        <f t="shared" si="285"/>
        <v>0</v>
      </c>
      <c r="V201" s="27"/>
      <c r="W201" s="1">
        <f t="shared" si="285"/>
        <v>0</v>
      </c>
      <c r="X201" s="1">
        <f t="shared" si="285"/>
        <v>19.7</v>
      </c>
      <c r="Y201" s="27"/>
      <c r="Z201" s="1">
        <f t="shared" si="285"/>
        <v>0</v>
      </c>
      <c r="AA201" s="1"/>
      <c r="AB201" s="27"/>
      <c r="AC201" s="1">
        <f t="shared" si="285"/>
        <v>0</v>
      </c>
      <c r="AD201" s="1"/>
      <c r="AE201" s="27"/>
      <c r="AF201" s="1">
        <f t="shared" si="285"/>
        <v>0</v>
      </c>
      <c r="AG201" s="1">
        <f t="shared" si="285"/>
        <v>0</v>
      </c>
      <c r="AH201" s="27"/>
      <c r="AI201" s="1">
        <f t="shared" si="285"/>
        <v>0</v>
      </c>
      <c r="AJ201" s="1">
        <f t="shared" si="285"/>
        <v>0</v>
      </c>
      <c r="AK201" s="27"/>
      <c r="AL201" s="1">
        <f t="shared" si="285"/>
        <v>0</v>
      </c>
      <c r="AM201" s="1"/>
      <c r="AN201" s="27"/>
      <c r="AO201" s="1">
        <f t="shared" si="285"/>
        <v>0</v>
      </c>
      <c r="AP201" s="1"/>
      <c r="AQ201" s="27"/>
      <c r="AR201" s="24"/>
      <c r="AS201" s="24"/>
    </row>
    <row r="202" spans="1:45" ht="15" customHeight="1" x14ac:dyDescent="0.25">
      <c r="A202" s="131"/>
      <c r="B202" s="101"/>
      <c r="C202" s="101"/>
      <c r="D202" s="26" t="s">
        <v>20</v>
      </c>
      <c r="E202" s="1">
        <f t="shared" si="284"/>
        <v>0</v>
      </c>
      <c r="F202" s="1">
        <f t="shared" si="284"/>
        <v>0</v>
      </c>
      <c r="G202" s="1"/>
      <c r="H202" s="1"/>
      <c r="I202" s="1"/>
      <c r="J202" s="27"/>
      <c r="K202" s="1"/>
      <c r="L202" s="1"/>
      <c r="M202" s="27"/>
      <c r="N202" s="1"/>
      <c r="O202" s="1"/>
      <c r="P202" s="1"/>
      <c r="Q202" s="1"/>
      <c r="R202" s="1"/>
      <c r="S202" s="27"/>
      <c r="T202" s="1"/>
      <c r="U202" s="1"/>
      <c r="V202" s="27"/>
      <c r="W202" s="1"/>
      <c r="X202" s="1"/>
      <c r="Y202" s="27"/>
      <c r="Z202" s="1"/>
      <c r="AA202" s="1"/>
      <c r="AB202" s="27"/>
      <c r="AC202" s="1"/>
      <c r="AD202" s="1"/>
      <c r="AE202" s="27"/>
      <c r="AF202" s="1"/>
      <c r="AG202" s="1"/>
      <c r="AH202" s="27"/>
      <c r="AI202" s="1"/>
      <c r="AJ202" s="1"/>
      <c r="AK202" s="27"/>
      <c r="AL202" s="1"/>
      <c r="AM202" s="1"/>
      <c r="AN202" s="27"/>
      <c r="AO202" s="1"/>
      <c r="AP202" s="1"/>
      <c r="AQ202" s="27"/>
      <c r="AR202" s="24"/>
      <c r="AS202" s="24"/>
    </row>
    <row r="203" spans="1:45" ht="24" customHeight="1" x14ac:dyDescent="0.25">
      <c r="A203" s="131"/>
      <c r="B203" s="101"/>
      <c r="C203" s="101"/>
      <c r="D203" s="26" t="s">
        <v>4</v>
      </c>
      <c r="E203" s="1">
        <f t="shared" si="284"/>
        <v>0</v>
      </c>
      <c r="F203" s="1">
        <f t="shared" si="284"/>
        <v>0</v>
      </c>
      <c r="G203" s="1"/>
      <c r="H203" s="1"/>
      <c r="I203" s="1"/>
      <c r="J203" s="27"/>
      <c r="K203" s="1"/>
      <c r="L203" s="1"/>
      <c r="M203" s="27"/>
      <c r="N203" s="1"/>
      <c r="O203" s="1"/>
      <c r="P203" s="1"/>
      <c r="Q203" s="1"/>
      <c r="R203" s="1"/>
      <c r="S203" s="27"/>
      <c r="T203" s="1"/>
      <c r="U203" s="1"/>
      <c r="V203" s="27"/>
      <c r="W203" s="1"/>
      <c r="X203" s="1"/>
      <c r="Y203" s="27"/>
      <c r="Z203" s="1"/>
      <c r="AA203" s="1"/>
      <c r="AB203" s="27"/>
      <c r="AC203" s="1"/>
      <c r="AD203" s="1"/>
      <c r="AE203" s="27"/>
      <c r="AF203" s="1"/>
      <c r="AG203" s="1"/>
      <c r="AH203" s="27"/>
      <c r="AI203" s="1"/>
      <c r="AJ203" s="1"/>
      <c r="AK203" s="27"/>
      <c r="AL203" s="1"/>
      <c r="AM203" s="1"/>
      <c r="AN203" s="27"/>
      <c r="AO203" s="1"/>
      <c r="AP203" s="40"/>
      <c r="AQ203" s="27"/>
      <c r="AR203" s="24"/>
      <c r="AS203" s="24"/>
    </row>
    <row r="204" spans="1:45" ht="36" customHeight="1" x14ac:dyDescent="0.25">
      <c r="A204" s="131"/>
      <c r="B204" s="101"/>
      <c r="C204" s="101"/>
      <c r="D204" s="26" t="s">
        <v>43</v>
      </c>
      <c r="E204" s="1">
        <f t="shared" si="284"/>
        <v>98</v>
      </c>
      <c r="F204" s="1">
        <f t="shared" si="284"/>
        <v>90</v>
      </c>
      <c r="G204" s="1">
        <f t="shared" ref="G204" si="286">F204/E204*100</f>
        <v>91.83673469387756</v>
      </c>
      <c r="H204" s="1"/>
      <c r="I204" s="1"/>
      <c r="J204" s="27"/>
      <c r="K204" s="1"/>
      <c r="L204" s="1"/>
      <c r="M204" s="27"/>
      <c r="N204" s="1">
        <f>106-8</f>
        <v>98</v>
      </c>
      <c r="O204" s="1">
        <v>70.3</v>
      </c>
      <c r="P204" s="1">
        <f t="shared" ref="P204" si="287">O204/N204*100</f>
        <v>71.73469387755101</v>
      </c>
      <c r="Q204" s="1"/>
      <c r="R204" s="1"/>
      <c r="S204" s="27"/>
      <c r="T204" s="1">
        <f>211-92-119</f>
        <v>0</v>
      </c>
      <c r="U204" s="1">
        <v>0</v>
      </c>
      <c r="V204" s="27"/>
      <c r="W204" s="1"/>
      <c r="X204" s="1">
        <v>19.7</v>
      </c>
      <c r="Y204" s="27"/>
      <c r="Z204" s="1"/>
      <c r="AA204" s="1"/>
      <c r="AB204" s="27"/>
      <c r="AC204" s="1"/>
      <c r="AD204" s="1"/>
      <c r="AE204" s="27"/>
      <c r="AF204" s="1"/>
      <c r="AG204" s="1"/>
      <c r="AH204" s="27"/>
      <c r="AI204" s="1"/>
      <c r="AJ204" s="1"/>
      <c r="AK204" s="27"/>
      <c r="AL204" s="1"/>
      <c r="AM204" s="1"/>
      <c r="AN204" s="27"/>
      <c r="AO204" s="1"/>
      <c r="AP204" s="40"/>
      <c r="AQ204" s="27"/>
      <c r="AR204" s="21" t="s">
        <v>175</v>
      </c>
      <c r="AS204" s="21" t="s">
        <v>174</v>
      </c>
    </row>
    <row r="205" spans="1:45" ht="15.75" customHeight="1" x14ac:dyDescent="0.25">
      <c r="A205" s="131"/>
      <c r="B205" s="101"/>
      <c r="C205" s="101"/>
      <c r="D205" s="26" t="s">
        <v>21</v>
      </c>
      <c r="E205" s="1">
        <f t="shared" si="284"/>
        <v>0</v>
      </c>
      <c r="F205" s="1">
        <f t="shared" si="284"/>
        <v>0</v>
      </c>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40"/>
      <c r="AQ205" s="40"/>
      <c r="AR205" s="24"/>
      <c r="AS205" s="24"/>
    </row>
    <row r="206" spans="1:45" ht="15.75" customHeight="1" x14ac:dyDescent="0.25">
      <c r="A206" s="131" t="s">
        <v>71</v>
      </c>
      <c r="B206" s="101" t="s">
        <v>101</v>
      </c>
      <c r="C206" s="101" t="s">
        <v>152</v>
      </c>
      <c r="D206" s="26" t="s">
        <v>3</v>
      </c>
      <c r="E206" s="1">
        <f t="shared" si="284"/>
        <v>0</v>
      </c>
      <c r="F206" s="1">
        <f t="shared" si="284"/>
        <v>0</v>
      </c>
      <c r="G206" s="1"/>
      <c r="H206" s="1">
        <f>H207+H208+H209+H210</f>
        <v>0</v>
      </c>
      <c r="I206" s="1"/>
      <c r="J206" s="1"/>
      <c r="K206" s="1">
        <f t="shared" ref="K206:AO206" si="288">K207+K208+K209+K210</f>
        <v>0</v>
      </c>
      <c r="L206" s="1"/>
      <c r="M206" s="1"/>
      <c r="N206" s="1">
        <f t="shared" si="288"/>
        <v>0</v>
      </c>
      <c r="O206" s="1"/>
      <c r="P206" s="1"/>
      <c r="Q206" s="1">
        <f t="shared" si="288"/>
        <v>0</v>
      </c>
      <c r="R206" s="1"/>
      <c r="S206" s="1"/>
      <c r="T206" s="1">
        <f t="shared" si="288"/>
        <v>0</v>
      </c>
      <c r="U206" s="1"/>
      <c r="V206" s="1"/>
      <c r="W206" s="1">
        <f t="shared" si="288"/>
        <v>0</v>
      </c>
      <c r="X206" s="1"/>
      <c r="Y206" s="1"/>
      <c r="Z206" s="1">
        <f t="shared" si="288"/>
        <v>0</v>
      </c>
      <c r="AA206" s="1"/>
      <c r="AB206" s="1"/>
      <c r="AC206" s="1">
        <f t="shared" si="288"/>
        <v>0</v>
      </c>
      <c r="AD206" s="1"/>
      <c r="AE206" s="1"/>
      <c r="AF206" s="1">
        <f t="shared" si="288"/>
        <v>0</v>
      </c>
      <c r="AG206" s="1"/>
      <c r="AH206" s="1"/>
      <c r="AI206" s="1">
        <f t="shared" si="288"/>
        <v>0</v>
      </c>
      <c r="AJ206" s="1"/>
      <c r="AK206" s="1"/>
      <c r="AL206" s="1">
        <f t="shared" si="288"/>
        <v>0</v>
      </c>
      <c r="AM206" s="1"/>
      <c r="AN206" s="1"/>
      <c r="AO206" s="1">
        <f t="shared" si="288"/>
        <v>0</v>
      </c>
      <c r="AP206" s="1"/>
      <c r="AQ206" s="40"/>
      <c r="AR206" s="24"/>
      <c r="AS206" s="24"/>
    </row>
    <row r="207" spans="1:45" x14ac:dyDescent="0.25">
      <c r="A207" s="131"/>
      <c r="B207" s="101"/>
      <c r="C207" s="101"/>
      <c r="D207" s="26" t="s">
        <v>20</v>
      </c>
      <c r="E207" s="1">
        <f t="shared" si="284"/>
        <v>0</v>
      </c>
      <c r="F207" s="1">
        <f t="shared" si="284"/>
        <v>0</v>
      </c>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40"/>
      <c r="AR207" s="24"/>
      <c r="AS207" s="24"/>
    </row>
    <row r="208" spans="1:45" ht="24" x14ac:dyDescent="0.25">
      <c r="A208" s="131"/>
      <c r="B208" s="101"/>
      <c r="C208" s="101"/>
      <c r="D208" s="26" t="s">
        <v>4</v>
      </c>
      <c r="E208" s="1">
        <f t="shared" si="284"/>
        <v>0</v>
      </c>
      <c r="F208" s="1">
        <f t="shared" si="284"/>
        <v>0</v>
      </c>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40"/>
      <c r="AQ208" s="40"/>
      <c r="AR208" s="24"/>
      <c r="AS208" s="24"/>
    </row>
    <row r="209" spans="1:45" x14ac:dyDescent="0.25">
      <c r="A209" s="131"/>
      <c r="B209" s="101"/>
      <c r="C209" s="101"/>
      <c r="D209" s="26" t="s">
        <v>43</v>
      </c>
      <c r="E209" s="1">
        <f t="shared" si="284"/>
        <v>0</v>
      </c>
      <c r="F209" s="1">
        <f t="shared" si="284"/>
        <v>0</v>
      </c>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40"/>
      <c r="AQ209" s="40"/>
      <c r="AR209" s="24"/>
      <c r="AS209" s="24"/>
    </row>
    <row r="210" spans="1:45" ht="15.75" customHeight="1" x14ac:dyDescent="0.25">
      <c r="A210" s="131"/>
      <c r="B210" s="101"/>
      <c r="C210" s="101"/>
      <c r="D210" s="26" t="s">
        <v>21</v>
      </c>
      <c r="E210" s="1">
        <f t="shared" si="284"/>
        <v>0</v>
      </c>
      <c r="F210" s="1">
        <f t="shared" si="284"/>
        <v>0</v>
      </c>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40"/>
      <c r="AQ210" s="40"/>
      <c r="AR210" s="24"/>
      <c r="AS210" s="24"/>
    </row>
    <row r="211" spans="1:45" ht="15.75" customHeight="1" x14ac:dyDescent="0.25">
      <c r="A211" s="131" t="s">
        <v>72</v>
      </c>
      <c r="B211" s="101" t="s">
        <v>202</v>
      </c>
      <c r="C211" s="101" t="s">
        <v>152</v>
      </c>
      <c r="D211" s="26" t="s">
        <v>3</v>
      </c>
      <c r="E211" s="1">
        <f t="shared" si="284"/>
        <v>0</v>
      </c>
      <c r="F211" s="1">
        <f t="shared" si="284"/>
        <v>0</v>
      </c>
      <c r="G211" s="1"/>
      <c r="H211" s="1">
        <f>H212+H213+H214+H215</f>
        <v>0</v>
      </c>
      <c r="I211" s="1"/>
      <c r="J211" s="1"/>
      <c r="K211" s="1">
        <f t="shared" ref="K211:AO211" si="289">K212+K213+K214+K215</f>
        <v>0</v>
      </c>
      <c r="L211" s="1"/>
      <c r="M211" s="1"/>
      <c r="N211" s="1">
        <f t="shared" si="289"/>
        <v>0</v>
      </c>
      <c r="O211" s="1"/>
      <c r="P211" s="1"/>
      <c r="Q211" s="1">
        <f t="shared" si="289"/>
        <v>0</v>
      </c>
      <c r="R211" s="1">
        <f t="shared" si="289"/>
        <v>0</v>
      </c>
      <c r="S211" s="1"/>
      <c r="T211" s="1">
        <f t="shared" si="289"/>
        <v>0</v>
      </c>
      <c r="U211" s="1">
        <f t="shared" si="289"/>
        <v>0</v>
      </c>
      <c r="V211" s="1"/>
      <c r="W211" s="1">
        <f t="shared" si="289"/>
        <v>0</v>
      </c>
      <c r="X211" s="1"/>
      <c r="Y211" s="1"/>
      <c r="Z211" s="1">
        <f t="shared" si="289"/>
        <v>0</v>
      </c>
      <c r="AA211" s="1">
        <f t="shared" si="289"/>
        <v>0</v>
      </c>
      <c r="AB211" s="1"/>
      <c r="AC211" s="1">
        <f t="shared" si="289"/>
        <v>0</v>
      </c>
      <c r="AD211" s="1">
        <f t="shared" si="289"/>
        <v>0</v>
      </c>
      <c r="AE211" s="1"/>
      <c r="AF211" s="1">
        <f t="shared" si="289"/>
        <v>0</v>
      </c>
      <c r="AG211" s="1">
        <f t="shared" si="289"/>
        <v>0</v>
      </c>
      <c r="AH211" s="1"/>
      <c r="AI211" s="1">
        <f t="shared" si="289"/>
        <v>0</v>
      </c>
      <c r="AJ211" s="1"/>
      <c r="AK211" s="1"/>
      <c r="AL211" s="1">
        <f t="shared" si="289"/>
        <v>0</v>
      </c>
      <c r="AM211" s="1"/>
      <c r="AN211" s="1"/>
      <c r="AO211" s="1">
        <f t="shared" si="289"/>
        <v>0</v>
      </c>
      <c r="AP211" s="1"/>
      <c r="AQ211" s="40"/>
      <c r="AR211" s="24"/>
      <c r="AS211" s="24"/>
    </row>
    <row r="212" spans="1:45" x14ac:dyDescent="0.25">
      <c r="A212" s="131"/>
      <c r="B212" s="101"/>
      <c r="C212" s="101"/>
      <c r="D212" s="26" t="s">
        <v>20</v>
      </c>
      <c r="E212" s="1">
        <f t="shared" si="284"/>
        <v>0</v>
      </c>
      <c r="F212" s="1">
        <f t="shared" si="284"/>
        <v>0</v>
      </c>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40"/>
      <c r="AR212" s="24"/>
      <c r="AS212" s="24"/>
    </row>
    <row r="213" spans="1:45" ht="24" x14ac:dyDescent="0.25">
      <c r="A213" s="131"/>
      <c r="B213" s="101"/>
      <c r="C213" s="101"/>
      <c r="D213" s="26" t="s">
        <v>4</v>
      </c>
      <c r="E213" s="1">
        <f t="shared" si="284"/>
        <v>0</v>
      </c>
      <c r="F213" s="1">
        <f t="shared" si="284"/>
        <v>0</v>
      </c>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40"/>
      <c r="AQ213" s="40"/>
      <c r="AR213" s="24"/>
      <c r="AS213" s="24"/>
    </row>
    <row r="214" spans="1:45" x14ac:dyDescent="0.25">
      <c r="A214" s="131"/>
      <c r="B214" s="101"/>
      <c r="C214" s="101"/>
      <c r="D214" s="26" t="s">
        <v>43</v>
      </c>
      <c r="E214" s="1">
        <f t="shared" si="284"/>
        <v>0</v>
      </c>
      <c r="F214" s="1">
        <f t="shared" si="284"/>
        <v>0</v>
      </c>
      <c r="G214" s="1"/>
      <c r="H214" s="1"/>
      <c r="I214" s="1"/>
      <c r="J214" s="1"/>
      <c r="K214" s="1"/>
      <c r="L214" s="1"/>
      <c r="M214" s="1"/>
      <c r="N214" s="1"/>
      <c r="O214" s="1"/>
      <c r="P214" s="1"/>
      <c r="Q214" s="1"/>
      <c r="R214" s="1"/>
      <c r="S214" s="1"/>
      <c r="T214" s="1"/>
      <c r="U214" s="1"/>
      <c r="V214" s="1"/>
      <c r="W214" s="1"/>
      <c r="X214" s="1"/>
      <c r="Y214" s="1"/>
      <c r="Z214" s="1"/>
      <c r="AA214" s="1">
        <v>0</v>
      </c>
      <c r="AB214" s="1"/>
      <c r="AC214" s="1"/>
      <c r="AD214" s="1"/>
      <c r="AE214" s="1"/>
      <c r="AF214" s="1"/>
      <c r="AG214" s="1"/>
      <c r="AH214" s="1"/>
      <c r="AI214" s="1"/>
      <c r="AJ214" s="1"/>
      <c r="AK214" s="1"/>
      <c r="AL214" s="1"/>
      <c r="AM214" s="1"/>
      <c r="AN214" s="1"/>
      <c r="AO214" s="1"/>
      <c r="AP214" s="1"/>
      <c r="AQ214" s="40"/>
      <c r="AR214" s="21"/>
      <c r="AS214" s="21"/>
    </row>
    <row r="215" spans="1:45" ht="15.75" customHeight="1" x14ac:dyDescent="0.25">
      <c r="A215" s="131"/>
      <c r="B215" s="101"/>
      <c r="C215" s="101"/>
      <c r="D215" s="26" t="s">
        <v>21</v>
      </c>
      <c r="E215" s="1">
        <f t="shared" si="284"/>
        <v>0</v>
      </c>
      <c r="F215" s="1">
        <f t="shared" si="284"/>
        <v>0</v>
      </c>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40"/>
      <c r="AR215" s="24"/>
      <c r="AS215" s="24"/>
    </row>
    <row r="216" spans="1:45" ht="15.75" customHeight="1" x14ac:dyDescent="0.25">
      <c r="A216" s="131" t="s">
        <v>73</v>
      </c>
      <c r="B216" s="101" t="s">
        <v>102</v>
      </c>
      <c r="C216" s="101" t="s">
        <v>152</v>
      </c>
      <c r="D216" s="26" t="s">
        <v>3</v>
      </c>
      <c r="E216" s="1">
        <f t="shared" si="284"/>
        <v>0</v>
      </c>
      <c r="F216" s="1">
        <f t="shared" si="284"/>
        <v>0</v>
      </c>
      <c r="G216" s="1"/>
      <c r="H216" s="1">
        <f>H217+H218+H219+H220</f>
        <v>0</v>
      </c>
      <c r="I216" s="1"/>
      <c r="J216" s="27"/>
      <c r="K216" s="1">
        <f t="shared" ref="K216:AO216" si="290">K217+K218+K219+K220</f>
        <v>0</v>
      </c>
      <c r="L216" s="1">
        <f t="shared" si="290"/>
        <v>0</v>
      </c>
      <c r="M216" s="27"/>
      <c r="N216" s="1">
        <f t="shared" si="290"/>
        <v>0</v>
      </c>
      <c r="O216" s="1">
        <f t="shared" si="290"/>
        <v>0</v>
      </c>
      <c r="P216" s="1"/>
      <c r="Q216" s="1">
        <f t="shared" si="290"/>
        <v>0</v>
      </c>
      <c r="R216" s="1"/>
      <c r="S216" s="27"/>
      <c r="T216" s="1">
        <f t="shared" si="290"/>
        <v>0</v>
      </c>
      <c r="U216" s="1"/>
      <c r="V216" s="27"/>
      <c r="W216" s="1">
        <f t="shared" si="290"/>
        <v>0</v>
      </c>
      <c r="X216" s="1">
        <f t="shared" si="290"/>
        <v>0</v>
      </c>
      <c r="Y216" s="27"/>
      <c r="Z216" s="1">
        <f t="shared" si="290"/>
        <v>0</v>
      </c>
      <c r="AA216" s="1"/>
      <c r="AB216" s="27"/>
      <c r="AC216" s="1">
        <f t="shared" si="290"/>
        <v>0</v>
      </c>
      <c r="AD216" s="1">
        <f t="shared" si="290"/>
        <v>0</v>
      </c>
      <c r="AE216" s="1"/>
      <c r="AF216" s="1">
        <f t="shared" si="290"/>
        <v>0</v>
      </c>
      <c r="AG216" s="1"/>
      <c r="AH216" s="27"/>
      <c r="AI216" s="1">
        <f t="shared" si="290"/>
        <v>0</v>
      </c>
      <c r="AJ216" s="1"/>
      <c r="AK216" s="27"/>
      <c r="AL216" s="1">
        <f t="shared" si="290"/>
        <v>0</v>
      </c>
      <c r="AM216" s="1"/>
      <c r="AN216" s="27"/>
      <c r="AO216" s="1">
        <f t="shared" si="290"/>
        <v>0</v>
      </c>
      <c r="AP216" s="1"/>
      <c r="AQ216" s="27"/>
      <c r="AR216" s="24"/>
      <c r="AS216" s="24"/>
    </row>
    <row r="217" spans="1:45" x14ac:dyDescent="0.25">
      <c r="A217" s="131"/>
      <c r="B217" s="101"/>
      <c r="C217" s="101"/>
      <c r="D217" s="26" t="s">
        <v>20</v>
      </c>
      <c r="E217" s="1">
        <f t="shared" ref="E217:F235" si="291">H217+K217+N217+Q217+T217+W217+Z217+AC217+AF217+AI217+AL217+AO217</f>
        <v>0</v>
      </c>
      <c r="F217" s="1">
        <f t="shared" si="291"/>
        <v>0</v>
      </c>
      <c r="G217" s="1"/>
      <c r="H217" s="1"/>
      <c r="I217" s="1"/>
      <c r="J217" s="27"/>
      <c r="K217" s="1"/>
      <c r="L217" s="1"/>
      <c r="M217" s="27"/>
      <c r="N217" s="1"/>
      <c r="O217" s="1"/>
      <c r="P217" s="1"/>
      <c r="Q217" s="1"/>
      <c r="R217" s="1"/>
      <c r="S217" s="27"/>
      <c r="T217" s="1"/>
      <c r="U217" s="1"/>
      <c r="V217" s="27"/>
      <c r="W217" s="1"/>
      <c r="X217" s="1"/>
      <c r="Y217" s="27"/>
      <c r="Z217" s="1"/>
      <c r="AA217" s="1"/>
      <c r="AB217" s="27"/>
      <c r="AC217" s="1"/>
      <c r="AD217" s="1"/>
      <c r="AE217" s="1"/>
      <c r="AF217" s="1"/>
      <c r="AG217" s="1"/>
      <c r="AH217" s="27"/>
      <c r="AI217" s="1"/>
      <c r="AJ217" s="1"/>
      <c r="AK217" s="27"/>
      <c r="AL217" s="1"/>
      <c r="AM217" s="1"/>
      <c r="AN217" s="27"/>
      <c r="AO217" s="1"/>
      <c r="AP217" s="1"/>
      <c r="AQ217" s="27"/>
      <c r="AR217" s="24"/>
      <c r="AS217" s="24"/>
    </row>
    <row r="218" spans="1:45" ht="24" x14ac:dyDescent="0.25">
      <c r="A218" s="131"/>
      <c r="B218" s="101"/>
      <c r="C218" s="101"/>
      <c r="D218" s="26" t="s">
        <v>4</v>
      </c>
      <c r="E218" s="1">
        <f t="shared" si="291"/>
        <v>0</v>
      </c>
      <c r="F218" s="1">
        <f t="shared" si="291"/>
        <v>0</v>
      </c>
      <c r="G218" s="1"/>
      <c r="H218" s="1"/>
      <c r="I218" s="1"/>
      <c r="J218" s="27"/>
      <c r="K218" s="1"/>
      <c r="L218" s="1"/>
      <c r="M218" s="27"/>
      <c r="N218" s="1"/>
      <c r="O218" s="1"/>
      <c r="P218" s="1"/>
      <c r="Q218" s="1"/>
      <c r="R218" s="1"/>
      <c r="S218" s="27"/>
      <c r="T218" s="1"/>
      <c r="U218" s="1"/>
      <c r="V218" s="27"/>
      <c r="W218" s="1"/>
      <c r="X218" s="1"/>
      <c r="Y218" s="27"/>
      <c r="Z218" s="1"/>
      <c r="AA218" s="1"/>
      <c r="AB218" s="27"/>
      <c r="AC218" s="1"/>
      <c r="AD218" s="1"/>
      <c r="AE218" s="1"/>
      <c r="AF218" s="1"/>
      <c r="AG218" s="1"/>
      <c r="AH218" s="27"/>
      <c r="AI218" s="1"/>
      <c r="AJ218" s="1"/>
      <c r="AK218" s="27"/>
      <c r="AL218" s="1"/>
      <c r="AM218" s="1"/>
      <c r="AN218" s="27"/>
      <c r="AO218" s="1"/>
      <c r="AP218" s="40"/>
      <c r="AQ218" s="27"/>
      <c r="AR218" s="24"/>
      <c r="AS218" s="24"/>
    </row>
    <row r="219" spans="1:45" x14ac:dyDescent="0.25">
      <c r="A219" s="131"/>
      <c r="B219" s="101"/>
      <c r="C219" s="101"/>
      <c r="D219" s="26" t="s">
        <v>43</v>
      </c>
      <c r="E219" s="1">
        <f t="shared" si="291"/>
        <v>0</v>
      </c>
      <c r="F219" s="1">
        <f t="shared" si="291"/>
        <v>0</v>
      </c>
      <c r="G219" s="1"/>
      <c r="H219" s="1"/>
      <c r="I219" s="1"/>
      <c r="J219" s="27"/>
      <c r="K219" s="1">
        <f>5-5</f>
        <v>0</v>
      </c>
      <c r="L219" s="1">
        <v>0</v>
      </c>
      <c r="M219" s="27"/>
      <c r="N219" s="1">
        <f>5-5</f>
        <v>0</v>
      </c>
      <c r="O219" s="1"/>
      <c r="P219" s="1"/>
      <c r="Q219" s="1"/>
      <c r="R219" s="1"/>
      <c r="S219" s="27"/>
      <c r="T219" s="1"/>
      <c r="U219" s="1"/>
      <c r="V219" s="27"/>
      <c r="W219" s="1"/>
      <c r="X219" s="1"/>
      <c r="Y219" s="27"/>
      <c r="Z219" s="1"/>
      <c r="AA219" s="1"/>
      <c r="AB219" s="27"/>
      <c r="AC219" s="1"/>
      <c r="AD219" s="1"/>
      <c r="AE219" s="1"/>
      <c r="AF219" s="1"/>
      <c r="AG219" s="1"/>
      <c r="AH219" s="27"/>
      <c r="AI219" s="1"/>
      <c r="AJ219" s="1"/>
      <c r="AK219" s="27"/>
      <c r="AL219" s="1">
        <f>15-15</f>
        <v>0</v>
      </c>
      <c r="AM219" s="1"/>
      <c r="AN219" s="27"/>
      <c r="AO219" s="1">
        <f>15+10-25</f>
        <v>0</v>
      </c>
      <c r="AP219" s="1"/>
      <c r="AQ219" s="27"/>
      <c r="AR219" s="21"/>
      <c r="AS219" s="21"/>
    </row>
    <row r="220" spans="1:45" x14ac:dyDescent="0.25">
      <c r="A220" s="131"/>
      <c r="B220" s="101"/>
      <c r="C220" s="101"/>
      <c r="D220" s="26" t="s">
        <v>21</v>
      </c>
      <c r="E220" s="1">
        <f t="shared" si="291"/>
        <v>0</v>
      </c>
      <c r="F220" s="1">
        <f t="shared" si="291"/>
        <v>0</v>
      </c>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40"/>
      <c r="AR220" s="24"/>
      <c r="AS220" s="24"/>
    </row>
    <row r="221" spans="1:45" ht="13.15" customHeight="1" x14ac:dyDescent="0.25">
      <c r="A221" s="132" t="s">
        <v>74</v>
      </c>
      <c r="B221" s="101" t="s">
        <v>137</v>
      </c>
      <c r="C221" s="101" t="s">
        <v>152</v>
      </c>
      <c r="D221" s="26" t="s">
        <v>3</v>
      </c>
      <c r="E221" s="1">
        <f t="shared" si="291"/>
        <v>159258.5</v>
      </c>
      <c r="F221" s="1">
        <f t="shared" si="291"/>
        <v>74733.5</v>
      </c>
      <c r="G221" s="1">
        <f>F221/E221*100</f>
        <v>46.925909763058172</v>
      </c>
      <c r="H221" s="1">
        <f>H222+H223+H224+H225</f>
        <v>0</v>
      </c>
      <c r="I221" s="1">
        <f>I222+I223+I224+I225</f>
        <v>0</v>
      </c>
      <c r="J221" s="1"/>
      <c r="K221" s="1">
        <f t="shared" ref="K221:AO221" si="292">K222+K223+K224+K225</f>
        <v>16754</v>
      </c>
      <c r="L221" s="1">
        <f t="shared" si="292"/>
        <v>16754</v>
      </c>
      <c r="M221" s="1">
        <f t="shared" ref="M221:M224" si="293">L221/K221*100</f>
        <v>100</v>
      </c>
      <c r="N221" s="1">
        <f t="shared" si="292"/>
        <v>9947.1999999999989</v>
      </c>
      <c r="O221" s="1">
        <f t="shared" si="292"/>
        <v>9708.2999999999993</v>
      </c>
      <c r="P221" s="1">
        <f t="shared" ref="P221:P224" si="294">O221/N221*100</f>
        <v>97.598319124979895</v>
      </c>
      <c r="Q221" s="1">
        <f t="shared" si="292"/>
        <v>20622.600000000002</v>
      </c>
      <c r="R221" s="1">
        <f t="shared" si="292"/>
        <v>14765.6</v>
      </c>
      <c r="S221" s="1">
        <f>R221/Q221*100</f>
        <v>71.599119412683166</v>
      </c>
      <c r="T221" s="1">
        <f t="shared" si="292"/>
        <v>17582</v>
      </c>
      <c r="U221" s="1">
        <f t="shared" si="292"/>
        <v>18240.8</v>
      </c>
      <c r="V221" s="1">
        <f>U221/T221*100</f>
        <v>103.74701399158231</v>
      </c>
      <c r="W221" s="1">
        <f t="shared" si="292"/>
        <v>16361</v>
      </c>
      <c r="X221" s="1">
        <f t="shared" si="292"/>
        <v>15258.2</v>
      </c>
      <c r="Y221" s="1">
        <f>X221/W221*100</f>
        <v>93.259580710225549</v>
      </c>
      <c r="Z221" s="1">
        <f t="shared" si="292"/>
        <v>3</v>
      </c>
      <c r="AA221" s="1">
        <f t="shared" si="292"/>
        <v>6.6</v>
      </c>
      <c r="AB221" s="1">
        <f>AA221/Z221*100</f>
        <v>219.99999999999997</v>
      </c>
      <c r="AC221" s="1">
        <f t="shared" si="292"/>
        <v>0</v>
      </c>
      <c r="AD221" s="1">
        <f t="shared" si="292"/>
        <v>0</v>
      </c>
      <c r="AE221" s="27"/>
      <c r="AF221" s="1">
        <f t="shared" si="292"/>
        <v>0</v>
      </c>
      <c r="AG221" s="1">
        <f t="shared" si="292"/>
        <v>0</v>
      </c>
      <c r="AH221" s="1"/>
      <c r="AI221" s="1">
        <f t="shared" si="292"/>
        <v>21235.4</v>
      </c>
      <c r="AJ221" s="1">
        <f t="shared" si="292"/>
        <v>0</v>
      </c>
      <c r="AK221" s="1">
        <f>AJ221/AI221*100</f>
        <v>0</v>
      </c>
      <c r="AL221" s="1">
        <f t="shared" si="292"/>
        <v>20665.400000000001</v>
      </c>
      <c r="AM221" s="1">
        <f t="shared" si="292"/>
        <v>0</v>
      </c>
      <c r="AN221" s="1">
        <f>AM221/AL221*100</f>
        <v>0</v>
      </c>
      <c r="AO221" s="1">
        <f t="shared" si="292"/>
        <v>36087.9</v>
      </c>
      <c r="AP221" s="1"/>
      <c r="AQ221" s="1">
        <f>AP221/AO221*100</f>
        <v>0</v>
      </c>
      <c r="AR221" s="24"/>
      <c r="AS221" s="24"/>
    </row>
    <row r="222" spans="1:45" ht="15" customHeight="1" x14ac:dyDescent="0.25">
      <c r="A222" s="132"/>
      <c r="B222" s="101"/>
      <c r="C222" s="101"/>
      <c r="D222" s="26" t="s">
        <v>20</v>
      </c>
      <c r="E222" s="1">
        <f t="shared" si="291"/>
        <v>15403.2</v>
      </c>
      <c r="F222" s="1">
        <f t="shared" si="291"/>
        <v>6215.3</v>
      </c>
      <c r="G222" s="1">
        <f>F222/E222*100</f>
        <v>40.350706346733148</v>
      </c>
      <c r="H222" s="1"/>
      <c r="I222" s="1"/>
      <c r="J222" s="1"/>
      <c r="K222" s="1">
        <f>1347-157.9</f>
        <v>1189.0999999999999</v>
      </c>
      <c r="L222" s="1">
        <v>1189.0999999999999</v>
      </c>
      <c r="M222" s="1">
        <f t="shared" si="293"/>
        <v>100</v>
      </c>
      <c r="N222" s="1">
        <f>1257-396.4</f>
        <v>860.6</v>
      </c>
      <c r="O222" s="1">
        <v>844.1</v>
      </c>
      <c r="P222" s="1">
        <f t="shared" si="294"/>
        <v>98.082732976992787</v>
      </c>
      <c r="Q222" s="1">
        <f>1607+215.8</f>
        <v>1822.8</v>
      </c>
      <c r="R222" s="1">
        <v>1280</v>
      </c>
      <c r="S222" s="1">
        <f t="shared" ref="S222:S223" si="295">R222/Q222*100</f>
        <v>70.221637041913539</v>
      </c>
      <c r="T222" s="1">
        <v>1536</v>
      </c>
      <c r="U222" s="1">
        <v>1569.9</v>
      </c>
      <c r="V222" s="1">
        <f>U222/T222*100</f>
        <v>102.20703125000001</v>
      </c>
      <c r="W222" s="1">
        <v>1422</v>
      </c>
      <c r="X222" s="1">
        <v>1332.2</v>
      </c>
      <c r="Y222" s="1">
        <f>X222/W222*100</f>
        <v>93.68495077355837</v>
      </c>
      <c r="Z222" s="1"/>
      <c r="AA222" s="1">
        <v>0</v>
      </c>
      <c r="AB222" s="1"/>
      <c r="AC222" s="1"/>
      <c r="AD222" s="1"/>
      <c r="AE222" s="27"/>
      <c r="AF222" s="1"/>
      <c r="AG222" s="1"/>
      <c r="AH222" s="1"/>
      <c r="AI222" s="1">
        <v>1977</v>
      </c>
      <c r="AJ222" s="1"/>
      <c r="AK222" s="1">
        <f t="shared" ref="AK222:AK223" si="296">AJ222/AI222*100</f>
        <v>0</v>
      </c>
      <c r="AL222" s="1">
        <v>1874</v>
      </c>
      <c r="AM222" s="1"/>
      <c r="AN222" s="1">
        <f>AM222/AL222*100</f>
        <v>0</v>
      </c>
      <c r="AO222" s="1">
        <f>3739.9+643.3+338.5</f>
        <v>4721.7</v>
      </c>
      <c r="AP222" s="1"/>
      <c r="AQ222" s="1">
        <f>AP222/AO222*100</f>
        <v>0</v>
      </c>
      <c r="AR222" s="98" t="s">
        <v>176</v>
      </c>
      <c r="AS222" s="98" t="s">
        <v>180</v>
      </c>
    </row>
    <row r="223" spans="1:45" ht="24.6" customHeight="1" x14ac:dyDescent="0.25">
      <c r="A223" s="132"/>
      <c r="B223" s="101"/>
      <c r="C223" s="101"/>
      <c r="D223" s="26" t="s">
        <v>4</v>
      </c>
      <c r="E223" s="1">
        <f t="shared" si="291"/>
        <v>116571.1</v>
      </c>
      <c r="F223" s="1">
        <f t="shared" si="291"/>
        <v>55826.600000000006</v>
      </c>
      <c r="G223" s="1">
        <f>F223/E223*100</f>
        <v>47.890600672036207</v>
      </c>
      <c r="H223" s="1"/>
      <c r="I223" s="1"/>
      <c r="J223" s="1"/>
      <c r="K223" s="1">
        <v>12663</v>
      </c>
      <c r="L223" s="1">
        <v>12663</v>
      </c>
      <c r="M223" s="1">
        <f t="shared" si="293"/>
        <v>100</v>
      </c>
      <c r="N223" s="1">
        <f>11972.6-4450.8</f>
        <v>7521.8</v>
      </c>
      <c r="O223" s="1">
        <v>7501.8</v>
      </c>
      <c r="P223" s="1">
        <f t="shared" si="294"/>
        <v>99.734106197984531</v>
      </c>
      <c r="Q223" s="1">
        <f>12614+2360.9</f>
        <v>14974.9</v>
      </c>
      <c r="R223" s="1">
        <v>10859.1</v>
      </c>
      <c r="S223" s="1">
        <f t="shared" si="295"/>
        <v>72.515342339514788</v>
      </c>
      <c r="T223" s="1">
        <v>12761</v>
      </c>
      <c r="U223" s="1">
        <v>13459.7</v>
      </c>
      <c r="V223" s="1">
        <f>U223/T223*100</f>
        <v>105.4752762322702</v>
      </c>
      <c r="W223" s="1">
        <v>11986</v>
      </c>
      <c r="X223" s="1">
        <v>11336.4</v>
      </c>
      <c r="Y223" s="1">
        <f>X223/W223*100</f>
        <v>94.580343734356745</v>
      </c>
      <c r="Z223" s="1">
        <v>3</v>
      </c>
      <c r="AA223" s="1">
        <v>6.6</v>
      </c>
      <c r="AB223" s="1">
        <f>AA223/Z223*100</f>
        <v>219.99999999999997</v>
      </c>
      <c r="AC223" s="1"/>
      <c r="AD223" s="1"/>
      <c r="AE223" s="27"/>
      <c r="AF223" s="1"/>
      <c r="AG223" s="1"/>
      <c r="AH223" s="1"/>
      <c r="AI223" s="1">
        <v>15456</v>
      </c>
      <c r="AJ223" s="1"/>
      <c r="AK223" s="1">
        <f t="shared" si="296"/>
        <v>0</v>
      </c>
      <c r="AL223" s="1">
        <v>15177</v>
      </c>
      <c r="AM223" s="1"/>
      <c r="AN223" s="1">
        <f>AM223/AL223*100</f>
        <v>0</v>
      </c>
      <c r="AO223" s="1">
        <f>23152.4+786.1+2089.9</f>
        <v>26028.400000000001</v>
      </c>
      <c r="AP223" s="40"/>
      <c r="AQ223" s="1">
        <f>AP223/AO223*100</f>
        <v>0</v>
      </c>
      <c r="AR223" s="99"/>
      <c r="AS223" s="99"/>
    </row>
    <row r="224" spans="1:45" ht="13.5" customHeight="1" x14ac:dyDescent="0.25">
      <c r="A224" s="132"/>
      <c r="B224" s="101"/>
      <c r="C224" s="101"/>
      <c r="D224" s="26" t="s">
        <v>43</v>
      </c>
      <c r="E224" s="1">
        <f t="shared" si="291"/>
        <v>27284.2</v>
      </c>
      <c r="F224" s="1">
        <f t="shared" si="291"/>
        <v>12691.6</v>
      </c>
      <c r="G224" s="1">
        <f>F224/E224*100</f>
        <v>46.516298810300469</v>
      </c>
      <c r="H224" s="1"/>
      <c r="I224" s="1"/>
      <c r="J224" s="27"/>
      <c r="K224" s="1">
        <f>2851+50.9</f>
        <v>2901.9</v>
      </c>
      <c r="L224" s="1">
        <v>2901.9</v>
      </c>
      <c r="M224" s="1">
        <f t="shared" si="293"/>
        <v>100</v>
      </c>
      <c r="N224" s="1">
        <f>3069-1453.3-50.9</f>
        <v>1564.8</v>
      </c>
      <c r="O224" s="1">
        <v>1362.4</v>
      </c>
      <c r="P224" s="1">
        <f t="shared" si="294"/>
        <v>87.065439672801645</v>
      </c>
      <c r="Q224" s="1">
        <f>3225+599.9</f>
        <v>3824.9</v>
      </c>
      <c r="R224" s="1">
        <v>2626.5</v>
      </c>
      <c r="S224" s="1">
        <f>R224/Q224*100</f>
        <v>68.668461920573094</v>
      </c>
      <c r="T224" s="1">
        <v>3285</v>
      </c>
      <c r="U224" s="1">
        <v>3211.2</v>
      </c>
      <c r="V224" s="1">
        <f>U224/T224*100</f>
        <v>97.753424657534239</v>
      </c>
      <c r="W224" s="1">
        <v>2953</v>
      </c>
      <c r="X224" s="1">
        <v>2589.6</v>
      </c>
      <c r="Y224" s="1">
        <f>X224/W224*100</f>
        <v>87.693870640027086</v>
      </c>
      <c r="Z224" s="1"/>
      <c r="AA224" s="1">
        <v>0</v>
      </c>
      <c r="AB224" s="1"/>
      <c r="AC224" s="1"/>
      <c r="AD224" s="1"/>
      <c r="AE224" s="27"/>
      <c r="AF224" s="1"/>
      <c r="AG224" s="1"/>
      <c r="AH224" s="1"/>
      <c r="AI224" s="1">
        <v>3802.4</v>
      </c>
      <c r="AJ224" s="1"/>
      <c r="AK224" s="1">
        <f>AJ224/AI224*100</f>
        <v>0</v>
      </c>
      <c r="AL224" s="1">
        <v>3614.4</v>
      </c>
      <c r="AM224" s="1"/>
      <c r="AN224" s="1">
        <f>AM224/AL224*100</f>
        <v>0</v>
      </c>
      <c r="AO224" s="1">
        <f>4661.4+193+853.4-370</f>
        <v>5337.7999999999993</v>
      </c>
      <c r="AP224" s="1"/>
      <c r="AQ224" s="1">
        <f>AP224/AO224*100</f>
        <v>0</v>
      </c>
      <c r="AR224" s="100"/>
      <c r="AS224" s="100"/>
    </row>
    <row r="225" spans="1:45" x14ac:dyDescent="0.25">
      <c r="A225" s="132"/>
      <c r="B225" s="101"/>
      <c r="C225" s="101"/>
      <c r="D225" s="26" t="s">
        <v>21</v>
      </c>
      <c r="E225" s="1">
        <f t="shared" si="291"/>
        <v>0</v>
      </c>
      <c r="F225" s="1">
        <f t="shared" si="291"/>
        <v>0</v>
      </c>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24"/>
      <c r="AS225" s="24"/>
    </row>
    <row r="226" spans="1:45" ht="12.6" customHeight="1" x14ac:dyDescent="0.25">
      <c r="A226" s="132" t="s">
        <v>136</v>
      </c>
      <c r="B226" s="101" t="s">
        <v>138</v>
      </c>
      <c r="C226" s="101" t="s">
        <v>152</v>
      </c>
      <c r="D226" s="26" t="s">
        <v>3</v>
      </c>
      <c r="E226" s="1">
        <f t="shared" si="291"/>
        <v>38862.700000000004</v>
      </c>
      <c r="F226" s="1">
        <f t="shared" si="291"/>
        <v>15681.397720000001</v>
      </c>
      <c r="G226" s="1">
        <f>F226/E226*100</f>
        <v>40.350767496854303</v>
      </c>
      <c r="H226" s="1">
        <f>H227+H228+H229+H230</f>
        <v>0</v>
      </c>
      <c r="I226" s="1"/>
      <c r="J226" s="27"/>
      <c r="K226" s="1">
        <f t="shared" ref="K226:L226" si="297">K227+K228+K229+K230</f>
        <v>3236.7999999999997</v>
      </c>
      <c r="L226" s="1">
        <f t="shared" si="297"/>
        <v>3000.0999999999995</v>
      </c>
      <c r="M226" s="1">
        <f t="shared" ref="M226:M229" si="298">L226/K226*100</f>
        <v>92.687221947602566</v>
      </c>
      <c r="N226" s="1">
        <f t="shared" ref="N226:O226" si="299">N227+N228+N229+N230</f>
        <v>1934.4999999999998</v>
      </c>
      <c r="O226" s="1">
        <f t="shared" si="299"/>
        <v>2129.8000000000002</v>
      </c>
      <c r="P226" s="1">
        <f t="shared" ref="P226:P229" si="300">O226/N226*100</f>
        <v>110.09563194623937</v>
      </c>
      <c r="Q226" s="1">
        <f t="shared" ref="Q226:R226" si="301">Q227+Q228+Q229+Q230</f>
        <v>4584.2</v>
      </c>
      <c r="R226" s="1">
        <f t="shared" si="301"/>
        <v>3229.3</v>
      </c>
      <c r="S226" s="1">
        <f>R226/Q226*100</f>
        <v>70.444134200078537</v>
      </c>
      <c r="T226" s="1">
        <f t="shared" ref="T226:U226" si="302">T227+T228+T229+T230</f>
        <v>3811</v>
      </c>
      <c r="U226" s="1">
        <f t="shared" si="302"/>
        <v>3961</v>
      </c>
      <c r="V226" s="1">
        <f>U226/T226*100</f>
        <v>103.93597480976122</v>
      </c>
      <c r="W226" s="1">
        <f t="shared" ref="W226:X226" si="303">W227+W228+W229+W230</f>
        <v>3613</v>
      </c>
      <c r="X226" s="1">
        <f t="shared" si="303"/>
        <v>3361.1977200000001</v>
      </c>
      <c r="Y226" s="1">
        <f>X226/W226*100</f>
        <v>93.03065928591198</v>
      </c>
      <c r="Z226" s="1">
        <f t="shared" ref="Z226:AA226" si="304">Z227+Z228+Z229+Z230</f>
        <v>0</v>
      </c>
      <c r="AA226" s="1">
        <f t="shared" si="304"/>
        <v>0</v>
      </c>
      <c r="AB226" s="1"/>
      <c r="AC226" s="1">
        <f t="shared" ref="AC226:AD226" si="305">AC227+AC228+AC229+AC230</f>
        <v>0</v>
      </c>
      <c r="AD226" s="1">
        <f t="shared" si="305"/>
        <v>0</v>
      </c>
      <c r="AE226" s="27"/>
      <c r="AF226" s="1">
        <f t="shared" ref="AF226:AG226" si="306">AF227+AF228+AF229+AF230</f>
        <v>0</v>
      </c>
      <c r="AG226" s="1">
        <f t="shared" si="306"/>
        <v>0</v>
      </c>
      <c r="AH226" s="27"/>
      <c r="AI226" s="1">
        <f t="shared" ref="AI226:AJ226" si="307">AI227+AI228+AI229+AI230</f>
        <v>5081.3999999999996</v>
      </c>
      <c r="AJ226" s="1">
        <f t="shared" si="307"/>
        <v>0</v>
      </c>
      <c r="AK226" s="1">
        <f>AJ226/AI226*100</f>
        <v>0</v>
      </c>
      <c r="AL226" s="1">
        <f t="shared" ref="AL226:AM226" si="308">AL227+AL228+AL229+AL230</f>
        <v>4889</v>
      </c>
      <c r="AM226" s="1">
        <f t="shared" si="308"/>
        <v>0</v>
      </c>
      <c r="AN226" s="1">
        <f>AM226/AL226*100</f>
        <v>0</v>
      </c>
      <c r="AO226" s="1">
        <f t="shared" ref="AO226" si="309">AO227+AO228+AO229+AO230</f>
        <v>11712.800000000001</v>
      </c>
      <c r="AP226" s="1"/>
      <c r="AQ226" s="1">
        <f>AP226/AO226*100</f>
        <v>0</v>
      </c>
      <c r="AR226" s="24"/>
      <c r="AS226" s="24"/>
    </row>
    <row r="227" spans="1:45" ht="14.25" customHeight="1" x14ac:dyDescent="0.25">
      <c r="A227" s="132"/>
      <c r="B227" s="101"/>
      <c r="C227" s="101"/>
      <c r="D227" s="26" t="s">
        <v>20</v>
      </c>
      <c r="E227" s="1">
        <f t="shared" si="291"/>
        <v>15403.2</v>
      </c>
      <c r="F227" s="1">
        <f t="shared" si="291"/>
        <v>6215.3</v>
      </c>
      <c r="G227" s="1">
        <f>F227/E227*100</f>
        <v>40.350706346733148</v>
      </c>
      <c r="H227" s="1"/>
      <c r="I227" s="1"/>
      <c r="J227" s="1"/>
      <c r="K227" s="1">
        <f>1347-157.9</f>
        <v>1189.0999999999999</v>
      </c>
      <c r="L227" s="1">
        <v>1189.0999999999999</v>
      </c>
      <c r="M227" s="1">
        <f t="shared" si="298"/>
        <v>100</v>
      </c>
      <c r="N227" s="1">
        <f>1257-396.4</f>
        <v>860.6</v>
      </c>
      <c r="O227" s="1">
        <v>844.1</v>
      </c>
      <c r="P227" s="1">
        <f t="shared" si="300"/>
        <v>98.082732976992787</v>
      </c>
      <c r="Q227" s="1">
        <f>1607+215.8</f>
        <v>1822.8</v>
      </c>
      <c r="R227" s="1">
        <v>1280</v>
      </c>
      <c r="S227" s="1">
        <f t="shared" ref="S227" si="310">R227/Q227*100</f>
        <v>70.221637041913539</v>
      </c>
      <c r="T227" s="1">
        <v>1536</v>
      </c>
      <c r="U227" s="1">
        <v>1569.9</v>
      </c>
      <c r="V227" s="1">
        <f>U227/T227*100</f>
        <v>102.20703125000001</v>
      </c>
      <c r="W227" s="1">
        <v>1422</v>
      </c>
      <c r="X227" s="1">
        <v>1332.2</v>
      </c>
      <c r="Y227" s="1">
        <f>X227/W227*100</f>
        <v>93.68495077355837</v>
      </c>
      <c r="Z227" s="1"/>
      <c r="AA227" s="1">
        <v>0</v>
      </c>
      <c r="AB227" s="1"/>
      <c r="AC227" s="1"/>
      <c r="AD227" s="1"/>
      <c r="AE227" s="27"/>
      <c r="AF227" s="1"/>
      <c r="AG227" s="1"/>
      <c r="AH227" s="1"/>
      <c r="AI227" s="1">
        <v>1977</v>
      </c>
      <c r="AJ227" s="1"/>
      <c r="AK227" s="1">
        <f t="shared" ref="AK227" si="311">AJ227/AI227*100</f>
        <v>0</v>
      </c>
      <c r="AL227" s="1">
        <v>1874</v>
      </c>
      <c r="AM227" s="1"/>
      <c r="AN227" s="1">
        <f>AM227/AL227*100</f>
        <v>0</v>
      </c>
      <c r="AO227" s="1">
        <f>3739.9+643.3+338.5</f>
        <v>4721.7</v>
      </c>
      <c r="AP227" s="1"/>
      <c r="AQ227" s="1">
        <f>AP227/AO227*100</f>
        <v>0</v>
      </c>
      <c r="AR227" s="98" t="s">
        <v>177</v>
      </c>
      <c r="AS227" s="98" t="s">
        <v>180</v>
      </c>
    </row>
    <row r="228" spans="1:45" ht="25.5" customHeight="1" x14ac:dyDescent="0.25">
      <c r="A228" s="132"/>
      <c r="B228" s="101"/>
      <c r="C228" s="101"/>
      <c r="D228" s="26" t="s">
        <v>4</v>
      </c>
      <c r="E228" s="1">
        <f t="shared" si="291"/>
        <v>18826.2</v>
      </c>
      <c r="F228" s="1">
        <f t="shared" si="291"/>
        <v>7596.4977199999994</v>
      </c>
      <c r="G228" s="1">
        <f>F228/E228*100</f>
        <v>40.350669386280821</v>
      </c>
      <c r="H228" s="1">
        <v>0</v>
      </c>
      <c r="I228" s="1"/>
      <c r="J228" s="27"/>
      <c r="K228" s="1">
        <v>1690</v>
      </c>
      <c r="L228" s="1">
        <v>1453.3</v>
      </c>
      <c r="M228" s="1">
        <f t="shared" si="298"/>
        <v>85.994082840236686</v>
      </c>
      <c r="N228" s="1">
        <f>1670.6-855.5</f>
        <v>815.09999999999991</v>
      </c>
      <c r="O228" s="1">
        <v>1031.8</v>
      </c>
      <c r="P228" s="1">
        <f t="shared" si="300"/>
        <v>126.58569500674766</v>
      </c>
      <c r="Q228" s="1">
        <f>1955+258.2</f>
        <v>2213.1999999999998</v>
      </c>
      <c r="R228" s="1">
        <v>1564.3</v>
      </c>
      <c r="S228" s="1">
        <f>R228/Q228*100</f>
        <v>70.680462678474612</v>
      </c>
      <c r="T228" s="1">
        <v>1807</v>
      </c>
      <c r="U228" s="1">
        <v>1918.9</v>
      </c>
      <c r="V228" s="1">
        <f t="shared" ref="V228:V229" si="312">U228/T228*100</f>
        <v>106.19258439402324</v>
      </c>
      <c r="W228" s="1">
        <v>1761</v>
      </c>
      <c r="X228" s="1">
        <v>1628.1977200000001</v>
      </c>
      <c r="Y228" s="1">
        <f>X228/W228*100</f>
        <v>92.458700738216919</v>
      </c>
      <c r="Z228" s="1"/>
      <c r="AA228" s="1">
        <v>0</v>
      </c>
      <c r="AB228" s="1"/>
      <c r="AC228" s="1"/>
      <c r="AD228" s="1"/>
      <c r="AE228" s="27"/>
      <c r="AF228" s="1"/>
      <c r="AG228" s="1"/>
      <c r="AH228" s="27"/>
      <c r="AI228" s="1">
        <v>2526</v>
      </c>
      <c r="AJ228" s="1"/>
      <c r="AK228" s="1"/>
      <c r="AL228" s="1">
        <v>2466</v>
      </c>
      <c r="AM228" s="1"/>
      <c r="AN228" s="1">
        <f>AM228/AL228*100</f>
        <v>0</v>
      </c>
      <c r="AO228" s="1">
        <f>4164.5+786.1+597.3</f>
        <v>5547.9000000000005</v>
      </c>
      <c r="AP228" s="40"/>
      <c r="AQ228" s="1">
        <f>AP228/AO228*100</f>
        <v>0</v>
      </c>
      <c r="AR228" s="99"/>
      <c r="AS228" s="99"/>
    </row>
    <row r="229" spans="1:45" ht="20.25" customHeight="1" x14ac:dyDescent="0.25">
      <c r="A229" s="132"/>
      <c r="B229" s="101"/>
      <c r="C229" s="101"/>
      <c r="D229" s="26" t="s">
        <v>43</v>
      </c>
      <c r="E229" s="1">
        <f t="shared" si="291"/>
        <v>4633.3</v>
      </c>
      <c r="F229" s="1">
        <f t="shared" si="291"/>
        <v>1869.6</v>
      </c>
      <c r="G229" s="1">
        <f>F229/E229*100</f>
        <v>40.351369434312474</v>
      </c>
      <c r="H229" s="1"/>
      <c r="I229" s="1"/>
      <c r="J229" s="27"/>
      <c r="K229" s="1">
        <f>414-56.3</f>
        <v>357.7</v>
      </c>
      <c r="L229" s="1">
        <v>357.7</v>
      </c>
      <c r="M229" s="1">
        <f t="shared" si="298"/>
        <v>100</v>
      </c>
      <c r="N229" s="1">
        <f>409-206.5+56.3</f>
        <v>258.8</v>
      </c>
      <c r="O229" s="1">
        <v>253.9</v>
      </c>
      <c r="P229" s="1">
        <f t="shared" si="300"/>
        <v>98.106646058732608</v>
      </c>
      <c r="Q229" s="1">
        <f>485+63.2</f>
        <v>548.20000000000005</v>
      </c>
      <c r="R229" s="1">
        <v>385</v>
      </c>
      <c r="S229" s="1">
        <f>R229/Q229*100</f>
        <v>70.229843122947827</v>
      </c>
      <c r="T229" s="1">
        <v>468</v>
      </c>
      <c r="U229" s="1">
        <v>472.2</v>
      </c>
      <c r="V229" s="1">
        <f t="shared" si="312"/>
        <v>100.8974358974359</v>
      </c>
      <c r="W229" s="1">
        <v>430</v>
      </c>
      <c r="X229" s="1">
        <v>400.8</v>
      </c>
      <c r="Y229" s="1">
        <f>X229/W229*100</f>
        <v>93.209302325581405</v>
      </c>
      <c r="Z229" s="1">
        <v>0</v>
      </c>
      <c r="AA229" s="1">
        <v>0</v>
      </c>
      <c r="AB229" s="1"/>
      <c r="AC229" s="1">
        <v>0</v>
      </c>
      <c r="AD229" s="1"/>
      <c r="AE229" s="27"/>
      <c r="AF229" s="1"/>
      <c r="AG229" s="1"/>
      <c r="AH229" s="27"/>
      <c r="AI229" s="1">
        <v>578.4</v>
      </c>
      <c r="AJ229" s="1"/>
      <c r="AK229" s="1">
        <f>AJ229/AI229*100</f>
        <v>0</v>
      </c>
      <c r="AL229" s="1">
        <v>549</v>
      </c>
      <c r="AM229" s="1"/>
      <c r="AN229" s="1">
        <f>AM229/AL229*100</f>
        <v>0</v>
      </c>
      <c r="AO229" s="1">
        <f>1106.9+193+143.3</f>
        <v>1443.2</v>
      </c>
      <c r="AP229" s="1"/>
      <c r="AQ229" s="1">
        <f>AP229/AO229*100</f>
        <v>0</v>
      </c>
      <c r="AR229" s="100"/>
      <c r="AS229" s="100"/>
    </row>
    <row r="230" spans="1:45" ht="13.15" customHeight="1" x14ac:dyDescent="0.25">
      <c r="A230" s="132"/>
      <c r="B230" s="101"/>
      <c r="C230" s="101"/>
      <c r="D230" s="26" t="s">
        <v>21</v>
      </c>
      <c r="E230" s="1">
        <f t="shared" si="291"/>
        <v>0</v>
      </c>
      <c r="F230" s="1">
        <f t="shared" si="291"/>
        <v>0</v>
      </c>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24"/>
      <c r="AS230" s="24"/>
    </row>
    <row r="231" spans="1:45" x14ac:dyDescent="0.25">
      <c r="A231" s="104" t="s">
        <v>13</v>
      </c>
      <c r="B231" s="104"/>
      <c r="C231" s="104"/>
      <c r="D231" s="30" t="s">
        <v>3</v>
      </c>
      <c r="E231" s="31">
        <f t="shared" si="291"/>
        <v>159356.5</v>
      </c>
      <c r="F231" s="31">
        <f t="shared" si="291"/>
        <v>74823.5</v>
      </c>
      <c r="G231" s="31">
        <f>F231/E231*100</f>
        <v>46.953528723334159</v>
      </c>
      <c r="H231" s="31">
        <f>H232+H233+H234+H235</f>
        <v>0</v>
      </c>
      <c r="I231" s="31">
        <f>I232+I233+I234+I235</f>
        <v>0</v>
      </c>
      <c r="J231" s="31"/>
      <c r="K231" s="31">
        <f t="shared" ref="K231:AO231" si="313">K232+K233+K234+K235</f>
        <v>16754</v>
      </c>
      <c r="L231" s="31">
        <f t="shared" si="313"/>
        <v>16754</v>
      </c>
      <c r="M231" s="31">
        <f t="shared" ref="M231:M234" si="314">L231/K231*100</f>
        <v>100</v>
      </c>
      <c r="N231" s="31">
        <f t="shared" si="313"/>
        <v>10045.199999999999</v>
      </c>
      <c r="O231" s="31">
        <f t="shared" si="313"/>
        <v>9778.6</v>
      </c>
      <c r="P231" s="31">
        <f t="shared" ref="P231:P234" si="315">O231/N231*100</f>
        <v>97.34599609763869</v>
      </c>
      <c r="Q231" s="31">
        <f t="shared" si="313"/>
        <v>20622.600000000002</v>
      </c>
      <c r="R231" s="31">
        <f t="shared" si="313"/>
        <v>14765.6</v>
      </c>
      <c r="S231" s="31">
        <f>R231/Q231*100</f>
        <v>71.599119412683166</v>
      </c>
      <c r="T231" s="31">
        <f t="shared" si="313"/>
        <v>17582</v>
      </c>
      <c r="U231" s="31">
        <f t="shared" si="313"/>
        <v>18240.8</v>
      </c>
      <c r="V231" s="31">
        <f>U231/T231*100</f>
        <v>103.74701399158231</v>
      </c>
      <c r="W231" s="31">
        <f t="shared" si="313"/>
        <v>16361</v>
      </c>
      <c r="X231" s="31">
        <f t="shared" si="313"/>
        <v>15277.9</v>
      </c>
      <c r="Y231" s="31">
        <f>X231/W231*100</f>
        <v>93.379988998227489</v>
      </c>
      <c r="Z231" s="31">
        <f t="shared" ref="Z231:AA231" si="316">Z232+Z233+Z234+Z235</f>
        <v>3</v>
      </c>
      <c r="AA231" s="31">
        <f t="shared" si="316"/>
        <v>6.6</v>
      </c>
      <c r="AB231" s="31">
        <f>AA231/Z231*100</f>
        <v>219.99999999999997</v>
      </c>
      <c r="AC231" s="31">
        <f t="shared" si="313"/>
        <v>0</v>
      </c>
      <c r="AD231" s="31">
        <f t="shared" si="313"/>
        <v>0</v>
      </c>
      <c r="AE231" s="31"/>
      <c r="AF231" s="31">
        <f t="shared" si="313"/>
        <v>0</v>
      </c>
      <c r="AG231" s="31">
        <f t="shared" si="313"/>
        <v>0</v>
      </c>
      <c r="AH231" s="32"/>
      <c r="AI231" s="31">
        <f t="shared" si="313"/>
        <v>21235.4</v>
      </c>
      <c r="AJ231" s="31">
        <f t="shared" si="313"/>
        <v>0</v>
      </c>
      <c r="AK231" s="31">
        <f>AJ231/AI231*100</f>
        <v>0</v>
      </c>
      <c r="AL231" s="31">
        <f t="shared" si="313"/>
        <v>20665.400000000001</v>
      </c>
      <c r="AM231" s="31">
        <f t="shared" si="313"/>
        <v>0</v>
      </c>
      <c r="AN231" s="31">
        <f>AM231/AL231*100</f>
        <v>0</v>
      </c>
      <c r="AO231" s="31">
        <f t="shared" si="313"/>
        <v>36087.9</v>
      </c>
      <c r="AP231" s="31"/>
      <c r="AQ231" s="31">
        <f>AP231/AO231*100</f>
        <v>0</v>
      </c>
      <c r="AR231" s="24"/>
      <c r="AS231" s="24"/>
    </row>
    <row r="232" spans="1:45" ht="15" customHeight="1" x14ac:dyDescent="0.25">
      <c r="A232" s="104"/>
      <c r="B232" s="104"/>
      <c r="C232" s="104"/>
      <c r="D232" s="30" t="s">
        <v>20</v>
      </c>
      <c r="E232" s="31">
        <f t="shared" si="291"/>
        <v>15403.2</v>
      </c>
      <c r="F232" s="31">
        <f t="shared" si="291"/>
        <v>6215.3</v>
      </c>
      <c r="G232" s="31">
        <f>F232/E232*100</f>
        <v>40.350706346733148</v>
      </c>
      <c r="H232" s="31">
        <f t="shared" ref="H232:I235" si="317">H202+H207+H212+H217+H222</f>
        <v>0</v>
      </c>
      <c r="I232" s="31">
        <f t="shared" si="317"/>
        <v>0</v>
      </c>
      <c r="J232" s="31"/>
      <c r="K232" s="31">
        <f t="shared" ref="K232:L235" si="318">K202+K207+K212+K217+K222</f>
        <v>1189.0999999999999</v>
      </c>
      <c r="L232" s="31">
        <f t="shared" si="318"/>
        <v>1189.0999999999999</v>
      </c>
      <c r="M232" s="31">
        <f t="shared" si="314"/>
        <v>100</v>
      </c>
      <c r="N232" s="31">
        <f t="shared" ref="N232:O235" si="319">N202+N207+N212+N217+N222</f>
        <v>860.6</v>
      </c>
      <c r="O232" s="31">
        <f t="shared" si="319"/>
        <v>844.1</v>
      </c>
      <c r="P232" s="31">
        <f t="shared" si="315"/>
        <v>98.082732976992787</v>
      </c>
      <c r="Q232" s="31">
        <f t="shared" ref="Q232:R235" si="320">Q202+Q207+Q212+Q217+Q222</f>
        <v>1822.8</v>
      </c>
      <c r="R232" s="31">
        <f t="shared" si="320"/>
        <v>1280</v>
      </c>
      <c r="S232" s="31">
        <f>R232/Q232*100</f>
        <v>70.221637041913539</v>
      </c>
      <c r="T232" s="31">
        <f t="shared" ref="T232:U235" si="321">T202+T207+T212+T217+T222</f>
        <v>1536</v>
      </c>
      <c r="U232" s="31">
        <f t="shared" si="321"/>
        <v>1569.9</v>
      </c>
      <c r="V232" s="31">
        <f>U232/T232*100</f>
        <v>102.20703125000001</v>
      </c>
      <c r="W232" s="31">
        <f t="shared" ref="W232:X235" si="322">W202+W207+W212+W217+W222</f>
        <v>1422</v>
      </c>
      <c r="X232" s="31">
        <f t="shared" si="322"/>
        <v>1332.2</v>
      </c>
      <c r="Y232" s="31">
        <f t="shared" ref="Y232:Y234" si="323">X232/W232*100</f>
        <v>93.68495077355837</v>
      </c>
      <c r="Z232" s="31">
        <f t="shared" ref="Z232:AA235" si="324">Z202+Z207+Z212+Z217+Z222</f>
        <v>0</v>
      </c>
      <c r="AA232" s="31">
        <f t="shared" si="324"/>
        <v>0</v>
      </c>
      <c r="AB232" s="31"/>
      <c r="AC232" s="31">
        <f t="shared" ref="AC232:AD235" si="325">AC202+AC207+AC212+AC217+AC222</f>
        <v>0</v>
      </c>
      <c r="AD232" s="31">
        <f t="shared" si="325"/>
        <v>0</v>
      </c>
      <c r="AE232" s="31"/>
      <c r="AF232" s="31">
        <f t="shared" ref="AF232:AG234" si="326">AF202+AF207+AF212+AF217+AF222</f>
        <v>0</v>
      </c>
      <c r="AG232" s="31">
        <f t="shared" si="326"/>
        <v>0</v>
      </c>
      <c r="AH232" s="32"/>
      <c r="AI232" s="31">
        <f t="shared" ref="AI232:AJ234" si="327">AI202+AI207+AI212+AI217+AI222</f>
        <v>1977</v>
      </c>
      <c r="AJ232" s="31">
        <f t="shared" si="327"/>
        <v>0</v>
      </c>
      <c r="AK232" s="31">
        <f>AJ232/AI232*100</f>
        <v>0</v>
      </c>
      <c r="AL232" s="31">
        <f t="shared" ref="AL232:AM234" si="328">AL202+AL207+AL212+AL217+AL222</f>
        <v>1874</v>
      </c>
      <c r="AM232" s="31">
        <f t="shared" si="328"/>
        <v>0</v>
      </c>
      <c r="AN232" s="31">
        <f>AM232/AL232*100</f>
        <v>0</v>
      </c>
      <c r="AO232" s="31">
        <f>AO202+AO207+AO212+AO217+AO222</f>
        <v>4721.7</v>
      </c>
      <c r="AP232" s="40"/>
      <c r="AQ232" s="31">
        <f>AP232/AO232*100</f>
        <v>0</v>
      </c>
      <c r="AR232" s="24"/>
      <c r="AS232" s="24"/>
    </row>
    <row r="233" spans="1:45" ht="25.5" customHeight="1" x14ac:dyDescent="0.25">
      <c r="A233" s="104"/>
      <c r="B233" s="104"/>
      <c r="C233" s="104"/>
      <c r="D233" s="30" t="s">
        <v>4</v>
      </c>
      <c r="E233" s="31">
        <f t="shared" si="291"/>
        <v>116571.1</v>
      </c>
      <c r="F233" s="31">
        <f t="shared" si="291"/>
        <v>55826.600000000006</v>
      </c>
      <c r="G233" s="31">
        <f t="shared" ref="G233:G234" si="329">F233/E233*100</f>
        <v>47.890600672036207</v>
      </c>
      <c r="H233" s="31">
        <f t="shared" si="317"/>
        <v>0</v>
      </c>
      <c r="I233" s="31">
        <f t="shared" si="317"/>
        <v>0</v>
      </c>
      <c r="J233" s="31"/>
      <c r="K233" s="31">
        <f t="shared" si="318"/>
        <v>12663</v>
      </c>
      <c r="L233" s="31">
        <f t="shared" si="318"/>
        <v>12663</v>
      </c>
      <c r="M233" s="31">
        <f t="shared" si="314"/>
        <v>100</v>
      </c>
      <c r="N233" s="31">
        <f t="shared" si="319"/>
        <v>7521.8</v>
      </c>
      <c r="O233" s="31">
        <f t="shared" si="319"/>
        <v>7501.8</v>
      </c>
      <c r="P233" s="31">
        <f t="shared" si="315"/>
        <v>99.734106197984531</v>
      </c>
      <c r="Q233" s="31">
        <f t="shared" si="320"/>
        <v>14974.9</v>
      </c>
      <c r="R233" s="31">
        <f t="shared" si="320"/>
        <v>10859.1</v>
      </c>
      <c r="S233" s="31">
        <f t="shared" ref="S233:S234" si="330">R233/Q233*100</f>
        <v>72.515342339514788</v>
      </c>
      <c r="T233" s="31">
        <f t="shared" si="321"/>
        <v>12761</v>
      </c>
      <c r="U233" s="31">
        <f t="shared" si="321"/>
        <v>13459.7</v>
      </c>
      <c r="V233" s="31">
        <f t="shared" ref="V233:V234" si="331">U233/T233*100</f>
        <v>105.4752762322702</v>
      </c>
      <c r="W233" s="31">
        <f t="shared" si="322"/>
        <v>11986</v>
      </c>
      <c r="X233" s="31">
        <f t="shared" si="322"/>
        <v>11336.4</v>
      </c>
      <c r="Y233" s="31">
        <f t="shared" si="323"/>
        <v>94.580343734356745</v>
      </c>
      <c r="Z233" s="31">
        <f t="shared" si="324"/>
        <v>3</v>
      </c>
      <c r="AA233" s="31">
        <f t="shared" si="324"/>
        <v>6.6</v>
      </c>
      <c r="AB233" s="31">
        <f t="shared" ref="AB233" si="332">AA233/Z233*100</f>
        <v>219.99999999999997</v>
      </c>
      <c r="AC233" s="31">
        <f t="shared" si="325"/>
        <v>0</v>
      </c>
      <c r="AD233" s="31">
        <f t="shared" si="325"/>
        <v>0</v>
      </c>
      <c r="AE233" s="31"/>
      <c r="AF233" s="31">
        <f t="shared" si="326"/>
        <v>0</v>
      </c>
      <c r="AG233" s="31">
        <f t="shared" si="326"/>
        <v>0</v>
      </c>
      <c r="AH233" s="32"/>
      <c r="AI233" s="31">
        <f t="shared" si="327"/>
        <v>15456</v>
      </c>
      <c r="AJ233" s="31">
        <f t="shared" si="327"/>
        <v>0</v>
      </c>
      <c r="AK233" s="31">
        <f t="shared" ref="AK233:AK234" si="333">AJ233/AI233*100</f>
        <v>0</v>
      </c>
      <c r="AL233" s="31">
        <f t="shared" si="328"/>
        <v>15177</v>
      </c>
      <c r="AM233" s="31">
        <f t="shared" si="328"/>
        <v>0</v>
      </c>
      <c r="AN233" s="31">
        <f t="shared" ref="AN233:AN234" si="334">AM233/AL233*100</f>
        <v>0</v>
      </c>
      <c r="AO233" s="31">
        <f>AO203+AO208+AO213+AO218+AO223</f>
        <v>26028.400000000001</v>
      </c>
      <c r="AP233" s="40"/>
      <c r="AQ233" s="31">
        <f t="shared" ref="AQ233:AQ234" si="335">AP233/AO233*100</f>
        <v>0</v>
      </c>
      <c r="AR233" s="24"/>
      <c r="AS233" s="24"/>
    </row>
    <row r="234" spans="1:45" x14ac:dyDescent="0.25">
      <c r="A234" s="104"/>
      <c r="B234" s="104"/>
      <c r="C234" s="104"/>
      <c r="D234" s="30" t="s">
        <v>43</v>
      </c>
      <c r="E234" s="31">
        <f t="shared" si="291"/>
        <v>27382.2</v>
      </c>
      <c r="F234" s="31">
        <f t="shared" si="291"/>
        <v>12781.599999999999</v>
      </c>
      <c r="G234" s="31">
        <f t="shared" si="329"/>
        <v>46.678499170994286</v>
      </c>
      <c r="H234" s="31">
        <f t="shared" si="317"/>
        <v>0</v>
      </c>
      <c r="I234" s="31">
        <f t="shared" si="317"/>
        <v>0</v>
      </c>
      <c r="J234" s="31"/>
      <c r="K234" s="31">
        <f t="shared" si="318"/>
        <v>2901.9</v>
      </c>
      <c r="L234" s="31">
        <f t="shared" si="318"/>
        <v>2901.9</v>
      </c>
      <c r="M234" s="31">
        <f t="shared" si="314"/>
        <v>100</v>
      </c>
      <c r="N234" s="31">
        <f t="shared" si="319"/>
        <v>1662.8</v>
      </c>
      <c r="O234" s="31">
        <f t="shared" si="319"/>
        <v>1432.7</v>
      </c>
      <c r="P234" s="31">
        <f t="shared" si="315"/>
        <v>86.161895597786881</v>
      </c>
      <c r="Q234" s="31">
        <f t="shared" si="320"/>
        <v>3824.9</v>
      </c>
      <c r="R234" s="31">
        <f t="shared" si="320"/>
        <v>2626.5</v>
      </c>
      <c r="S234" s="31">
        <f t="shared" si="330"/>
        <v>68.668461920573094</v>
      </c>
      <c r="T234" s="31">
        <f t="shared" si="321"/>
        <v>3285</v>
      </c>
      <c r="U234" s="31">
        <f t="shared" si="321"/>
        <v>3211.2</v>
      </c>
      <c r="V234" s="31">
        <f t="shared" si="331"/>
        <v>97.753424657534239</v>
      </c>
      <c r="W234" s="31">
        <f t="shared" si="322"/>
        <v>2953</v>
      </c>
      <c r="X234" s="31">
        <f t="shared" si="322"/>
        <v>2609.2999999999997</v>
      </c>
      <c r="Y234" s="31">
        <f t="shared" si="323"/>
        <v>88.360988824923794</v>
      </c>
      <c r="Z234" s="31">
        <f t="shared" si="324"/>
        <v>0</v>
      </c>
      <c r="AA234" s="31">
        <f t="shared" si="324"/>
        <v>0</v>
      </c>
      <c r="AB234" s="31"/>
      <c r="AC234" s="31">
        <f t="shared" si="325"/>
        <v>0</v>
      </c>
      <c r="AD234" s="31">
        <f t="shared" si="325"/>
        <v>0</v>
      </c>
      <c r="AE234" s="31"/>
      <c r="AF234" s="31">
        <f t="shared" si="326"/>
        <v>0</v>
      </c>
      <c r="AG234" s="31">
        <f t="shared" si="326"/>
        <v>0</v>
      </c>
      <c r="AH234" s="32"/>
      <c r="AI234" s="31">
        <f t="shared" si="327"/>
        <v>3802.4</v>
      </c>
      <c r="AJ234" s="31">
        <f t="shared" si="327"/>
        <v>0</v>
      </c>
      <c r="AK234" s="31">
        <f t="shared" si="333"/>
        <v>0</v>
      </c>
      <c r="AL234" s="31">
        <f t="shared" si="328"/>
        <v>3614.4</v>
      </c>
      <c r="AM234" s="31">
        <f t="shared" si="328"/>
        <v>0</v>
      </c>
      <c r="AN234" s="31">
        <f t="shared" si="334"/>
        <v>0</v>
      </c>
      <c r="AO234" s="31">
        <f>AO204+AO209+AO214+AO219+AO224</f>
        <v>5337.7999999999993</v>
      </c>
      <c r="AP234" s="40"/>
      <c r="AQ234" s="31">
        <f t="shared" si="335"/>
        <v>0</v>
      </c>
      <c r="AR234" s="24"/>
      <c r="AS234" s="24"/>
    </row>
    <row r="235" spans="1:45" ht="14.25" customHeight="1" x14ac:dyDescent="0.25">
      <c r="A235" s="104"/>
      <c r="B235" s="104"/>
      <c r="C235" s="104"/>
      <c r="D235" s="30" t="s">
        <v>21</v>
      </c>
      <c r="E235" s="31">
        <f t="shared" si="291"/>
        <v>0</v>
      </c>
      <c r="F235" s="31">
        <f t="shared" si="291"/>
        <v>0</v>
      </c>
      <c r="G235" s="31"/>
      <c r="H235" s="31">
        <f t="shared" si="317"/>
        <v>0</v>
      </c>
      <c r="I235" s="31">
        <f t="shared" si="317"/>
        <v>0</v>
      </c>
      <c r="J235" s="31"/>
      <c r="K235" s="31">
        <f t="shared" si="318"/>
        <v>0</v>
      </c>
      <c r="L235" s="31">
        <f t="shared" si="318"/>
        <v>0</v>
      </c>
      <c r="M235" s="31"/>
      <c r="N235" s="31">
        <f t="shared" si="319"/>
        <v>0</v>
      </c>
      <c r="O235" s="31">
        <f t="shared" si="319"/>
        <v>0</v>
      </c>
      <c r="P235" s="31"/>
      <c r="Q235" s="31">
        <f t="shared" si="320"/>
        <v>0</v>
      </c>
      <c r="R235" s="31">
        <f t="shared" si="320"/>
        <v>0</v>
      </c>
      <c r="S235" s="31"/>
      <c r="T235" s="31">
        <f t="shared" si="321"/>
        <v>0</v>
      </c>
      <c r="U235" s="31">
        <f t="shared" si="321"/>
        <v>0</v>
      </c>
      <c r="V235" s="31"/>
      <c r="W235" s="31">
        <f t="shared" si="322"/>
        <v>0</v>
      </c>
      <c r="X235" s="31">
        <f t="shared" si="322"/>
        <v>0</v>
      </c>
      <c r="Y235" s="31"/>
      <c r="Z235" s="31">
        <f t="shared" si="324"/>
        <v>0</v>
      </c>
      <c r="AA235" s="31">
        <f t="shared" si="324"/>
        <v>0</v>
      </c>
      <c r="AB235" s="31"/>
      <c r="AC235" s="31">
        <f t="shared" si="325"/>
        <v>0</v>
      </c>
      <c r="AD235" s="31">
        <f t="shared" si="325"/>
        <v>0</v>
      </c>
      <c r="AE235" s="31"/>
      <c r="AF235" s="31">
        <f>AF205+AF210+AF215+AF220+AF225</f>
        <v>0</v>
      </c>
      <c r="AG235" s="31"/>
      <c r="AH235" s="31"/>
      <c r="AI235" s="31">
        <f>AI205+AI210+AI215+AI220+AI225</f>
        <v>0</v>
      </c>
      <c r="AJ235" s="31"/>
      <c r="AK235" s="31"/>
      <c r="AL235" s="31">
        <f>AL205+AL210+AL215+AL220+AL225</f>
        <v>0</v>
      </c>
      <c r="AM235" s="31"/>
      <c r="AN235" s="31"/>
      <c r="AO235" s="31">
        <f>AO205+AO210+AO215+AO220+AO225</f>
        <v>0</v>
      </c>
      <c r="AP235" s="40"/>
      <c r="AQ235" s="42"/>
      <c r="AR235" s="24"/>
      <c r="AS235" s="24"/>
    </row>
    <row r="236" spans="1:45" ht="13.5" customHeight="1" x14ac:dyDescent="0.25">
      <c r="A236" s="26" t="s">
        <v>75</v>
      </c>
      <c r="B236" s="22" t="s">
        <v>14</v>
      </c>
      <c r="C236" s="22"/>
      <c r="D236" s="22"/>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2"/>
      <c r="AQ236" s="22"/>
      <c r="AR236" s="24"/>
      <c r="AS236" s="24"/>
    </row>
    <row r="237" spans="1:45" ht="15" customHeight="1" x14ac:dyDescent="0.25">
      <c r="A237" s="103" t="s">
        <v>76</v>
      </c>
      <c r="B237" s="101" t="s">
        <v>147</v>
      </c>
      <c r="C237" s="101" t="s">
        <v>160</v>
      </c>
      <c r="D237" s="26" t="s">
        <v>3</v>
      </c>
      <c r="E237" s="1">
        <f t="shared" ref="E237:F272" si="336">H237+K237+N237+Q237+T237+W237+Z237+AC237+AF237+AI237+AL237+AO237</f>
        <v>524.4</v>
      </c>
      <c r="F237" s="1">
        <f t="shared" si="336"/>
        <v>219.3</v>
      </c>
      <c r="G237" s="1">
        <f>F237/E237*100</f>
        <v>41.819221967963387</v>
      </c>
      <c r="H237" s="1">
        <f>H238+H239+H240+H241</f>
        <v>0</v>
      </c>
      <c r="I237" s="1">
        <f>I238+I239+I240+I241</f>
        <v>0</v>
      </c>
      <c r="J237" s="27"/>
      <c r="K237" s="1">
        <f>K238+K239+K240+K241</f>
        <v>29.3</v>
      </c>
      <c r="L237" s="1">
        <f>L238+L239+L240+L241</f>
        <v>29.3</v>
      </c>
      <c r="M237" s="1">
        <f>L237/K237*100</f>
        <v>100</v>
      </c>
      <c r="N237" s="1">
        <f t="shared" ref="N237:AO237" si="337">N238+N239+N240+N241</f>
        <v>0</v>
      </c>
      <c r="O237" s="1"/>
      <c r="P237" s="1"/>
      <c r="Q237" s="1">
        <f t="shared" si="337"/>
        <v>100</v>
      </c>
      <c r="R237" s="1">
        <f t="shared" si="337"/>
        <v>100</v>
      </c>
      <c r="S237" s="1">
        <f>R237/Q237*100</f>
        <v>100</v>
      </c>
      <c r="T237" s="1">
        <f t="shared" si="337"/>
        <v>0</v>
      </c>
      <c r="U237" s="1">
        <f t="shared" si="337"/>
        <v>0</v>
      </c>
      <c r="V237" s="27"/>
      <c r="W237" s="1">
        <f t="shared" si="337"/>
        <v>105.1</v>
      </c>
      <c r="X237" s="1">
        <f t="shared" si="337"/>
        <v>0</v>
      </c>
      <c r="Y237" s="1">
        <f>X237/W237*100</f>
        <v>0</v>
      </c>
      <c r="Z237" s="1">
        <f t="shared" si="337"/>
        <v>0</v>
      </c>
      <c r="AA237" s="1">
        <f t="shared" si="337"/>
        <v>90</v>
      </c>
      <c r="AB237" s="1"/>
      <c r="AC237" s="1">
        <f t="shared" si="337"/>
        <v>0</v>
      </c>
      <c r="AD237" s="1">
        <f t="shared" si="337"/>
        <v>0</v>
      </c>
      <c r="AE237" s="1"/>
      <c r="AF237" s="1">
        <f t="shared" si="337"/>
        <v>0</v>
      </c>
      <c r="AG237" s="1">
        <f t="shared" si="337"/>
        <v>0</v>
      </c>
      <c r="AH237" s="1"/>
      <c r="AI237" s="1">
        <f t="shared" si="337"/>
        <v>194</v>
      </c>
      <c r="AJ237" s="1">
        <f t="shared" si="337"/>
        <v>0</v>
      </c>
      <c r="AK237" s="1"/>
      <c r="AL237" s="1">
        <f t="shared" si="337"/>
        <v>96</v>
      </c>
      <c r="AM237" s="1">
        <f t="shared" si="337"/>
        <v>0</v>
      </c>
      <c r="AN237" s="1">
        <f>AM237/AL237*100</f>
        <v>0</v>
      </c>
      <c r="AO237" s="1">
        <f t="shared" si="337"/>
        <v>0</v>
      </c>
      <c r="AP237" s="1"/>
      <c r="AQ237" s="1" t="e">
        <f>AP237/AO237*100</f>
        <v>#DIV/0!</v>
      </c>
      <c r="AR237" s="24"/>
      <c r="AS237" s="24"/>
    </row>
    <row r="238" spans="1:45" ht="15" customHeight="1" x14ac:dyDescent="0.25">
      <c r="A238" s="103"/>
      <c r="B238" s="101"/>
      <c r="C238" s="101"/>
      <c r="D238" s="26" t="s">
        <v>20</v>
      </c>
      <c r="E238" s="1">
        <f t="shared" si="336"/>
        <v>0</v>
      </c>
      <c r="F238" s="1">
        <f t="shared" si="336"/>
        <v>0</v>
      </c>
      <c r="G238" s="1"/>
      <c r="H238" s="1">
        <v>0</v>
      </c>
      <c r="I238" s="1"/>
      <c r="J238" s="27"/>
      <c r="K238" s="1"/>
      <c r="L238" s="1"/>
      <c r="M238" s="1"/>
      <c r="N238" s="1">
        <v>0</v>
      </c>
      <c r="O238" s="1"/>
      <c r="P238" s="1"/>
      <c r="Q238" s="1"/>
      <c r="R238" s="1"/>
      <c r="S238" s="1"/>
      <c r="T238" s="1"/>
      <c r="U238" s="1"/>
      <c r="V238" s="27"/>
      <c r="W238" s="1"/>
      <c r="X238" s="1"/>
      <c r="Y238" s="1"/>
      <c r="Z238" s="1"/>
      <c r="AA238" s="1"/>
      <c r="AB238" s="1"/>
      <c r="AC238" s="1"/>
      <c r="AD238" s="1"/>
      <c r="AE238" s="1"/>
      <c r="AF238" s="1"/>
      <c r="AG238" s="1"/>
      <c r="AH238" s="1"/>
      <c r="AI238" s="1"/>
      <c r="AJ238" s="1"/>
      <c r="AK238" s="1"/>
      <c r="AL238" s="1"/>
      <c r="AM238" s="1"/>
      <c r="AN238" s="1"/>
      <c r="AO238" s="1"/>
      <c r="AP238" s="1"/>
      <c r="AQ238" s="1"/>
      <c r="AR238" s="24"/>
      <c r="AS238" s="24"/>
    </row>
    <row r="239" spans="1:45" ht="23.25" customHeight="1" x14ac:dyDescent="0.25">
      <c r="A239" s="103"/>
      <c r="B239" s="101"/>
      <c r="C239" s="101"/>
      <c r="D239" s="26" t="s">
        <v>4</v>
      </c>
      <c r="E239" s="1">
        <f t="shared" si="336"/>
        <v>0</v>
      </c>
      <c r="F239" s="1">
        <f t="shared" si="336"/>
        <v>0</v>
      </c>
      <c r="G239" s="1"/>
      <c r="H239" s="1"/>
      <c r="I239" s="1"/>
      <c r="J239" s="27"/>
      <c r="K239" s="1"/>
      <c r="L239" s="1"/>
      <c r="M239" s="1"/>
      <c r="N239" s="1"/>
      <c r="O239" s="1"/>
      <c r="P239" s="1"/>
      <c r="Q239" s="1"/>
      <c r="R239" s="1"/>
      <c r="S239" s="1"/>
      <c r="T239" s="1"/>
      <c r="U239" s="1"/>
      <c r="V239" s="27"/>
      <c r="W239" s="1">
        <f>1338-1338</f>
        <v>0</v>
      </c>
      <c r="X239" s="1"/>
      <c r="Y239" s="1"/>
      <c r="Z239" s="1"/>
      <c r="AA239" s="1"/>
      <c r="AB239" s="1"/>
      <c r="AC239" s="1"/>
      <c r="AD239" s="1"/>
      <c r="AE239" s="1"/>
      <c r="AF239" s="1"/>
      <c r="AG239" s="1"/>
      <c r="AH239" s="1"/>
      <c r="AI239" s="1"/>
      <c r="AJ239" s="1"/>
      <c r="AK239" s="1"/>
      <c r="AL239" s="1"/>
      <c r="AM239" s="1"/>
      <c r="AN239" s="1"/>
      <c r="AO239" s="1"/>
      <c r="AP239" s="1"/>
      <c r="AQ239" s="1"/>
      <c r="AR239" s="36"/>
      <c r="AS239" s="28"/>
    </row>
    <row r="240" spans="1:45" ht="88.5" customHeight="1" x14ac:dyDescent="0.25">
      <c r="A240" s="103"/>
      <c r="B240" s="101"/>
      <c r="C240" s="101"/>
      <c r="D240" s="26" t="s">
        <v>43</v>
      </c>
      <c r="E240" s="1">
        <f>H240+K240+N240+Q240+T240+W240+Z240+AC240+AF240+AI240+AL240+AO240</f>
        <v>524.4</v>
      </c>
      <c r="F240" s="1">
        <f>I240+L240+O240+R240+U240+X240+AA240+AD240+AG240+AJ240+AM240+AP240</f>
        <v>219.3</v>
      </c>
      <c r="G240" s="1">
        <f t="shared" ref="G240" si="338">F240/E240*100</f>
        <v>41.819221967963387</v>
      </c>
      <c r="H240" s="1"/>
      <c r="I240" s="1"/>
      <c r="J240" s="27"/>
      <c r="K240" s="1">
        <v>29.3</v>
      </c>
      <c r="L240" s="1">
        <v>29.3</v>
      </c>
      <c r="M240" s="1">
        <f t="shared" ref="M240" si="339">L240/K240*100</f>
        <v>100</v>
      </c>
      <c r="N240" s="1"/>
      <c r="O240" s="1"/>
      <c r="P240" s="1"/>
      <c r="Q240" s="1">
        <v>100</v>
      </c>
      <c r="R240" s="1">
        <v>100</v>
      </c>
      <c r="S240" s="1">
        <f t="shared" ref="S240" si="340">R240/Q240*100</f>
        <v>100</v>
      </c>
      <c r="T240" s="1"/>
      <c r="U240" s="1"/>
      <c r="V240" s="27"/>
      <c r="W240" s="1">
        <v>105.1</v>
      </c>
      <c r="X240" s="1"/>
      <c r="Y240" s="1">
        <f t="shared" ref="Y240" si="341">X240/W240*100</f>
        <v>0</v>
      </c>
      <c r="Z240" s="1">
        <f>105.1-105.1</f>
        <v>0</v>
      </c>
      <c r="AA240" s="1">
        <v>90</v>
      </c>
      <c r="AB240" s="1"/>
      <c r="AC240" s="1"/>
      <c r="AD240" s="1"/>
      <c r="AE240" s="1"/>
      <c r="AF240" s="1"/>
      <c r="AG240" s="1"/>
      <c r="AH240" s="1"/>
      <c r="AI240" s="1">
        <f>74+120</f>
        <v>194</v>
      </c>
      <c r="AJ240" s="1"/>
      <c r="AK240" s="1"/>
      <c r="AL240" s="1">
        <v>96</v>
      </c>
      <c r="AM240" s="1"/>
      <c r="AN240" s="1">
        <f t="shared" ref="AN240" si="342">AM240/AL240*100</f>
        <v>0</v>
      </c>
      <c r="AO240" s="1"/>
      <c r="AP240" s="1"/>
      <c r="AQ240" s="1" t="e">
        <f t="shared" ref="AQ240" si="343">AP240/AO240*100</f>
        <v>#DIV/0!</v>
      </c>
      <c r="AR240" s="28" t="s">
        <v>218</v>
      </c>
      <c r="AS240" s="28" t="s">
        <v>219</v>
      </c>
    </row>
    <row r="241" spans="1:45" ht="16.149999999999999" customHeight="1" x14ac:dyDescent="0.25">
      <c r="A241" s="103"/>
      <c r="B241" s="101"/>
      <c r="C241" s="101"/>
      <c r="D241" s="26" t="s">
        <v>21</v>
      </c>
      <c r="E241" s="1">
        <f t="shared" si="336"/>
        <v>0</v>
      </c>
      <c r="F241" s="1">
        <f t="shared" si="336"/>
        <v>0</v>
      </c>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24"/>
      <c r="AS241" s="24"/>
    </row>
    <row r="242" spans="1:45" ht="15" customHeight="1" x14ac:dyDescent="0.25">
      <c r="A242" s="102" t="s">
        <v>149</v>
      </c>
      <c r="B242" s="101" t="s">
        <v>148</v>
      </c>
      <c r="C242" s="101" t="s">
        <v>161</v>
      </c>
      <c r="D242" s="26" t="s">
        <v>3</v>
      </c>
      <c r="E242" s="1">
        <f t="shared" si="336"/>
        <v>0</v>
      </c>
      <c r="F242" s="1">
        <f t="shared" si="336"/>
        <v>0</v>
      </c>
      <c r="G242" s="1"/>
      <c r="H242" s="1">
        <f>H243+H244+H245+H246</f>
        <v>0</v>
      </c>
      <c r="I242" s="1"/>
      <c r="J242" s="27"/>
      <c r="K242" s="1">
        <f>K243+K244+K245+K246</f>
        <v>0</v>
      </c>
      <c r="L242" s="1">
        <f>L243+L244+L245+L246</f>
        <v>0</v>
      </c>
      <c r="M242" s="1"/>
      <c r="N242" s="1">
        <f t="shared" ref="N242" si="344">N243+N244+N245+N246</f>
        <v>0</v>
      </c>
      <c r="O242" s="1"/>
      <c r="P242" s="1"/>
      <c r="Q242" s="1">
        <f t="shared" ref="Q242:R242" si="345">Q243+Q244+Q245+Q246</f>
        <v>0</v>
      </c>
      <c r="R242" s="1">
        <f t="shared" si="345"/>
        <v>0</v>
      </c>
      <c r="S242" s="1"/>
      <c r="T242" s="1">
        <f t="shared" ref="T242:U242" si="346">T243+T244+T245+T246</f>
        <v>0</v>
      </c>
      <c r="U242" s="1">
        <f t="shared" si="346"/>
        <v>0</v>
      </c>
      <c r="V242" s="27"/>
      <c r="W242" s="1">
        <f t="shared" ref="W242:X242" si="347">W243+W244+W245+W246</f>
        <v>0</v>
      </c>
      <c r="X242" s="1">
        <f t="shared" si="347"/>
        <v>0</v>
      </c>
      <c r="Y242" s="1"/>
      <c r="Z242" s="1">
        <f t="shared" ref="Z242:AA242" si="348">Z243+Z244+Z245+Z246</f>
        <v>0</v>
      </c>
      <c r="AA242" s="1">
        <f t="shared" si="348"/>
        <v>0</v>
      </c>
      <c r="AB242" s="1"/>
      <c r="AC242" s="1">
        <f t="shared" ref="AC242:AD242" si="349">AC243+AC244+AC245+AC246</f>
        <v>0</v>
      </c>
      <c r="AD242" s="1">
        <f t="shared" si="349"/>
        <v>0</v>
      </c>
      <c r="AE242" s="1"/>
      <c r="AF242" s="1">
        <f t="shared" ref="AF242:AG242" si="350">AF243+AF244+AF245+AF246</f>
        <v>0</v>
      </c>
      <c r="AG242" s="1">
        <f t="shared" si="350"/>
        <v>0</v>
      </c>
      <c r="AH242" s="1"/>
      <c r="AI242" s="1">
        <f t="shared" ref="AI242:AJ242" si="351">AI243+AI244+AI245+AI246</f>
        <v>0</v>
      </c>
      <c r="AJ242" s="1">
        <f t="shared" si="351"/>
        <v>0</v>
      </c>
      <c r="AK242" s="1"/>
      <c r="AL242" s="1">
        <f t="shared" ref="AL242:AM242" si="352">AL243+AL244+AL245+AL246</f>
        <v>0</v>
      </c>
      <c r="AM242" s="1">
        <f t="shared" si="352"/>
        <v>0</v>
      </c>
      <c r="AN242" s="1"/>
      <c r="AO242" s="1">
        <f t="shared" ref="AO242" si="353">AO243+AO244+AO245+AO246</f>
        <v>0</v>
      </c>
      <c r="AP242" s="1"/>
      <c r="AQ242" s="1"/>
      <c r="AR242" s="24"/>
      <c r="AS242" s="24"/>
    </row>
    <row r="243" spans="1:45" ht="15" customHeight="1" x14ac:dyDescent="0.25">
      <c r="A243" s="103"/>
      <c r="B243" s="101"/>
      <c r="C243" s="101"/>
      <c r="D243" s="26" t="s">
        <v>20</v>
      </c>
      <c r="E243" s="1">
        <f t="shared" si="336"/>
        <v>0</v>
      </c>
      <c r="F243" s="1">
        <f t="shared" si="336"/>
        <v>0</v>
      </c>
      <c r="G243" s="1"/>
      <c r="H243" s="1">
        <v>0</v>
      </c>
      <c r="I243" s="1"/>
      <c r="J243" s="27"/>
      <c r="K243" s="1"/>
      <c r="L243" s="1"/>
      <c r="M243" s="1"/>
      <c r="N243" s="1">
        <v>0</v>
      </c>
      <c r="O243" s="1"/>
      <c r="P243" s="1"/>
      <c r="Q243" s="1"/>
      <c r="R243" s="1"/>
      <c r="S243" s="1"/>
      <c r="T243" s="1"/>
      <c r="U243" s="1"/>
      <c r="V243" s="27"/>
      <c r="W243" s="1"/>
      <c r="X243" s="1"/>
      <c r="Y243" s="1"/>
      <c r="Z243" s="1"/>
      <c r="AA243" s="1"/>
      <c r="AB243" s="1"/>
      <c r="AC243" s="1"/>
      <c r="AD243" s="1"/>
      <c r="AE243" s="1"/>
      <c r="AF243" s="1"/>
      <c r="AG243" s="1"/>
      <c r="AH243" s="1"/>
      <c r="AI243" s="1"/>
      <c r="AJ243" s="1"/>
      <c r="AK243" s="1"/>
      <c r="AL243" s="1"/>
      <c r="AM243" s="1"/>
      <c r="AN243" s="1"/>
      <c r="AO243" s="1"/>
      <c r="AP243" s="1"/>
      <c r="AQ243" s="1"/>
      <c r="AR243" s="24"/>
      <c r="AS243" s="24"/>
    </row>
    <row r="244" spans="1:45" ht="24" x14ac:dyDescent="0.25">
      <c r="A244" s="103"/>
      <c r="B244" s="101"/>
      <c r="C244" s="101"/>
      <c r="D244" s="26" t="s">
        <v>4</v>
      </c>
      <c r="E244" s="1">
        <f t="shared" si="336"/>
        <v>0</v>
      </c>
      <c r="F244" s="1">
        <f t="shared" si="336"/>
        <v>0</v>
      </c>
      <c r="G244" s="1"/>
      <c r="H244" s="1"/>
      <c r="I244" s="1"/>
      <c r="J244" s="27"/>
      <c r="K244" s="1"/>
      <c r="L244" s="1"/>
      <c r="M244" s="1"/>
      <c r="N244" s="1"/>
      <c r="O244" s="1"/>
      <c r="P244" s="1"/>
      <c r="Q244" s="1"/>
      <c r="R244" s="1"/>
      <c r="S244" s="1"/>
      <c r="T244" s="1"/>
      <c r="U244" s="1"/>
      <c r="V244" s="27"/>
      <c r="W244" s="1">
        <f>1338-1338</f>
        <v>0</v>
      </c>
      <c r="X244" s="1"/>
      <c r="Y244" s="1"/>
      <c r="Z244" s="1"/>
      <c r="AA244" s="1"/>
      <c r="AB244" s="1"/>
      <c r="AC244" s="1"/>
      <c r="AD244" s="1"/>
      <c r="AE244" s="1"/>
      <c r="AF244" s="1"/>
      <c r="AG244" s="1">
        <v>0</v>
      </c>
      <c r="AH244" s="1"/>
      <c r="AI244" s="1"/>
      <c r="AJ244" s="1"/>
      <c r="AK244" s="1"/>
      <c r="AL244" s="1"/>
      <c r="AM244" s="1"/>
      <c r="AN244" s="1"/>
      <c r="AO244" s="1"/>
      <c r="AP244" s="1"/>
      <c r="AQ244" s="1"/>
      <c r="AR244" s="36"/>
      <c r="AS244" s="28"/>
    </row>
    <row r="245" spans="1:45" x14ac:dyDescent="0.25">
      <c r="A245" s="103"/>
      <c r="B245" s="101"/>
      <c r="C245" s="101"/>
      <c r="D245" s="26" t="s">
        <v>43</v>
      </c>
      <c r="E245" s="1">
        <f>H245+K245+N245+Q245+T245+W245+Z245+AC245+AF245+AI245+AL245+AO245</f>
        <v>0</v>
      </c>
      <c r="F245" s="1">
        <f>I245+L245+O245+R245+U245+X245+AA245+AD245+AG245+AJ245+AM245+AP245</f>
        <v>0</v>
      </c>
      <c r="G245" s="1"/>
      <c r="H245" s="1"/>
      <c r="I245" s="1"/>
      <c r="J245" s="27"/>
      <c r="K245" s="1"/>
      <c r="L245" s="1"/>
      <c r="M245" s="1"/>
      <c r="N245" s="1"/>
      <c r="O245" s="1"/>
      <c r="P245" s="1"/>
      <c r="Q245" s="1"/>
      <c r="R245" s="1"/>
      <c r="S245" s="1"/>
      <c r="T245" s="1"/>
      <c r="U245" s="1"/>
      <c r="V245" s="27"/>
      <c r="W245" s="1"/>
      <c r="X245" s="1"/>
      <c r="Y245" s="1"/>
      <c r="Z245" s="1"/>
      <c r="AA245" s="1"/>
      <c r="AB245" s="1"/>
      <c r="AC245" s="1"/>
      <c r="AD245" s="1"/>
      <c r="AE245" s="1"/>
      <c r="AF245" s="1"/>
      <c r="AG245" s="1">
        <v>0</v>
      </c>
      <c r="AH245" s="1"/>
      <c r="AI245" s="1"/>
      <c r="AJ245" s="1"/>
      <c r="AK245" s="1"/>
      <c r="AL245" s="1"/>
      <c r="AM245" s="1"/>
      <c r="AN245" s="1"/>
      <c r="AO245" s="1"/>
      <c r="AP245" s="1"/>
      <c r="AQ245" s="1"/>
      <c r="AR245" s="28"/>
      <c r="AS245" s="29"/>
    </row>
    <row r="246" spans="1:45" x14ac:dyDescent="0.25">
      <c r="A246" s="103"/>
      <c r="B246" s="101"/>
      <c r="C246" s="101"/>
      <c r="D246" s="26" t="s">
        <v>21</v>
      </c>
      <c r="E246" s="1">
        <f t="shared" ref="E246:F246" si="354">H246+K246+N246+Q246+T246+W246+Z246+AC246+AF246+AI246+AL246+AO246</f>
        <v>0</v>
      </c>
      <c r="F246" s="1">
        <f t="shared" si="354"/>
        <v>0</v>
      </c>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40"/>
      <c r="AR246" s="24"/>
      <c r="AS246" s="24"/>
    </row>
    <row r="247" spans="1:45" ht="12" customHeight="1" x14ac:dyDescent="0.25">
      <c r="A247" s="103" t="s">
        <v>103</v>
      </c>
      <c r="B247" s="101" t="s">
        <v>170</v>
      </c>
      <c r="C247" s="101" t="s">
        <v>160</v>
      </c>
      <c r="D247" s="26" t="s">
        <v>3</v>
      </c>
      <c r="E247" s="1">
        <f t="shared" si="336"/>
        <v>0</v>
      </c>
      <c r="F247" s="1">
        <f t="shared" si="336"/>
        <v>0</v>
      </c>
      <c r="G247" s="1"/>
      <c r="H247" s="1">
        <f>H248+H249+H250+H251</f>
        <v>0</v>
      </c>
      <c r="I247" s="1">
        <f>I248+I249+I250+I251</f>
        <v>0</v>
      </c>
      <c r="J247" s="27"/>
      <c r="K247" s="1">
        <f t="shared" ref="K247:AO247" si="355">K248+K249+K250+K251</f>
        <v>0</v>
      </c>
      <c r="L247" s="1"/>
      <c r="M247" s="27"/>
      <c r="N247" s="1">
        <f t="shared" si="355"/>
        <v>0</v>
      </c>
      <c r="O247" s="1">
        <f t="shared" si="355"/>
        <v>0</v>
      </c>
      <c r="P247" s="1"/>
      <c r="Q247" s="1">
        <f t="shared" si="355"/>
        <v>0</v>
      </c>
      <c r="R247" s="1">
        <f t="shared" si="355"/>
        <v>0</v>
      </c>
      <c r="S247" s="1"/>
      <c r="T247" s="1">
        <f t="shared" si="355"/>
        <v>0</v>
      </c>
      <c r="U247" s="1"/>
      <c r="V247" s="27"/>
      <c r="W247" s="1">
        <f t="shared" si="355"/>
        <v>0</v>
      </c>
      <c r="X247" s="1"/>
      <c r="Y247" s="27"/>
      <c r="Z247" s="1">
        <f t="shared" si="355"/>
        <v>0</v>
      </c>
      <c r="AA247" s="1"/>
      <c r="AB247" s="27"/>
      <c r="AC247" s="1">
        <f t="shared" si="355"/>
        <v>0</v>
      </c>
      <c r="AD247" s="1">
        <f t="shared" si="355"/>
        <v>0</v>
      </c>
      <c r="AE247" s="27"/>
      <c r="AF247" s="1">
        <f t="shared" si="355"/>
        <v>0</v>
      </c>
      <c r="AG247" s="1">
        <f t="shared" si="355"/>
        <v>0</v>
      </c>
      <c r="AH247" s="1"/>
      <c r="AI247" s="1">
        <f t="shared" si="355"/>
        <v>0</v>
      </c>
      <c r="AJ247" s="1">
        <f t="shared" si="355"/>
        <v>0</v>
      </c>
      <c r="AK247" s="1"/>
      <c r="AL247" s="1">
        <f t="shared" si="355"/>
        <v>0</v>
      </c>
      <c r="AM247" s="1">
        <f t="shared" si="355"/>
        <v>0</v>
      </c>
      <c r="AN247" s="1" t="e">
        <f>AM247/AL247*100</f>
        <v>#DIV/0!</v>
      </c>
      <c r="AO247" s="1">
        <f t="shared" si="355"/>
        <v>0</v>
      </c>
      <c r="AP247" s="1"/>
      <c r="AQ247" s="27"/>
      <c r="AR247" s="24"/>
      <c r="AS247" s="24"/>
    </row>
    <row r="248" spans="1:45" x14ac:dyDescent="0.25">
      <c r="A248" s="103"/>
      <c r="B248" s="101"/>
      <c r="C248" s="101"/>
      <c r="D248" s="26" t="s">
        <v>20</v>
      </c>
      <c r="E248" s="1">
        <f t="shared" si="336"/>
        <v>0</v>
      </c>
      <c r="F248" s="1">
        <f t="shared" si="336"/>
        <v>0</v>
      </c>
      <c r="G248" s="1"/>
      <c r="H248" s="1"/>
      <c r="I248" s="1"/>
      <c r="J248" s="27"/>
      <c r="K248" s="1"/>
      <c r="L248" s="1"/>
      <c r="M248" s="27"/>
      <c r="N248" s="1"/>
      <c r="O248" s="1"/>
      <c r="P248" s="1"/>
      <c r="Q248" s="1"/>
      <c r="R248" s="1"/>
      <c r="S248" s="1"/>
      <c r="T248" s="1"/>
      <c r="U248" s="1"/>
      <c r="V248" s="27"/>
      <c r="W248" s="1"/>
      <c r="X248" s="1"/>
      <c r="Y248" s="27"/>
      <c r="Z248" s="1"/>
      <c r="AA248" s="1"/>
      <c r="AB248" s="27"/>
      <c r="AC248" s="1"/>
      <c r="AD248" s="1"/>
      <c r="AE248" s="27"/>
      <c r="AF248" s="1"/>
      <c r="AG248" s="1"/>
      <c r="AH248" s="1"/>
      <c r="AI248" s="1"/>
      <c r="AJ248" s="1"/>
      <c r="AK248" s="1"/>
      <c r="AL248" s="1"/>
      <c r="AM248" s="1"/>
      <c r="AN248" s="1"/>
      <c r="AO248" s="1"/>
      <c r="AP248" s="1"/>
      <c r="AQ248" s="27"/>
      <c r="AR248" s="24"/>
      <c r="AS248" s="24"/>
    </row>
    <row r="249" spans="1:45" ht="24" x14ac:dyDescent="0.25">
      <c r="A249" s="103"/>
      <c r="B249" s="101"/>
      <c r="C249" s="101"/>
      <c r="D249" s="26" t="s">
        <v>4</v>
      </c>
      <c r="E249" s="1">
        <f t="shared" si="336"/>
        <v>0</v>
      </c>
      <c r="F249" s="1">
        <f t="shared" si="336"/>
        <v>0</v>
      </c>
      <c r="G249" s="1"/>
      <c r="H249" s="1"/>
      <c r="I249" s="1"/>
      <c r="J249" s="27"/>
      <c r="K249" s="1"/>
      <c r="L249" s="1"/>
      <c r="M249" s="27"/>
      <c r="N249" s="1"/>
      <c r="O249" s="1"/>
      <c r="P249" s="1"/>
      <c r="Q249" s="1"/>
      <c r="R249" s="1"/>
      <c r="S249" s="1"/>
      <c r="T249" s="1"/>
      <c r="U249" s="1"/>
      <c r="V249" s="27"/>
      <c r="W249" s="1"/>
      <c r="X249" s="1"/>
      <c r="Y249" s="27"/>
      <c r="Z249" s="1"/>
      <c r="AA249" s="1"/>
      <c r="AB249" s="27"/>
      <c r="AC249" s="1"/>
      <c r="AD249" s="1"/>
      <c r="AE249" s="27"/>
      <c r="AF249" s="1"/>
      <c r="AG249" s="1"/>
      <c r="AH249" s="1"/>
      <c r="AI249" s="1"/>
      <c r="AJ249" s="1"/>
      <c r="AK249" s="1"/>
      <c r="AL249" s="1"/>
      <c r="AM249" s="1"/>
      <c r="AN249" s="1"/>
      <c r="AO249" s="1"/>
      <c r="AP249" s="1"/>
      <c r="AQ249" s="27"/>
      <c r="AR249" s="24"/>
      <c r="AS249" s="24"/>
    </row>
    <row r="250" spans="1:45" x14ac:dyDescent="0.25">
      <c r="A250" s="103"/>
      <c r="B250" s="101"/>
      <c r="C250" s="101"/>
      <c r="D250" s="26" t="s">
        <v>43</v>
      </c>
      <c r="E250" s="1">
        <f t="shared" si="336"/>
        <v>0</v>
      </c>
      <c r="F250" s="1">
        <f t="shared" si="336"/>
        <v>0</v>
      </c>
      <c r="G250" s="1"/>
      <c r="H250" s="1"/>
      <c r="I250" s="1"/>
      <c r="J250" s="27"/>
      <c r="K250" s="1"/>
      <c r="L250" s="1"/>
      <c r="M250" s="27"/>
      <c r="N250" s="1">
        <f>10-10</f>
        <v>0</v>
      </c>
      <c r="O250" s="1">
        <v>0</v>
      </c>
      <c r="P250" s="1"/>
      <c r="Q250" s="1"/>
      <c r="R250" s="1">
        <v>0</v>
      </c>
      <c r="S250" s="1"/>
      <c r="T250" s="1"/>
      <c r="U250" s="1"/>
      <c r="V250" s="27"/>
      <c r="W250" s="1">
        <f>35-35</f>
        <v>0</v>
      </c>
      <c r="X250" s="1"/>
      <c r="Y250" s="27"/>
      <c r="Z250" s="1"/>
      <c r="AA250" s="1"/>
      <c r="AB250" s="27"/>
      <c r="AC250" s="1"/>
      <c r="AD250" s="1"/>
      <c r="AE250" s="27"/>
      <c r="AF250" s="1">
        <f>50-50</f>
        <v>0</v>
      </c>
      <c r="AG250" s="1">
        <v>0</v>
      </c>
      <c r="AH250" s="1"/>
      <c r="AI250" s="1"/>
      <c r="AJ250" s="1"/>
      <c r="AK250" s="1"/>
      <c r="AL250" s="1"/>
      <c r="AM250" s="1"/>
      <c r="AN250" s="1" t="e">
        <f t="shared" ref="AN250" si="356">AM250/AL250*100</f>
        <v>#DIV/0!</v>
      </c>
      <c r="AO250" s="1">
        <f>25-25</f>
        <v>0</v>
      </c>
      <c r="AP250" s="1"/>
      <c r="AQ250" s="27"/>
      <c r="AR250" s="36"/>
      <c r="AS250" s="21"/>
    </row>
    <row r="251" spans="1:45" ht="15" customHeight="1" x14ac:dyDescent="0.25">
      <c r="A251" s="103"/>
      <c r="B251" s="101"/>
      <c r="C251" s="101"/>
      <c r="D251" s="26" t="s">
        <v>21</v>
      </c>
      <c r="E251" s="1">
        <f t="shared" si="336"/>
        <v>0</v>
      </c>
      <c r="F251" s="1">
        <f t="shared" si="336"/>
        <v>0</v>
      </c>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40"/>
      <c r="AR251" s="24"/>
      <c r="AS251" s="24"/>
    </row>
    <row r="252" spans="1:45" ht="13.15" customHeight="1" x14ac:dyDescent="0.25">
      <c r="A252" s="105" t="s">
        <v>77</v>
      </c>
      <c r="B252" s="98" t="s">
        <v>104</v>
      </c>
      <c r="C252" s="98" t="s">
        <v>159</v>
      </c>
      <c r="D252" s="26" t="s">
        <v>3</v>
      </c>
      <c r="E252" s="1">
        <f>H252+K252+N252+Q252+T252+W252+Z252+AC252+AF252+AI252+AL252+AO252</f>
        <v>240.8</v>
      </c>
      <c r="F252" s="1">
        <f t="shared" si="336"/>
        <v>233.3</v>
      </c>
      <c r="G252" s="1">
        <f>F252/E252*100</f>
        <v>96.885382059800662</v>
      </c>
      <c r="H252" s="1">
        <f>H253+H254+H255+H256</f>
        <v>0</v>
      </c>
      <c r="I252" s="1">
        <f>I253+I254+I255+I256</f>
        <v>0</v>
      </c>
      <c r="J252" s="27"/>
      <c r="K252" s="1">
        <f>K253+K254+K255+K256</f>
        <v>0</v>
      </c>
      <c r="L252" s="1">
        <f>L253+L254+L255+L256</f>
        <v>0</v>
      </c>
      <c r="M252" s="1"/>
      <c r="N252" s="1">
        <f t="shared" ref="N252:AO252" si="357">N253+N254+N255+N256</f>
        <v>3.5</v>
      </c>
      <c r="O252" s="1">
        <f t="shared" si="357"/>
        <v>0</v>
      </c>
      <c r="P252" s="1">
        <f t="shared" ref="P252:P255" si="358">O252/N252*100</f>
        <v>0</v>
      </c>
      <c r="Q252" s="1">
        <f t="shared" si="357"/>
        <v>2</v>
      </c>
      <c r="R252" s="1">
        <f t="shared" si="357"/>
        <v>5.5</v>
      </c>
      <c r="S252" s="1">
        <f t="shared" ref="S252" si="359">R252/Q252*100</f>
        <v>275</v>
      </c>
      <c r="T252" s="1">
        <f t="shared" si="357"/>
        <v>3.5</v>
      </c>
      <c r="U252" s="1">
        <f t="shared" si="357"/>
        <v>3.5</v>
      </c>
      <c r="V252" s="1">
        <f>U252/T252*100</f>
        <v>100</v>
      </c>
      <c r="W252" s="1">
        <f t="shared" si="357"/>
        <v>220.8</v>
      </c>
      <c r="X252" s="1">
        <f t="shared" si="357"/>
        <v>220.8</v>
      </c>
      <c r="Y252" s="1">
        <f>X252/W252*100</f>
        <v>100</v>
      </c>
      <c r="Z252" s="1">
        <f t="shared" si="357"/>
        <v>0</v>
      </c>
      <c r="AA252" s="1"/>
      <c r="AB252" s="27"/>
      <c r="AC252" s="1">
        <f t="shared" si="357"/>
        <v>0</v>
      </c>
      <c r="AD252" s="1">
        <f t="shared" si="357"/>
        <v>0</v>
      </c>
      <c r="AE252" s="1"/>
      <c r="AF252" s="1">
        <f t="shared" si="357"/>
        <v>3.5</v>
      </c>
      <c r="AG252" s="1">
        <f t="shared" si="357"/>
        <v>3.5</v>
      </c>
      <c r="AH252" s="1">
        <f>AG252/AF252*100</f>
        <v>100</v>
      </c>
      <c r="AI252" s="1">
        <f t="shared" si="357"/>
        <v>2</v>
      </c>
      <c r="AJ252" s="1">
        <f t="shared" si="357"/>
        <v>0</v>
      </c>
      <c r="AK252" s="27"/>
      <c r="AL252" s="1">
        <f t="shared" si="357"/>
        <v>0</v>
      </c>
      <c r="AM252" s="1">
        <f t="shared" si="357"/>
        <v>0</v>
      </c>
      <c r="AN252" s="1" t="e">
        <f>AM252/AL252*100</f>
        <v>#DIV/0!</v>
      </c>
      <c r="AO252" s="1">
        <f t="shared" si="357"/>
        <v>5.5</v>
      </c>
      <c r="AP252" s="1"/>
      <c r="AQ252" s="27"/>
      <c r="AR252" s="24"/>
      <c r="AS252" s="24"/>
    </row>
    <row r="253" spans="1:45" x14ac:dyDescent="0.25">
      <c r="A253" s="106"/>
      <c r="B253" s="99"/>
      <c r="C253" s="99"/>
      <c r="D253" s="26" t="s">
        <v>20</v>
      </c>
      <c r="E253" s="1">
        <f t="shared" si="336"/>
        <v>0</v>
      </c>
      <c r="F253" s="1">
        <f>I253+L253+O253+R253+U253+X253+AA253+AD253+AG253+AJ253+AM253+AP253</f>
        <v>0</v>
      </c>
      <c r="G253" s="1"/>
      <c r="H253" s="1"/>
      <c r="I253" s="1"/>
      <c r="J253" s="27"/>
      <c r="K253" s="1"/>
      <c r="L253" s="1"/>
      <c r="M253" s="1"/>
      <c r="N253" s="1"/>
      <c r="O253" s="1"/>
      <c r="P253" s="1"/>
      <c r="Q253" s="1"/>
      <c r="R253" s="1"/>
      <c r="S253" s="27"/>
      <c r="T253" s="1"/>
      <c r="U253" s="1"/>
      <c r="V253" s="1"/>
      <c r="W253" s="1"/>
      <c r="X253" s="1"/>
      <c r="Y253" s="1"/>
      <c r="Z253" s="1"/>
      <c r="AA253" s="1"/>
      <c r="AB253" s="27"/>
      <c r="AC253" s="1"/>
      <c r="AD253" s="1"/>
      <c r="AE253" s="1"/>
      <c r="AF253" s="1"/>
      <c r="AG253" s="1"/>
      <c r="AH253" s="1"/>
      <c r="AI253" s="1"/>
      <c r="AJ253" s="1"/>
      <c r="AK253" s="27"/>
      <c r="AL253" s="1"/>
      <c r="AM253" s="1"/>
      <c r="AN253" s="1"/>
      <c r="AO253" s="1"/>
      <c r="AP253" s="1"/>
      <c r="AQ253" s="27"/>
      <c r="AR253" s="24"/>
      <c r="AS253" s="24"/>
    </row>
    <row r="254" spans="1:45" ht="24" x14ac:dyDescent="0.25">
      <c r="A254" s="106"/>
      <c r="B254" s="99"/>
      <c r="C254" s="99"/>
      <c r="D254" s="26" t="s">
        <v>4</v>
      </c>
      <c r="E254" s="1">
        <f t="shared" si="336"/>
        <v>0</v>
      </c>
      <c r="F254" s="1">
        <f t="shared" si="336"/>
        <v>0</v>
      </c>
      <c r="G254" s="1"/>
      <c r="H254" s="1"/>
      <c r="I254" s="1"/>
      <c r="J254" s="27"/>
      <c r="K254" s="1"/>
      <c r="L254" s="1"/>
      <c r="M254" s="1"/>
      <c r="N254" s="1"/>
      <c r="O254" s="1"/>
      <c r="P254" s="1"/>
      <c r="Q254" s="1"/>
      <c r="R254" s="1"/>
      <c r="S254" s="27"/>
      <c r="T254" s="1"/>
      <c r="U254" s="1"/>
      <c r="V254" s="1"/>
      <c r="W254" s="1"/>
      <c r="X254" s="1"/>
      <c r="Y254" s="1"/>
      <c r="Z254" s="1"/>
      <c r="AA254" s="1"/>
      <c r="AB254" s="27"/>
      <c r="AC254" s="1"/>
      <c r="AD254" s="1">
        <v>0</v>
      </c>
      <c r="AE254" s="1"/>
      <c r="AF254" s="1"/>
      <c r="AG254" s="1"/>
      <c r="AH254" s="1"/>
      <c r="AI254" s="1"/>
      <c r="AJ254" s="1"/>
      <c r="AK254" s="27"/>
      <c r="AL254" s="1"/>
      <c r="AM254" s="1"/>
      <c r="AN254" s="1"/>
      <c r="AO254" s="1"/>
      <c r="AP254" s="1"/>
      <c r="AQ254" s="27"/>
      <c r="AR254" s="21"/>
      <c r="AS254" s="21"/>
    </row>
    <row r="255" spans="1:45" ht="87" customHeight="1" x14ac:dyDescent="0.25">
      <c r="A255" s="106"/>
      <c r="B255" s="99"/>
      <c r="C255" s="99"/>
      <c r="D255" s="26" t="s">
        <v>43</v>
      </c>
      <c r="E255" s="1">
        <f t="shared" si="336"/>
        <v>240.8</v>
      </c>
      <c r="F255" s="1">
        <f t="shared" si="336"/>
        <v>233.3</v>
      </c>
      <c r="G255" s="1">
        <f t="shared" ref="G255" si="360">F255/E255*100</f>
        <v>96.885382059800662</v>
      </c>
      <c r="H255" s="1"/>
      <c r="I255" s="1"/>
      <c r="J255" s="27"/>
      <c r="K255" s="1"/>
      <c r="L255" s="1"/>
      <c r="M255" s="1"/>
      <c r="N255" s="1">
        <v>3.5</v>
      </c>
      <c r="O255" s="1">
        <v>0</v>
      </c>
      <c r="P255" s="1">
        <f t="shared" si="358"/>
        <v>0</v>
      </c>
      <c r="Q255" s="1">
        <v>2</v>
      </c>
      <c r="R255" s="1">
        <v>5.5</v>
      </c>
      <c r="S255" s="1">
        <f t="shared" ref="S255" si="361">R255/Q255*100</f>
        <v>275</v>
      </c>
      <c r="T255" s="1">
        <v>3.5</v>
      </c>
      <c r="U255" s="1">
        <v>3.5</v>
      </c>
      <c r="V255" s="1">
        <f t="shared" ref="V255" si="362">U255/T255*100</f>
        <v>100</v>
      </c>
      <c r="W255" s="1">
        <v>220.8</v>
      </c>
      <c r="X255" s="1">
        <v>220.8</v>
      </c>
      <c r="Y255" s="1">
        <f t="shared" ref="Y255" si="363">X255/W255*100</f>
        <v>100</v>
      </c>
      <c r="Z255" s="1"/>
      <c r="AA255" s="1"/>
      <c r="AB255" s="27"/>
      <c r="AC255" s="1"/>
      <c r="AD255" s="1"/>
      <c r="AE255" s="27"/>
      <c r="AF255" s="1">
        <v>3.5</v>
      </c>
      <c r="AG255" s="1">
        <v>3.5</v>
      </c>
      <c r="AH255" s="1">
        <f t="shared" ref="AH255" si="364">AG255/AF255*100</f>
        <v>100</v>
      </c>
      <c r="AI255" s="1">
        <v>2</v>
      </c>
      <c r="AJ255" s="1"/>
      <c r="AK255" s="27"/>
      <c r="AL255" s="1"/>
      <c r="AM255" s="1"/>
      <c r="AN255" s="1" t="e">
        <f t="shared" ref="AN255" si="365">AM255/AL255*100</f>
        <v>#DIV/0!</v>
      </c>
      <c r="AO255" s="1">
        <v>5.5</v>
      </c>
      <c r="AP255" s="1"/>
      <c r="AQ255" s="27"/>
      <c r="AR255" s="21" t="s">
        <v>189</v>
      </c>
      <c r="AS255" s="21" t="s">
        <v>190</v>
      </c>
    </row>
    <row r="256" spans="1:45" ht="15.75" customHeight="1" x14ac:dyDescent="0.25">
      <c r="A256" s="106"/>
      <c r="B256" s="99"/>
      <c r="C256" s="99"/>
      <c r="D256" s="26" t="s">
        <v>21</v>
      </c>
      <c r="E256" s="1">
        <f t="shared" si="336"/>
        <v>0</v>
      </c>
      <c r="F256" s="1">
        <f t="shared" si="336"/>
        <v>0</v>
      </c>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40"/>
      <c r="AR256" s="24"/>
      <c r="AS256" s="24"/>
    </row>
    <row r="257" spans="1:45" ht="14.45" hidden="1" customHeight="1" x14ac:dyDescent="0.25">
      <c r="A257" s="107"/>
      <c r="B257" s="100"/>
      <c r="C257" s="100"/>
      <c r="D257" s="30" t="s">
        <v>119</v>
      </c>
      <c r="E257" s="1"/>
      <c r="F257" s="1">
        <f t="shared" si="336"/>
        <v>0</v>
      </c>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40"/>
      <c r="AR257" s="44"/>
      <c r="AS257" s="24"/>
    </row>
    <row r="258" spans="1:45" ht="12" customHeight="1" x14ac:dyDescent="0.25">
      <c r="A258" s="103" t="s">
        <v>156</v>
      </c>
      <c r="B258" s="101" t="s">
        <v>157</v>
      </c>
      <c r="C258" s="101" t="s">
        <v>158</v>
      </c>
      <c r="D258" s="26" t="s">
        <v>3</v>
      </c>
      <c r="E258" s="1">
        <f t="shared" ref="E258:E267" si="366">H258+K258+N258+Q258+T258+W258+Z258+AC258+AF258+AI258+AL258+AO258</f>
        <v>214.3</v>
      </c>
      <c r="F258" s="1">
        <f t="shared" si="336"/>
        <v>0</v>
      </c>
      <c r="G258" s="1">
        <f>F258/E258*100</f>
        <v>0</v>
      </c>
      <c r="H258" s="1">
        <f>H259+H260+H261+H262</f>
        <v>0</v>
      </c>
      <c r="I258" s="1"/>
      <c r="J258" s="27"/>
      <c r="K258" s="1">
        <f t="shared" ref="K258" si="367">K259+K260+K261+K262</f>
        <v>0</v>
      </c>
      <c r="L258" s="1"/>
      <c r="M258" s="27"/>
      <c r="N258" s="1">
        <f t="shared" ref="N258:O258" si="368">N259+N260+N261+N262</f>
        <v>0</v>
      </c>
      <c r="O258" s="1">
        <f t="shared" si="368"/>
        <v>0</v>
      </c>
      <c r="P258" s="27"/>
      <c r="Q258" s="1">
        <f t="shared" ref="Q258:R258" si="369">Q259+Q260+Q261+Q262</f>
        <v>0</v>
      </c>
      <c r="R258" s="1">
        <f t="shared" si="369"/>
        <v>0</v>
      </c>
      <c r="S258" s="1"/>
      <c r="T258" s="1">
        <f t="shared" ref="T258" si="370">T259+T260+T261+T262</f>
        <v>0</v>
      </c>
      <c r="U258" s="1"/>
      <c r="V258" s="27"/>
      <c r="W258" s="1">
        <f t="shared" ref="W258" si="371">W259+W260+W261+W262</f>
        <v>71</v>
      </c>
      <c r="X258" s="1"/>
      <c r="Y258" s="27"/>
      <c r="Z258" s="1">
        <f t="shared" ref="Z258" si="372">Z259+Z260+Z261+Z262</f>
        <v>0</v>
      </c>
      <c r="AA258" s="1"/>
      <c r="AB258" s="27"/>
      <c r="AC258" s="1">
        <f t="shared" ref="AC258:AD258" si="373">AC259+AC260+AC261+AC262</f>
        <v>0</v>
      </c>
      <c r="AD258" s="1">
        <f t="shared" si="373"/>
        <v>0</v>
      </c>
      <c r="AE258" s="27"/>
      <c r="AF258" s="1">
        <f t="shared" ref="AF258:AG258" si="374">AF259+AF260+AF261+AF262</f>
        <v>143.30000000000001</v>
      </c>
      <c r="AG258" s="1">
        <f t="shared" si="374"/>
        <v>0</v>
      </c>
      <c r="AH258" s="1">
        <f>AG258/AF258*100</f>
        <v>0</v>
      </c>
      <c r="AI258" s="1">
        <f t="shared" ref="AI258:AJ258" si="375">AI259+AI260+AI261+AI262</f>
        <v>0</v>
      </c>
      <c r="AJ258" s="1">
        <f t="shared" si="375"/>
        <v>0</v>
      </c>
      <c r="AK258" s="1"/>
      <c r="AL258" s="1">
        <f t="shared" ref="AL258:AM258" si="376">AL259+AL260+AL261+AL262</f>
        <v>0</v>
      </c>
      <c r="AM258" s="1">
        <f t="shared" si="376"/>
        <v>0</v>
      </c>
      <c r="AN258" s="1"/>
      <c r="AO258" s="1">
        <f t="shared" ref="AO258" si="377">AO259+AO260+AO261+AO262</f>
        <v>0</v>
      </c>
      <c r="AP258" s="1"/>
      <c r="AQ258" s="27"/>
      <c r="AR258" s="24"/>
      <c r="AS258" s="24"/>
    </row>
    <row r="259" spans="1:45" x14ac:dyDescent="0.25">
      <c r="A259" s="103"/>
      <c r="B259" s="101"/>
      <c r="C259" s="101"/>
      <c r="D259" s="26" t="s">
        <v>20</v>
      </c>
      <c r="E259" s="1">
        <f t="shared" si="366"/>
        <v>0</v>
      </c>
      <c r="F259" s="1">
        <f t="shared" si="336"/>
        <v>0</v>
      </c>
      <c r="G259" s="1"/>
      <c r="H259" s="1"/>
      <c r="I259" s="1"/>
      <c r="J259" s="27"/>
      <c r="K259" s="1"/>
      <c r="L259" s="1"/>
      <c r="M259" s="27"/>
      <c r="N259" s="1"/>
      <c r="O259" s="1"/>
      <c r="P259" s="27"/>
      <c r="Q259" s="1"/>
      <c r="R259" s="1"/>
      <c r="S259" s="1"/>
      <c r="T259" s="1"/>
      <c r="U259" s="1"/>
      <c r="V259" s="27"/>
      <c r="W259" s="1"/>
      <c r="X259" s="1"/>
      <c r="Y259" s="27"/>
      <c r="Z259" s="1"/>
      <c r="AA259" s="1"/>
      <c r="AB259" s="27"/>
      <c r="AC259" s="1"/>
      <c r="AD259" s="1"/>
      <c r="AE259" s="27"/>
      <c r="AF259" s="1"/>
      <c r="AG259" s="1"/>
      <c r="AH259" s="1"/>
      <c r="AI259" s="1"/>
      <c r="AJ259" s="1"/>
      <c r="AK259" s="1"/>
      <c r="AL259" s="1"/>
      <c r="AM259" s="1"/>
      <c r="AN259" s="1"/>
      <c r="AO259" s="1"/>
      <c r="AP259" s="1"/>
      <c r="AQ259" s="27"/>
      <c r="AR259" s="24"/>
      <c r="AS259" s="24"/>
    </row>
    <row r="260" spans="1:45" ht="24" x14ac:dyDescent="0.25">
      <c r="A260" s="103"/>
      <c r="B260" s="101"/>
      <c r="C260" s="101"/>
      <c r="D260" s="26" t="s">
        <v>4</v>
      </c>
      <c r="E260" s="1">
        <f t="shared" si="366"/>
        <v>0</v>
      </c>
      <c r="F260" s="1">
        <f t="shared" si="336"/>
        <v>0</v>
      </c>
      <c r="G260" s="1"/>
      <c r="H260" s="1"/>
      <c r="I260" s="1"/>
      <c r="J260" s="27"/>
      <c r="K260" s="1"/>
      <c r="L260" s="1"/>
      <c r="M260" s="27"/>
      <c r="N260" s="1"/>
      <c r="O260" s="1"/>
      <c r="P260" s="27"/>
      <c r="Q260" s="1"/>
      <c r="R260" s="1"/>
      <c r="S260" s="1"/>
      <c r="T260" s="1"/>
      <c r="U260" s="1"/>
      <c r="V260" s="27"/>
      <c r="W260" s="1"/>
      <c r="X260" s="1"/>
      <c r="Y260" s="27"/>
      <c r="Z260" s="1"/>
      <c r="AA260" s="1"/>
      <c r="AB260" s="27"/>
      <c r="AC260" s="1"/>
      <c r="AD260" s="1"/>
      <c r="AE260" s="27"/>
      <c r="AF260" s="1"/>
      <c r="AG260" s="1"/>
      <c r="AH260" s="1"/>
      <c r="AI260" s="1"/>
      <c r="AJ260" s="1"/>
      <c r="AK260" s="1"/>
      <c r="AL260" s="1"/>
      <c r="AM260" s="1"/>
      <c r="AN260" s="1"/>
      <c r="AO260" s="1"/>
      <c r="AP260" s="1"/>
      <c r="AQ260" s="27"/>
      <c r="AR260" s="24"/>
      <c r="AS260" s="24"/>
    </row>
    <row r="261" spans="1:45" ht="85.5" customHeight="1" x14ac:dyDescent="0.25">
      <c r="A261" s="103"/>
      <c r="B261" s="101"/>
      <c r="C261" s="101"/>
      <c r="D261" s="26" t="s">
        <v>43</v>
      </c>
      <c r="E261" s="1">
        <f t="shared" si="366"/>
        <v>214.3</v>
      </c>
      <c r="F261" s="1">
        <f t="shared" si="336"/>
        <v>0</v>
      </c>
      <c r="G261" s="1">
        <f t="shared" ref="G261" si="378">F261/E261*100</f>
        <v>0</v>
      </c>
      <c r="H261" s="1"/>
      <c r="I261" s="1"/>
      <c r="J261" s="27"/>
      <c r="K261" s="1"/>
      <c r="L261" s="1"/>
      <c r="M261" s="27"/>
      <c r="N261" s="1">
        <f>60-60</f>
        <v>0</v>
      </c>
      <c r="O261" s="1"/>
      <c r="P261" s="27"/>
      <c r="Q261" s="1"/>
      <c r="R261" s="1">
        <v>0</v>
      </c>
      <c r="S261" s="1"/>
      <c r="T261" s="1"/>
      <c r="U261" s="1"/>
      <c r="V261" s="27"/>
      <c r="W261" s="1">
        <v>71</v>
      </c>
      <c r="X261" s="1"/>
      <c r="Y261" s="27"/>
      <c r="Z261" s="1"/>
      <c r="AA261" s="1"/>
      <c r="AB261" s="27"/>
      <c r="AC261" s="1"/>
      <c r="AD261" s="1"/>
      <c r="AE261" s="27"/>
      <c r="AF261" s="1">
        <v>143.30000000000001</v>
      </c>
      <c r="AG261" s="1">
        <v>0</v>
      </c>
      <c r="AH261" s="1">
        <f t="shared" ref="AH261" si="379">AG261/AF261*100</f>
        <v>0</v>
      </c>
      <c r="AI261" s="1"/>
      <c r="AJ261" s="1"/>
      <c r="AK261" s="1"/>
      <c r="AL261" s="1"/>
      <c r="AM261" s="1"/>
      <c r="AN261" s="1"/>
      <c r="AO261" s="1"/>
      <c r="AP261" s="1"/>
      <c r="AQ261" s="27"/>
      <c r="AR261" s="36"/>
      <c r="AS261" s="21" t="s">
        <v>198</v>
      </c>
    </row>
    <row r="262" spans="1:45" ht="12" customHeight="1" x14ac:dyDescent="0.25">
      <c r="A262" s="103"/>
      <c r="B262" s="101"/>
      <c r="C262" s="101"/>
      <c r="D262" s="26" t="s">
        <v>21</v>
      </c>
      <c r="E262" s="1">
        <f t="shared" si="366"/>
        <v>0</v>
      </c>
      <c r="F262" s="1">
        <f t="shared" si="336"/>
        <v>0</v>
      </c>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40"/>
      <c r="AR262" s="24"/>
      <c r="AS262" s="24"/>
    </row>
    <row r="263" spans="1:45" ht="12" customHeight="1" x14ac:dyDescent="0.25">
      <c r="A263" s="103" t="s">
        <v>164</v>
      </c>
      <c r="B263" s="101" t="s">
        <v>165</v>
      </c>
      <c r="C263" s="101" t="s">
        <v>158</v>
      </c>
      <c r="D263" s="26" t="s">
        <v>3</v>
      </c>
      <c r="E263" s="1">
        <f t="shared" si="366"/>
        <v>15517.400000000001</v>
      </c>
      <c r="F263" s="1">
        <f t="shared" si="336"/>
        <v>9325.0999999999985</v>
      </c>
      <c r="G263" s="1">
        <f>F263/E263*100</f>
        <v>60.094474589815292</v>
      </c>
      <c r="H263" s="1">
        <f>H264+H265+H266+H267</f>
        <v>1172.3</v>
      </c>
      <c r="I263" s="1">
        <f>I264+I265+I266+I267</f>
        <v>300</v>
      </c>
      <c r="J263" s="1">
        <f>I263/H263*100</f>
        <v>25.590719099206687</v>
      </c>
      <c r="K263" s="1">
        <f t="shared" ref="K263:L263" si="380">K264+K265+K266+K267</f>
        <v>885</v>
      </c>
      <c r="L263" s="1">
        <f t="shared" si="380"/>
        <v>673</v>
      </c>
      <c r="M263" s="1">
        <f>L263/K263*100</f>
        <v>76.045197740112997</v>
      </c>
      <c r="N263" s="1">
        <f t="shared" ref="N263:O263" si="381">N264+N265+N266+N267</f>
        <v>886.3</v>
      </c>
      <c r="O263" s="1">
        <f t="shared" si="381"/>
        <v>388.6</v>
      </c>
      <c r="P263" s="1">
        <f>O263/N263*100</f>
        <v>43.845199142502544</v>
      </c>
      <c r="Q263" s="1">
        <f t="shared" ref="Q263:R263" si="382">Q264+Q265+Q266+Q267</f>
        <v>1318</v>
      </c>
      <c r="R263" s="1">
        <f t="shared" si="382"/>
        <v>956.3</v>
      </c>
      <c r="S263" s="1">
        <f>R263/Q263*100</f>
        <v>72.556904400606982</v>
      </c>
      <c r="T263" s="1">
        <f t="shared" ref="T263:U263" si="383">T264+T265+T266+T267</f>
        <v>1318</v>
      </c>
      <c r="U263" s="1">
        <f t="shared" si="383"/>
        <v>873</v>
      </c>
      <c r="V263" s="1">
        <f>U263/T263*100</f>
        <v>66.236722306525039</v>
      </c>
      <c r="W263" s="1">
        <f t="shared" ref="W263:X263" si="384">W264+W265+W266+W267</f>
        <v>1319.4</v>
      </c>
      <c r="X263" s="1">
        <f t="shared" si="384"/>
        <v>1196.4000000000001</v>
      </c>
      <c r="Y263" s="1">
        <f>X263/W263*100</f>
        <v>90.677580718508409</v>
      </c>
      <c r="Z263" s="1">
        <f t="shared" ref="Z263:AA263" si="385">Z264+Z265+Z266+Z267</f>
        <v>1229</v>
      </c>
      <c r="AA263" s="1">
        <f t="shared" si="385"/>
        <v>2024</v>
      </c>
      <c r="AB263" s="1">
        <f>AA263/Z263*100</f>
        <v>164.68673718470302</v>
      </c>
      <c r="AC263" s="1">
        <f t="shared" ref="AC263:AD263" si="386">AC264+AC265+AC266+AC267</f>
        <v>1197.2</v>
      </c>
      <c r="AD263" s="1">
        <f t="shared" si="386"/>
        <v>2363.8000000000002</v>
      </c>
      <c r="AE263" s="1">
        <f>AD263/AC263*100</f>
        <v>197.44403608419648</v>
      </c>
      <c r="AF263" s="1">
        <f t="shared" ref="AF263:AG263" si="387">AF264+AF265+AF266+AF267</f>
        <v>0</v>
      </c>
      <c r="AG263" s="1">
        <f t="shared" si="387"/>
        <v>550</v>
      </c>
      <c r="AH263" s="1"/>
      <c r="AI263" s="1">
        <f t="shared" ref="AI263:AJ263" si="388">AI264+AI265+AI266+AI267</f>
        <v>1553.7</v>
      </c>
      <c r="AJ263" s="1">
        <f t="shared" si="388"/>
        <v>0</v>
      </c>
      <c r="AK263" s="1"/>
      <c r="AL263" s="1">
        <f t="shared" ref="AL263:AM263" si="389">AL264+AL265+AL266+AL267</f>
        <v>1553.7</v>
      </c>
      <c r="AM263" s="1">
        <f t="shared" si="389"/>
        <v>0</v>
      </c>
      <c r="AN263" s="1"/>
      <c r="AO263" s="1">
        <f t="shared" ref="AO263" si="390">AO264+AO265+AO266+AO267</f>
        <v>3084.7999999999997</v>
      </c>
      <c r="AP263" s="1"/>
      <c r="AQ263" s="27"/>
      <c r="AR263" s="24"/>
      <c r="AS263" s="24"/>
    </row>
    <row r="264" spans="1:45" x14ac:dyDescent="0.25">
      <c r="A264" s="103"/>
      <c r="B264" s="101"/>
      <c r="C264" s="101"/>
      <c r="D264" s="26" t="s">
        <v>20</v>
      </c>
      <c r="E264" s="1">
        <f t="shared" si="366"/>
        <v>0</v>
      </c>
      <c r="F264" s="1">
        <f t="shared" si="336"/>
        <v>0</v>
      </c>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27"/>
      <c r="AR264" s="24"/>
      <c r="AS264" s="24"/>
    </row>
    <row r="265" spans="1:45" ht="24" x14ac:dyDescent="0.25">
      <c r="A265" s="103"/>
      <c r="B265" s="101"/>
      <c r="C265" s="101"/>
      <c r="D265" s="26" t="s">
        <v>4</v>
      </c>
      <c r="E265" s="1">
        <f t="shared" si="366"/>
        <v>0</v>
      </c>
      <c r="F265" s="1">
        <f t="shared" si="336"/>
        <v>0</v>
      </c>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27"/>
      <c r="AR265" s="24"/>
      <c r="AS265" s="24"/>
    </row>
    <row r="266" spans="1:45" ht="96.75" customHeight="1" x14ac:dyDescent="0.25">
      <c r="A266" s="103"/>
      <c r="B266" s="101"/>
      <c r="C266" s="101"/>
      <c r="D266" s="26" t="s">
        <v>43</v>
      </c>
      <c r="E266" s="1">
        <f t="shared" si="366"/>
        <v>15517.400000000001</v>
      </c>
      <c r="F266" s="1">
        <f t="shared" si="336"/>
        <v>9325.0999999999985</v>
      </c>
      <c r="G266" s="1">
        <f t="shared" ref="G266" si="391">F266/E266*100</f>
        <v>60.094474589815292</v>
      </c>
      <c r="H266" s="1">
        <f>2151-978.7</f>
        <v>1172.3</v>
      </c>
      <c r="I266" s="1">
        <v>300</v>
      </c>
      <c r="J266" s="1">
        <f t="shared" ref="J266" si="392">I266/H266*100</f>
        <v>25.590719099206687</v>
      </c>
      <c r="K266" s="1">
        <v>885</v>
      </c>
      <c r="L266" s="1">
        <v>673</v>
      </c>
      <c r="M266" s="1">
        <f t="shared" ref="M266" si="393">L266/K266*100</f>
        <v>76.045197740112997</v>
      </c>
      <c r="N266" s="1">
        <v>886.3</v>
      </c>
      <c r="O266" s="1">
        <v>388.6</v>
      </c>
      <c r="P266" s="1">
        <f t="shared" ref="P266" si="394">O266/N266*100</f>
        <v>43.845199142502544</v>
      </c>
      <c r="Q266" s="1">
        <v>1318</v>
      </c>
      <c r="R266" s="1">
        <v>956.3</v>
      </c>
      <c r="S266" s="1">
        <f t="shared" ref="S266" si="395">R266/Q266*100</f>
        <v>72.556904400606982</v>
      </c>
      <c r="T266" s="1">
        <v>1318</v>
      </c>
      <c r="U266" s="1">
        <v>873</v>
      </c>
      <c r="V266" s="1">
        <f t="shared" ref="V266" si="396">U266/T266*100</f>
        <v>66.236722306525039</v>
      </c>
      <c r="W266" s="1">
        <v>1319.4</v>
      </c>
      <c r="X266" s="1">
        <v>1196.4000000000001</v>
      </c>
      <c r="Y266" s="1">
        <f t="shared" ref="Y266" si="397">X266/W266*100</f>
        <v>90.677580718508409</v>
      </c>
      <c r="Z266" s="1">
        <v>1229</v>
      </c>
      <c r="AA266" s="1">
        <v>2024</v>
      </c>
      <c r="AB266" s="1">
        <f t="shared" ref="AB266" si="398">AA266/Z266*100</f>
        <v>164.68673718470302</v>
      </c>
      <c r="AC266" s="1">
        <f>1229-31.8</f>
        <v>1197.2</v>
      </c>
      <c r="AD266" s="1">
        <v>2363.8000000000002</v>
      </c>
      <c r="AE266" s="1">
        <f t="shared" ref="AE266" si="399">AD266/AC266*100</f>
        <v>197.44403608419648</v>
      </c>
      <c r="AF266" s="1">
        <f>1230.2-1230.2</f>
        <v>0</v>
      </c>
      <c r="AG266" s="1">
        <v>550</v>
      </c>
      <c r="AH266" s="1"/>
      <c r="AI266" s="1">
        <v>1553.7</v>
      </c>
      <c r="AJ266" s="1"/>
      <c r="AK266" s="1"/>
      <c r="AL266" s="1">
        <v>1553.7</v>
      </c>
      <c r="AM266" s="1"/>
      <c r="AN266" s="1"/>
      <c r="AO266" s="1">
        <f>844.1+2240.7</f>
        <v>3084.7999999999997</v>
      </c>
      <c r="AP266" s="1"/>
      <c r="AQ266" s="27"/>
      <c r="AR266" s="21" t="s">
        <v>214</v>
      </c>
      <c r="AS266" s="21" t="s">
        <v>220</v>
      </c>
    </row>
    <row r="267" spans="1:45" ht="12" customHeight="1" x14ac:dyDescent="0.25">
      <c r="A267" s="103"/>
      <c r="B267" s="101"/>
      <c r="C267" s="101"/>
      <c r="D267" s="26" t="s">
        <v>21</v>
      </c>
      <c r="E267" s="1">
        <f t="shared" si="366"/>
        <v>0</v>
      </c>
      <c r="F267" s="1">
        <f t="shared" si="336"/>
        <v>0</v>
      </c>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40"/>
      <c r="AR267" s="24"/>
      <c r="AS267" s="24"/>
    </row>
    <row r="268" spans="1:45" ht="12.6" customHeight="1" x14ac:dyDescent="0.25">
      <c r="A268" s="108" t="s">
        <v>15</v>
      </c>
      <c r="B268" s="109"/>
      <c r="C268" s="110"/>
      <c r="D268" s="30" t="s">
        <v>3</v>
      </c>
      <c r="E268" s="31">
        <f>H268+K268+N268+Q268+T268+W268+Z268+AC268+AF268+AI268+AL268+AO268</f>
        <v>16496.900000000001</v>
      </c>
      <c r="F268" s="31">
        <f>I268+L268+O268+R268+U268+X268+AA268+AD268+AG268+AJ268+AM268+AP268</f>
        <v>9777.7000000000007</v>
      </c>
      <c r="G268" s="31">
        <f>F268/E268*100</f>
        <v>59.269923440161485</v>
      </c>
      <c r="H268" s="31">
        <f>H269+H270+H271+H272</f>
        <v>1172.3</v>
      </c>
      <c r="I268" s="31">
        <f>I269+I270+I271+I272</f>
        <v>300</v>
      </c>
      <c r="J268" s="31">
        <f>I268/H268*100</f>
        <v>25.590719099206687</v>
      </c>
      <c r="K268" s="31">
        <f t="shared" ref="K268:AO268" si="400">K270+K271</f>
        <v>914.3</v>
      </c>
      <c r="L268" s="31">
        <f t="shared" si="400"/>
        <v>702.3</v>
      </c>
      <c r="M268" s="31">
        <f>L268/K268*100</f>
        <v>76.812862299026577</v>
      </c>
      <c r="N268" s="31">
        <f t="shared" si="400"/>
        <v>889.8</v>
      </c>
      <c r="O268" s="31">
        <f t="shared" si="400"/>
        <v>388.6</v>
      </c>
      <c r="P268" s="31">
        <f>O268/N268*100</f>
        <v>43.672735446167685</v>
      </c>
      <c r="Q268" s="31">
        <f t="shared" si="400"/>
        <v>1420</v>
      </c>
      <c r="R268" s="31">
        <f t="shared" si="400"/>
        <v>1061.8</v>
      </c>
      <c r="S268" s="31">
        <f>R268/Q268*100</f>
        <v>74.774647887323937</v>
      </c>
      <c r="T268" s="31">
        <f t="shared" si="400"/>
        <v>1321.5</v>
      </c>
      <c r="U268" s="31">
        <f t="shared" si="400"/>
        <v>876.5</v>
      </c>
      <c r="V268" s="31">
        <f>U268/T268*100</f>
        <v>66.326144532727966</v>
      </c>
      <c r="W268" s="31">
        <f t="shared" si="400"/>
        <v>1716.3000000000002</v>
      </c>
      <c r="X268" s="31">
        <f t="shared" si="400"/>
        <v>1417.2</v>
      </c>
      <c r="Y268" s="31">
        <f>X268/W268*100</f>
        <v>82.572976752316023</v>
      </c>
      <c r="Z268" s="31">
        <f t="shared" ref="Z268:AA268" si="401">Z270+Z271</f>
        <v>1229</v>
      </c>
      <c r="AA268" s="31">
        <f t="shared" si="401"/>
        <v>2114</v>
      </c>
      <c r="AB268" s="31">
        <f>AA268/Z268*100</f>
        <v>172.00976403580145</v>
      </c>
      <c r="AC268" s="31">
        <f t="shared" si="400"/>
        <v>1197.2</v>
      </c>
      <c r="AD268" s="31">
        <f t="shared" si="400"/>
        <v>2363.8000000000002</v>
      </c>
      <c r="AE268" s="31">
        <f>AD268/AC268*100</f>
        <v>197.44403608419648</v>
      </c>
      <c r="AF268" s="31">
        <f>AF270+AF271</f>
        <v>146.80000000000001</v>
      </c>
      <c r="AG268" s="31">
        <f>AG270+AG271</f>
        <v>553.5</v>
      </c>
      <c r="AH268" s="31">
        <f>AG268/AF268*100</f>
        <v>377.04359673024521</v>
      </c>
      <c r="AI268" s="31">
        <f t="shared" si="400"/>
        <v>1749.7</v>
      </c>
      <c r="AJ268" s="31">
        <f t="shared" si="400"/>
        <v>0</v>
      </c>
      <c r="AK268" s="31"/>
      <c r="AL268" s="31">
        <f t="shared" si="400"/>
        <v>1649.7</v>
      </c>
      <c r="AM268" s="31">
        <f t="shared" si="400"/>
        <v>0</v>
      </c>
      <c r="AN268" s="31">
        <f>AM268/AL268*100</f>
        <v>0</v>
      </c>
      <c r="AO268" s="31">
        <f t="shared" si="400"/>
        <v>3090.2999999999997</v>
      </c>
      <c r="AP268" s="31"/>
      <c r="AQ268" s="31">
        <f>AP268/AO268*100</f>
        <v>0</v>
      </c>
      <c r="AR268" s="24"/>
      <c r="AS268" s="24"/>
    </row>
    <row r="269" spans="1:45" x14ac:dyDescent="0.25">
      <c r="A269" s="111"/>
      <c r="B269" s="112"/>
      <c r="C269" s="113"/>
      <c r="D269" s="30" t="s">
        <v>20</v>
      </c>
      <c r="E269" s="31">
        <f t="shared" si="336"/>
        <v>0</v>
      </c>
      <c r="F269" s="31">
        <f t="shared" si="336"/>
        <v>0</v>
      </c>
      <c r="G269" s="31"/>
      <c r="H269" s="31">
        <f>H238+H248+H253+H259+H264</f>
        <v>0</v>
      </c>
      <c r="I269" s="31">
        <f>I238+I248+I253+I259+I264</f>
        <v>0</v>
      </c>
      <c r="J269" s="31"/>
      <c r="K269" s="31">
        <f>K238+K248+K253+K259+K264</f>
        <v>0</v>
      </c>
      <c r="L269" s="31">
        <f>L238+L248+L253+L259+L264</f>
        <v>0</v>
      </c>
      <c r="M269" s="31"/>
      <c r="N269" s="31">
        <f>N238+N248+N253+N259+N264</f>
        <v>0</v>
      </c>
      <c r="O269" s="31">
        <f>O238+O248+O253+O259+O264</f>
        <v>0</v>
      </c>
      <c r="P269" s="31"/>
      <c r="Q269" s="31">
        <f>Q238+Q248+Q253+Q259+Q264</f>
        <v>0</v>
      </c>
      <c r="R269" s="31">
        <f>R238+R248+R253+R259+R264</f>
        <v>0</v>
      </c>
      <c r="S269" s="31"/>
      <c r="T269" s="31">
        <f>T238+T248+T253+T259+T264</f>
        <v>0</v>
      </c>
      <c r="U269" s="31">
        <f>U238+U248+U253+U259+U264</f>
        <v>0</v>
      </c>
      <c r="V269" s="31"/>
      <c r="W269" s="31">
        <f>W238+W248+W253+W259+W264</f>
        <v>0</v>
      </c>
      <c r="X269" s="31">
        <f>X238+X248+X253+X259+X264</f>
        <v>0</v>
      </c>
      <c r="Y269" s="31"/>
      <c r="Z269" s="31">
        <f>Z238+Z248+Z253+Z259+Z264</f>
        <v>0</v>
      </c>
      <c r="AA269" s="31">
        <f>AA238+AA248+AA253+AA259+AA264</f>
        <v>0</v>
      </c>
      <c r="AB269" s="31"/>
      <c r="AC269" s="31">
        <f>AC238+AC248+AC253+AC259+AC264</f>
        <v>0</v>
      </c>
      <c r="AD269" s="31">
        <f>AD238+AD248+AD253+AD259+AD264</f>
        <v>0</v>
      </c>
      <c r="AE269" s="31"/>
      <c r="AF269" s="31">
        <f>AF238+AF248+AF253+AF259+AF264</f>
        <v>0</v>
      </c>
      <c r="AG269" s="31">
        <f>AG238+AG248+AG253+AG259+AG264</f>
        <v>0</v>
      </c>
      <c r="AH269" s="31"/>
      <c r="AI269" s="31">
        <f>AI238+AI248+AI253+AI259+AI264</f>
        <v>0</v>
      </c>
      <c r="AJ269" s="31">
        <f>AJ238+AJ248+AJ253+AJ259</f>
        <v>0</v>
      </c>
      <c r="AK269" s="31"/>
      <c r="AL269" s="31">
        <f>AL238+AL248+AL253+AL259+AL264</f>
        <v>0</v>
      </c>
      <c r="AM269" s="31">
        <f>AM238+AM248+AM253</f>
        <v>0</v>
      </c>
      <c r="AN269" s="31"/>
      <c r="AO269" s="31">
        <f>AO238+AO248+AO253+AO259+AO264</f>
        <v>0</v>
      </c>
      <c r="AP269" s="1"/>
      <c r="AQ269" s="31"/>
      <c r="AR269" s="24"/>
      <c r="AS269" s="24"/>
    </row>
    <row r="270" spans="1:45" ht="24" customHeight="1" x14ac:dyDescent="0.25">
      <c r="A270" s="111"/>
      <c r="B270" s="112"/>
      <c r="C270" s="113"/>
      <c r="D270" s="30" t="s">
        <v>4</v>
      </c>
      <c r="E270" s="31">
        <f t="shared" si="336"/>
        <v>0</v>
      </c>
      <c r="F270" s="31">
        <f t="shared" si="336"/>
        <v>0</v>
      </c>
      <c r="G270" s="31"/>
      <c r="H270" s="31">
        <f t="shared" ref="H270:I272" si="402">H239+H249+H254+H260+H265</f>
        <v>0</v>
      </c>
      <c r="I270" s="31">
        <f t="shared" si="402"/>
        <v>0</v>
      </c>
      <c r="J270" s="31"/>
      <c r="K270" s="31">
        <f t="shared" ref="K270:L272" si="403">K239+K249+K254+K260+K265</f>
        <v>0</v>
      </c>
      <c r="L270" s="31">
        <f t="shared" si="403"/>
        <v>0</v>
      </c>
      <c r="M270" s="31"/>
      <c r="N270" s="31">
        <f t="shared" ref="N270:O272" si="404">N239+N249+N254+N260+N265</f>
        <v>0</v>
      </c>
      <c r="O270" s="31">
        <f t="shared" si="404"/>
        <v>0</v>
      </c>
      <c r="P270" s="31"/>
      <c r="Q270" s="31">
        <f t="shared" ref="Q270:R272" si="405">Q239+Q249+Q254+Q260+Q265</f>
        <v>0</v>
      </c>
      <c r="R270" s="31">
        <f t="shared" si="405"/>
        <v>0</v>
      </c>
      <c r="S270" s="31"/>
      <c r="T270" s="31">
        <f t="shared" ref="T270:U272" si="406">T239+T249+T254+T260+T265</f>
        <v>0</v>
      </c>
      <c r="U270" s="31">
        <f t="shared" si="406"/>
        <v>0</v>
      </c>
      <c r="V270" s="31"/>
      <c r="W270" s="31">
        <f t="shared" ref="W270:X272" si="407">W239+W249+W254+W260+W265</f>
        <v>0</v>
      </c>
      <c r="X270" s="31">
        <f t="shared" si="407"/>
        <v>0</v>
      </c>
      <c r="Y270" s="31"/>
      <c r="Z270" s="31">
        <f t="shared" ref="Z270:AA272" si="408">Z239+Z249+Z254+Z260+Z265</f>
        <v>0</v>
      </c>
      <c r="AA270" s="31">
        <f t="shared" si="408"/>
        <v>0</v>
      </c>
      <c r="AB270" s="31"/>
      <c r="AC270" s="31">
        <f t="shared" ref="AC270:AD272" si="409">AC239+AC249+AC254+AC260+AC265</f>
        <v>0</v>
      </c>
      <c r="AD270" s="31">
        <f t="shared" si="409"/>
        <v>0</v>
      </c>
      <c r="AE270" s="31"/>
      <c r="AF270" s="31">
        <f t="shared" ref="AF270:AG272" si="410">AF239+AF249+AF254+AF260+AF265</f>
        <v>0</v>
      </c>
      <c r="AG270" s="31">
        <f t="shared" si="410"/>
        <v>0</v>
      </c>
      <c r="AH270" s="31"/>
      <c r="AI270" s="31">
        <f t="shared" ref="AI270:AI272" si="411">AI239+AI249+AI254+AI260+AI265</f>
        <v>0</v>
      </c>
      <c r="AJ270" s="31">
        <f>AJ239+AJ249+AJ254+AJ260</f>
        <v>0</v>
      </c>
      <c r="AK270" s="31"/>
      <c r="AL270" s="31">
        <f t="shared" ref="AL270:AL272" si="412">AL239+AL249+AL254+AL260+AL265</f>
        <v>0</v>
      </c>
      <c r="AM270" s="31">
        <f>AM239+AM249+AM254</f>
        <v>0</v>
      </c>
      <c r="AN270" s="31"/>
      <c r="AO270" s="31">
        <f t="shared" ref="AO270:AO272" si="413">AO239+AO249+AO254+AO260+AO265</f>
        <v>0</v>
      </c>
      <c r="AP270" s="1"/>
      <c r="AQ270" s="31"/>
      <c r="AR270" s="24"/>
      <c r="AS270" s="24"/>
    </row>
    <row r="271" spans="1:45" ht="12.6" customHeight="1" x14ac:dyDescent="0.25">
      <c r="A271" s="111"/>
      <c r="B271" s="112"/>
      <c r="C271" s="113"/>
      <c r="D271" s="30" t="s">
        <v>43</v>
      </c>
      <c r="E271" s="31">
        <f t="shared" si="336"/>
        <v>16496.900000000001</v>
      </c>
      <c r="F271" s="31">
        <f t="shared" si="336"/>
        <v>9777.7000000000007</v>
      </c>
      <c r="G271" s="31">
        <f t="shared" ref="G271" si="414">F271/E271*100</f>
        <v>59.269923440161485</v>
      </c>
      <c r="H271" s="31">
        <f t="shared" si="402"/>
        <v>1172.3</v>
      </c>
      <c r="I271" s="31">
        <f t="shared" si="402"/>
        <v>300</v>
      </c>
      <c r="J271" s="31">
        <f t="shared" ref="J271" si="415">I271/H271*100</f>
        <v>25.590719099206687</v>
      </c>
      <c r="K271" s="31">
        <f t="shared" si="403"/>
        <v>914.3</v>
      </c>
      <c r="L271" s="31">
        <f t="shared" si="403"/>
        <v>702.3</v>
      </c>
      <c r="M271" s="31">
        <f t="shared" ref="M271" si="416">L271/K271*100</f>
        <v>76.812862299026577</v>
      </c>
      <c r="N271" s="31">
        <f t="shared" si="404"/>
        <v>889.8</v>
      </c>
      <c r="O271" s="31">
        <f t="shared" si="404"/>
        <v>388.6</v>
      </c>
      <c r="P271" s="31">
        <f t="shared" ref="P271" si="417">O271/N271*100</f>
        <v>43.672735446167685</v>
      </c>
      <c r="Q271" s="31">
        <f t="shared" si="405"/>
        <v>1420</v>
      </c>
      <c r="R271" s="31">
        <f t="shared" si="405"/>
        <v>1061.8</v>
      </c>
      <c r="S271" s="31">
        <f t="shared" ref="S271" si="418">R271/Q271*100</f>
        <v>74.774647887323937</v>
      </c>
      <c r="T271" s="31">
        <f t="shared" si="406"/>
        <v>1321.5</v>
      </c>
      <c r="U271" s="31">
        <f t="shared" si="406"/>
        <v>876.5</v>
      </c>
      <c r="V271" s="31">
        <f t="shared" ref="V271" si="419">U271/T271*100</f>
        <v>66.326144532727966</v>
      </c>
      <c r="W271" s="31">
        <f t="shared" si="407"/>
        <v>1716.3000000000002</v>
      </c>
      <c r="X271" s="31">
        <f t="shared" si="407"/>
        <v>1417.2</v>
      </c>
      <c r="Y271" s="31">
        <f t="shared" ref="Y271" si="420">X271/W271*100</f>
        <v>82.572976752316023</v>
      </c>
      <c r="Z271" s="31">
        <f t="shared" si="408"/>
        <v>1229</v>
      </c>
      <c r="AA271" s="31">
        <f t="shared" si="408"/>
        <v>2114</v>
      </c>
      <c r="AB271" s="31">
        <f t="shared" ref="AB271" si="421">AA271/Z271*100</f>
        <v>172.00976403580145</v>
      </c>
      <c r="AC271" s="31">
        <f t="shared" si="409"/>
        <v>1197.2</v>
      </c>
      <c r="AD271" s="31">
        <f t="shared" si="409"/>
        <v>2363.8000000000002</v>
      </c>
      <c r="AE271" s="31">
        <f>AD271/AC271*100</f>
        <v>197.44403608419648</v>
      </c>
      <c r="AF271" s="31">
        <f t="shared" si="410"/>
        <v>146.80000000000001</v>
      </c>
      <c r="AG271" s="31">
        <f t="shared" si="410"/>
        <v>553.5</v>
      </c>
      <c r="AH271" s="31">
        <f t="shared" ref="AH271" si="422">AG271/AF271*100</f>
        <v>377.04359673024521</v>
      </c>
      <c r="AI271" s="31">
        <f t="shared" si="411"/>
        <v>1749.7</v>
      </c>
      <c r="AJ271" s="31">
        <f>AJ240+AJ250+AJ255+AJ261</f>
        <v>0</v>
      </c>
      <c r="AK271" s="31"/>
      <c r="AL271" s="31">
        <f t="shared" si="412"/>
        <v>1649.7</v>
      </c>
      <c r="AM271" s="31">
        <f>AM240+AM250+AM255</f>
        <v>0</v>
      </c>
      <c r="AN271" s="31">
        <f t="shared" ref="AN271" si="423">AM271/AL271*100</f>
        <v>0</v>
      </c>
      <c r="AO271" s="31">
        <f t="shared" si="413"/>
        <v>3090.2999999999997</v>
      </c>
      <c r="AP271" s="1"/>
      <c r="AQ271" s="31">
        <f t="shared" ref="AQ271" si="424">AP271/AO271*100</f>
        <v>0</v>
      </c>
      <c r="AR271" s="24"/>
      <c r="AS271" s="24"/>
    </row>
    <row r="272" spans="1:45" ht="14.25" customHeight="1" x14ac:dyDescent="0.25">
      <c r="A272" s="111"/>
      <c r="B272" s="112"/>
      <c r="C272" s="113"/>
      <c r="D272" s="30" t="s">
        <v>21</v>
      </c>
      <c r="E272" s="45">
        <f t="shared" si="336"/>
        <v>0</v>
      </c>
      <c r="F272" s="45">
        <f t="shared" si="336"/>
        <v>0</v>
      </c>
      <c r="G272" s="1"/>
      <c r="H272" s="31">
        <f t="shared" si="402"/>
        <v>0</v>
      </c>
      <c r="I272" s="1">
        <f>I241+I251+I256+I262</f>
        <v>0</v>
      </c>
      <c r="J272" s="45"/>
      <c r="K272" s="31">
        <f t="shared" si="403"/>
        <v>0</v>
      </c>
      <c r="L272" s="1">
        <f>L241+L251+L256+L262</f>
        <v>0</v>
      </c>
      <c r="M272" s="31"/>
      <c r="N272" s="31">
        <f t="shared" si="404"/>
        <v>0</v>
      </c>
      <c r="O272" s="1">
        <f>O241+O251+O256+O262</f>
        <v>0</v>
      </c>
      <c r="P272" s="45"/>
      <c r="Q272" s="31">
        <f t="shared" si="405"/>
        <v>0</v>
      </c>
      <c r="R272" s="1">
        <f>R241+R251+R256+R262</f>
        <v>0</v>
      </c>
      <c r="S272" s="45"/>
      <c r="T272" s="31">
        <f t="shared" si="406"/>
        <v>0</v>
      </c>
      <c r="U272" s="1">
        <f>U241+U251+U256+U262</f>
        <v>0</v>
      </c>
      <c r="V272" s="1"/>
      <c r="W272" s="31">
        <f t="shared" si="407"/>
        <v>0</v>
      </c>
      <c r="X272" s="31">
        <f>X241+X251+X256+X262</f>
        <v>0</v>
      </c>
      <c r="Y272" s="1"/>
      <c r="Z272" s="31">
        <f t="shared" si="408"/>
        <v>0</v>
      </c>
      <c r="AA272" s="31">
        <f>AA241+AA251+AA256+AA262</f>
        <v>0</v>
      </c>
      <c r="AB272" s="45"/>
      <c r="AC272" s="31">
        <f t="shared" si="409"/>
        <v>0</v>
      </c>
      <c r="AD272" s="31">
        <f>AD241+AD251+AD256+AD262</f>
        <v>0</v>
      </c>
      <c r="AE272" s="45"/>
      <c r="AF272" s="31">
        <f t="shared" si="410"/>
        <v>0</v>
      </c>
      <c r="AG272" s="31">
        <f t="shared" si="410"/>
        <v>0</v>
      </c>
      <c r="AH272" s="45"/>
      <c r="AI272" s="31">
        <f t="shared" si="411"/>
        <v>0</v>
      </c>
      <c r="AJ272" s="31">
        <f>AJ241+AJ251+AJ256+AJ262</f>
        <v>0</v>
      </c>
      <c r="AK272" s="45"/>
      <c r="AL272" s="31">
        <f t="shared" si="412"/>
        <v>0</v>
      </c>
      <c r="AM272" s="46">
        <f>AM241+AM251+AM256</f>
        <v>0</v>
      </c>
      <c r="AN272" s="45"/>
      <c r="AO272" s="31">
        <f t="shared" si="413"/>
        <v>0</v>
      </c>
      <c r="AP272" s="46"/>
      <c r="AQ272" s="47"/>
      <c r="AR272" s="24"/>
      <c r="AS272" s="24"/>
    </row>
    <row r="273" spans="1:45" ht="12" hidden="1" customHeight="1" x14ac:dyDescent="0.25">
      <c r="A273" s="114"/>
      <c r="B273" s="115"/>
      <c r="C273" s="116"/>
      <c r="D273" s="30" t="s">
        <v>119</v>
      </c>
      <c r="E273" s="45"/>
      <c r="F273" s="45"/>
      <c r="G273" s="1"/>
      <c r="H273" s="46"/>
      <c r="I273" s="46"/>
      <c r="J273" s="45"/>
      <c r="K273" s="46"/>
      <c r="L273" s="46"/>
      <c r="M273" s="31"/>
      <c r="N273" s="46"/>
      <c r="O273" s="46"/>
      <c r="P273" s="45"/>
      <c r="Q273" s="46"/>
      <c r="R273" s="46"/>
      <c r="S273" s="45"/>
      <c r="T273" s="46"/>
      <c r="U273" s="46"/>
      <c r="V273" s="1"/>
      <c r="W273" s="46"/>
      <c r="X273" s="46"/>
      <c r="Y273" s="1"/>
      <c r="Z273" s="45"/>
      <c r="AA273" s="45"/>
      <c r="AB273" s="45"/>
      <c r="AC273" s="46"/>
      <c r="AD273" s="46"/>
      <c r="AE273" s="45"/>
      <c r="AF273" s="46"/>
      <c r="AG273" s="46"/>
      <c r="AH273" s="45"/>
      <c r="AI273" s="46"/>
      <c r="AJ273" s="46"/>
      <c r="AK273" s="45"/>
      <c r="AL273" s="46"/>
      <c r="AM273" s="46"/>
      <c r="AN273" s="45"/>
      <c r="AO273" s="46"/>
      <c r="AP273" s="46"/>
      <c r="AQ273" s="47"/>
      <c r="AR273" s="24"/>
      <c r="AS273" s="24"/>
    </row>
    <row r="274" spans="1:45" ht="18.600000000000001" customHeight="1" x14ac:dyDescent="0.25">
      <c r="A274" s="48" t="s">
        <v>78</v>
      </c>
      <c r="B274" s="22" t="s">
        <v>16</v>
      </c>
      <c r="C274" s="49"/>
      <c r="D274" s="49"/>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49"/>
      <c r="AQ274" s="49"/>
      <c r="AR274" s="24"/>
      <c r="AS274" s="24"/>
    </row>
    <row r="275" spans="1:45" ht="21.6" customHeight="1" x14ac:dyDescent="0.25">
      <c r="A275" s="103" t="s">
        <v>79</v>
      </c>
      <c r="B275" s="101" t="s">
        <v>105</v>
      </c>
      <c r="C275" s="101" t="s">
        <v>155</v>
      </c>
      <c r="D275" s="26" t="s">
        <v>3</v>
      </c>
      <c r="E275" s="1">
        <f t="shared" ref="E275:F294" si="425">H275+K275+N275+Q275+T275+W275+Z275+AC275+AF275+AI275+AL275+AO275</f>
        <v>12047.5</v>
      </c>
      <c r="F275" s="1">
        <f t="shared" si="425"/>
        <v>8585.1002399999998</v>
      </c>
      <c r="G275" s="1">
        <f>F275/E275*100</f>
        <v>71.260429466694333</v>
      </c>
      <c r="H275" s="1">
        <f>H276+H277+H278+H279</f>
        <v>0</v>
      </c>
      <c r="I275" s="1"/>
      <c r="J275" s="27"/>
      <c r="K275" s="1">
        <f t="shared" ref="K275:AO275" si="426">K276+K277+K278+K279</f>
        <v>0</v>
      </c>
      <c r="L275" s="1">
        <f t="shared" si="426"/>
        <v>0</v>
      </c>
      <c r="M275" s="1"/>
      <c r="N275" s="1">
        <f t="shared" si="426"/>
        <v>520.9</v>
      </c>
      <c r="O275" s="1">
        <f t="shared" si="426"/>
        <v>512.5</v>
      </c>
      <c r="P275" s="1">
        <f t="shared" ref="P275" si="427">O275/N275*100</f>
        <v>98.387406411979271</v>
      </c>
      <c r="Q275" s="1">
        <f t="shared" si="426"/>
        <v>2539.5</v>
      </c>
      <c r="R275" s="1">
        <f t="shared" si="426"/>
        <v>1715.10024</v>
      </c>
      <c r="S275" s="1">
        <f>R275/Q275*100</f>
        <v>67.536926166568222</v>
      </c>
      <c r="T275" s="1">
        <f t="shared" si="426"/>
        <v>0</v>
      </c>
      <c r="U275" s="1">
        <f t="shared" si="426"/>
        <v>1.6</v>
      </c>
      <c r="V275" s="1"/>
      <c r="W275" s="1">
        <f t="shared" si="426"/>
        <v>3332.2</v>
      </c>
      <c r="X275" s="1">
        <f t="shared" si="426"/>
        <v>3756.2</v>
      </c>
      <c r="Y275" s="1">
        <f>X275/W275*100</f>
        <v>112.72432627093212</v>
      </c>
      <c r="Z275" s="1">
        <f t="shared" si="426"/>
        <v>2029.4</v>
      </c>
      <c r="AA275" s="1">
        <f t="shared" si="426"/>
        <v>1614</v>
      </c>
      <c r="AB275" s="1">
        <f>AA275/Z275*100</f>
        <v>79.530895831280176</v>
      </c>
      <c r="AC275" s="1">
        <f t="shared" si="426"/>
        <v>951.6</v>
      </c>
      <c r="AD275" s="1">
        <f t="shared" si="426"/>
        <v>985.7</v>
      </c>
      <c r="AE275" s="1">
        <f>AD275/AC275*100</f>
        <v>103.58343841950399</v>
      </c>
      <c r="AF275" s="1">
        <f t="shared" si="426"/>
        <v>122.6</v>
      </c>
      <c r="AG275" s="1">
        <f t="shared" si="426"/>
        <v>0</v>
      </c>
      <c r="AH275" s="1">
        <f>AG275/AF275*100</f>
        <v>0</v>
      </c>
      <c r="AI275" s="1">
        <f t="shared" si="426"/>
        <v>610.59999999999991</v>
      </c>
      <c r="AJ275" s="1">
        <f t="shared" si="426"/>
        <v>0</v>
      </c>
      <c r="AK275" s="1">
        <f>AJ275/AI275*100</f>
        <v>0</v>
      </c>
      <c r="AL275" s="1">
        <f t="shared" si="426"/>
        <v>1940.6999999999998</v>
      </c>
      <c r="AM275" s="1">
        <f t="shared" si="426"/>
        <v>0</v>
      </c>
      <c r="AN275" s="1">
        <f>AM275/AL275*100</f>
        <v>0</v>
      </c>
      <c r="AO275" s="1">
        <f t="shared" si="426"/>
        <v>0</v>
      </c>
      <c r="AP275" s="1"/>
      <c r="AQ275" s="1" t="e">
        <f>AP275/AO275*100</f>
        <v>#DIV/0!</v>
      </c>
      <c r="AR275" s="24"/>
      <c r="AS275" s="24"/>
    </row>
    <row r="276" spans="1:45" ht="21.6" customHeight="1" x14ac:dyDescent="0.25">
      <c r="A276" s="103"/>
      <c r="B276" s="101"/>
      <c r="C276" s="101"/>
      <c r="D276" s="26" t="s">
        <v>20</v>
      </c>
      <c r="E276" s="1">
        <f t="shared" si="425"/>
        <v>0</v>
      </c>
      <c r="F276" s="1">
        <f t="shared" si="425"/>
        <v>0</v>
      </c>
      <c r="G276" s="1"/>
      <c r="H276" s="1"/>
      <c r="I276" s="1"/>
      <c r="J276" s="27"/>
      <c r="K276" s="1"/>
      <c r="L276" s="1"/>
      <c r="M276" s="27"/>
      <c r="N276" s="1"/>
      <c r="O276" s="1"/>
      <c r="P276" s="27"/>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24"/>
      <c r="AS276" s="24"/>
    </row>
    <row r="277" spans="1:45" ht="47.25" customHeight="1" x14ac:dyDescent="0.25">
      <c r="A277" s="103"/>
      <c r="B277" s="101"/>
      <c r="C277" s="101"/>
      <c r="D277" s="26" t="s">
        <v>4</v>
      </c>
      <c r="E277" s="1">
        <f t="shared" si="425"/>
        <v>5758</v>
      </c>
      <c r="F277" s="1">
        <f t="shared" si="425"/>
        <v>4495.4002399999999</v>
      </c>
      <c r="G277" s="1">
        <f t="shared" ref="G277:G278" si="428">F277/E277*100</f>
        <v>78.072251476207015</v>
      </c>
      <c r="H277" s="1"/>
      <c r="I277" s="1"/>
      <c r="J277" s="27"/>
      <c r="K277" s="1"/>
      <c r="L277" s="1"/>
      <c r="M277" s="1"/>
      <c r="N277" s="1"/>
      <c r="O277" s="1"/>
      <c r="P277" s="1"/>
      <c r="Q277" s="1">
        <v>1264.0999999999999</v>
      </c>
      <c r="R277" s="1">
        <v>1264.10024</v>
      </c>
      <c r="S277" s="1">
        <f t="shared" ref="S277:S278" si="429">R277/Q277*100</f>
        <v>100.00001898583974</v>
      </c>
      <c r="T277" s="1"/>
      <c r="U277" s="1"/>
      <c r="V277" s="1"/>
      <c r="W277" s="1">
        <f>3182.1-927.9-55.4-755.3</f>
        <v>1443.4999999999998</v>
      </c>
      <c r="X277" s="1">
        <v>1443.5</v>
      </c>
      <c r="Y277" s="1">
        <f t="shared" ref="Y277:Y278" si="430">X277/W277*100</f>
        <v>100.00000000000003</v>
      </c>
      <c r="Z277" s="1">
        <f>508.5+695.7+652.5+237.3-755.1</f>
        <v>1338.9</v>
      </c>
      <c r="AA277" s="1">
        <v>889.8</v>
      </c>
      <c r="AB277" s="1">
        <f t="shared" ref="AB277:AB278" si="431">AA277/Z277*100</f>
        <v>66.457539771454165</v>
      </c>
      <c r="AC277" s="1">
        <v>449.2</v>
      </c>
      <c r="AD277" s="1">
        <v>898</v>
      </c>
      <c r="AE277" s="1">
        <f t="shared" ref="AE277:AE278" si="432">AD277/AC277*100</f>
        <v>199.91095280498666</v>
      </c>
      <c r="AF277" s="1"/>
      <c r="AG277" s="1"/>
      <c r="AH277" s="1"/>
      <c r="AI277" s="1">
        <v>84.8</v>
      </c>
      <c r="AJ277" s="1"/>
      <c r="AK277" s="1">
        <f t="shared" ref="AK277:AK278" si="433">AJ277/AI277*100</f>
        <v>0</v>
      </c>
      <c r="AL277" s="1">
        <f>1264.1-84.8+275.4-181.9-95.3</f>
        <v>1177.4999999999998</v>
      </c>
      <c r="AM277" s="1"/>
      <c r="AN277" s="1">
        <f t="shared" ref="AN277:AN278" si="434">AM277/AL277*100</f>
        <v>0</v>
      </c>
      <c r="AO277" s="1"/>
      <c r="AP277" s="1"/>
      <c r="AQ277" s="1" t="e">
        <f t="shared" ref="AQ277" si="435">AP277/AO277*100</f>
        <v>#DIV/0!</v>
      </c>
      <c r="AR277" s="28" t="s">
        <v>191</v>
      </c>
      <c r="AS277" s="29"/>
    </row>
    <row r="278" spans="1:45" ht="48" customHeight="1" x14ac:dyDescent="0.25">
      <c r="A278" s="103"/>
      <c r="B278" s="101"/>
      <c r="C278" s="101"/>
      <c r="D278" s="26" t="s">
        <v>43</v>
      </c>
      <c r="E278" s="1">
        <f t="shared" si="425"/>
        <v>6289.5</v>
      </c>
      <c r="F278" s="1">
        <f t="shared" si="425"/>
        <v>4089.7</v>
      </c>
      <c r="G278" s="1">
        <f t="shared" si="428"/>
        <v>65.024246760473801</v>
      </c>
      <c r="H278" s="1"/>
      <c r="I278" s="1"/>
      <c r="J278" s="27"/>
      <c r="K278" s="1"/>
      <c r="L278" s="1"/>
      <c r="M278" s="1"/>
      <c r="N278" s="1">
        <f>10+206-0.1+305</f>
        <v>520.9</v>
      </c>
      <c r="O278" s="1">
        <v>512.5</v>
      </c>
      <c r="P278" s="1">
        <f t="shared" ref="P278" si="436">O278/N278*100</f>
        <v>98.387406411979271</v>
      </c>
      <c r="Q278" s="1">
        <f>223.1+800+557.3-305</f>
        <v>1275.4000000000001</v>
      </c>
      <c r="R278" s="1">
        <v>451</v>
      </c>
      <c r="S278" s="1">
        <f t="shared" si="429"/>
        <v>35.361455229731845</v>
      </c>
      <c r="T278" s="1"/>
      <c r="U278" s="1">
        <v>1.6</v>
      </c>
      <c r="V278" s="1"/>
      <c r="W278" s="1">
        <f>561.6+799+528.1</f>
        <v>1888.6999999999998</v>
      </c>
      <c r="X278" s="1">
        <v>2312.6999999999998</v>
      </c>
      <c r="Y278" s="1">
        <f t="shared" si="430"/>
        <v>122.44930375390481</v>
      </c>
      <c r="Z278" s="1">
        <f>89.8+728+115.2-242.5</f>
        <v>690.5</v>
      </c>
      <c r="AA278" s="1">
        <v>724.2</v>
      </c>
      <c r="AB278" s="1">
        <f t="shared" si="431"/>
        <v>104.88052136133237</v>
      </c>
      <c r="AC278" s="1">
        <f>79.3+307.6+115.5</f>
        <v>502.40000000000003</v>
      </c>
      <c r="AD278" s="1">
        <v>87.7</v>
      </c>
      <c r="AE278" s="1">
        <f t="shared" si="432"/>
        <v>17.456210191082803</v>
      </c>
      <c r="AF278" s="1">
        <v>122.6</v>
      </c>
      <c r="AG278" s="1"/>
      <c r="AH278" s="1">
        <f t="shared" ref="AH278" si="437">AG278/AF278*100</f>
        <v>0</v>
      </c>
      <c r="AI278" s="1">
        <f>284.3+241.5</f>
        <v>525.79999999999995</v>
      </c>
      <c r="AJ278" s="1"/>
      <c r="AK278" s="1">
        <f t="shared" si="433"/>
        <v>0</v>
      </c>
      <c r="AL278" s="1">
        <f>223.1+825.7-285.6</f>
        <v>763.19999999999993</v>
      </c>
      <c r="AM278" s="1"/>
      <c r="AN278" s="1">
        <f t="shared" si="434"/>
        <v>0</v>
      </c>
      <c r="AO278" s="1"/>
      <c r="AP278" s="1"/>
      <c r="AQ278" s="1"/>
      <c r="AR278" s="21" t="s">
        <v>192</v>
      </c>
      <c r="AS278" s="29" t="s">
        <v>201</v>
      </c>
    </row>
    <row r="279" spans="1:45" ht="21.6" customHeight="1" x14ac:dyDescent="0.25">
      <c r="A279" s="103"/>
      <c r="B279" s="101"/>
      <c r="C279" s="101"/>
      <c r="D279" s="26" t="s">
        <v>21</v>
      </c>
      <c r="E279" s="1">
        <f t="shared" si="425"/>
        <v>0</v>
      </c>
      <c r="F279" s="1">
        <f t="shared" si="425"/>
        <v>0</v>
      </c>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40"/>
      <c r="AR279" s="24"/>
      <c r="AS279" s="24"/>
    </row>
    <row r="280" spans="1:45" ht="12.6" customHeight="1" x14ac:dyDescent="0.25">
      <c r="A280" s="103" t="s">
        <v>80</v>
      </c>
      <c r="B280" s="101" t="s">
        <v>106</v>
      </c>
      <c r="C280" s="101" t="s">
        <v>152</v>
      </c>
      <c r="D280" s="26" t="s">
        <v>3</v>
      </c>
      <c r="E280" s="1">
        <f t="shared" si="425"/>
        <v>9147.7999999999993</v>
      </c>
      <c r="F280" s="1">
        <f t="shared" si="425"/>
        <v>7894.4000000000005</v>
      </c>
      <c r="G280" s="1">
        <f>F280/E280*100</f>
        <v>86.298344957257498</v>
      </c>
      <c r="H280" s="1">
        <f>H281+H282+H283+H284</f>
        <v>0</v>
      </c>
      <c r="I280" s="1"/>
      <c r="J280" s="27"/>
      <c r="K280" s="1">
        <f t="shared" ref="K280:AO280" si="438">K281+K282+K283+K284</f>
        <v>0</v>
      </c>
      <c r="L280" s="1"/>
      <c r="M280" s="27"/>
      <c r="N280" s="1">
        <f t="shared" si="438"/>
        <v>0</v>
      </c>
      <c r="O280" s="1"/>
      <c r="P280" s="27"/>
      <c r="Q280" s="1">
        <f t="shared" si="438"/>
        <v>0</v>
      </c>
      <c r="R280" s="1">
        <f t="shared" si="438"/>
        <v>0</v>
      </c>
      <c r="S280" s="1"/>
      <c r="T280" s="1">
        <f t="shared" si="438"/>
        <v>1700</v>
      </c>
      <c r="U280" s="1">
        <f t="shared" si="438"/>
        <v>0</v>
      </c>
      <c r="V280" s="1">
        <f>U280/T280*100</f>
        <v>0</v>
      </c>
      <c r="W280" s="1">
        <f t="shared" si="438"/>
        <v>2000</v>
      </c>
      <c r="X280" s="1">
        <f t="shared" si="438"/>
        <v>20</v>
      </c>
      <c r="Y280" s="1">
        <f>X280/W280*100</f>
        <v>1</v>
      </c>
      <c r="Z280" s="1">
        <f t="shared" si="438"/>
        <v>2900</v>
      </c>
      <c r="AA280" s="1">
        <f t="shared" si="438"/>
        <v>4547.3</v>
      </c>
      <c r="AB280" s="1">
        <f>AA280/Z280*100</f>
        <v>156.80344827586208</v>
      </c>
      <c r="AC280" s="1">
        <f t="shared" si="438"/>
        <v>2547.8000000000002</v>
      </c>
      <c r="AD280" s="1">
        <f t="shared" si="438"/>
        <v>3327.1000000000004</v>
      </c>
      <c r="AE280" s="1">
        <f>AD280/AC280*100</f>
        <v>130.58717324750765</v>
      </c>
      <c r="AF280" s="1">
        <f t="shared" si="438"/>
        <v>0</v>
      </c>
      <c r="AG280" s="1">
        <f t="shared" si="438"/>
        <v>0</v>
      </c>
      <c r="AH280" s="1"/>
      <c r="AI280" s="1">
        <f t="shared" si="438"/>
        <v>0</v>
      </c>
      <c r="AJ280" s="1">
        <f t="shared" si="438"/>
        <v>0</v>
      </c>
      <c r="AK280" s="1"/>
      <c r="AL280" s="1">
        <f t="shared" si="438"/>
        <v>0</v>
      </c>
      <c r="AM280" s="1">
        <f t="shared" si="438"/>
        <v>0</v>
      </c>
      <c r="AN280" s="1" t="e">
        <f>AM280/AL280*100</f>
        <v>#DIV/0!</v>
      </c>
      <c r="AO280" s="1">
        <f t="shared" si="438"/>
        <v>0</v>
      </c>
      <c r="AP280" s="1"/>
      <c r="AQ280" s="27"/>
      <c r="AR280" s="24"/>
      <c r="AS280" s="24"/>
    </row>
    <row r="281" spans="1:45" ht="12.6" customHeight="1" x14ac:dyDescent="0.25">
      <c r="A281" s="103"/>
      <c r="B281" s="101"/>
      <c r="C281" s="101"/>
      <c r="D281" s="26" t="s">
        <v>20</v>
      </c>
      <c r="E281" s="1">
        <f t="shared" si="425"/>
        <v>0</v>
      </c>
      <c r="F281" s="1">
        <f t="shared" si="425"/>
        <v>0</v>
      </c>
      <c r="G281" s="1"/>
      <c r="H281" s="1"/>
      <c r="I281" s="1"/>
      <c r="J281" s="27"/>
      <c r="K281" s="1"/>
      <c r="L281" s="1"/>
      <c r="M281" s="27"/>
      <c r="N281" s="1"/>
      <c r="O281" s="1"/>
      <c r="P281" s="27"/>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27"/>
      <c r="AR281" s="24"/>
      <c r="AS281" s="24"/>
    </row>
    <row r="282" spans="1:45" ht="84" x14ac:dyDescent="0.25">
      <c r="A282" s="103"/>
      <c r="B282" s="101"/>
      <c r="C282" s="101"/>
      <c r="D282" s="26" t="s">
        <v>4</v>
      </c>
      <c r="E282" s="1">
        <f t="shared" si="425"/>
        <v>8847.7999999999993</v>
      </c>
      <c r="F282" s="1">
        <f t="shared" si="425"/>
        <v>7727.1</v>
      </c>
      <c r="G282" s="1">
        <f t="shared" ref="G282:G283" si="439">F282/E282*100</f>
        <v>87.333574447885368</v>
      </c>
      <c r="H282" s="1"/>
      <c r="I282" s="1"/>
      <c r="J282" s="27"/>
      <c r="K282" s="1"/>
      <c r="L282" s="1"/>
      <c r="M282" s="27"/>
      <c r="N282" s="1"/>
      <c r="O282" s="1"/>
      <c r="P282" s="27"/>
      <c r="Q282" s="1"/>
      <c r="R282" s="1"/>
      <c r="S282" s="1"/>
      <c r="T282" s="1">
        <v>1700</v>
      </c>
      <c r="U282" s="1">
        <v>0</v>
      </c>
      <c r="V282" s="1">
        <f t="shared" ref="V282" si="440">U282/T282*100</f>
        <v>0</v>
      </c>
      <c r="W282" s="1">
        <v>1900</v>
      </c>
      <c r="X282" s="1">
        <v>0</v>
      </c>
      <c r="Y282" s="1">
        <f t="shared" ref="Y282:Y283" si="441">X282/W282*100</f>
        <v>0</v>
      </c>
      <c r="Z282" s="1">
        <v>2700</v>
      </c>
      <c r="AA282" s="1">
        <v>4400</v>
      </c>
      <c r="AB282" s="1">
        <f t="shared" ref="AB282:AB283" si="442">AA282/Z282*100</f>
        <v>162.96296296296296</v>
      </c>
      <c r="AC282" s="1">
        <v>2547.8000000000002</v>
      </c>
      <c r="AD282" s="1">
        <v>3327.1000000000004</v>
      </c>
      <c r="AE282" s="1">
        <f t="shared" ref="AE282" si="443">AD282/AC282*100</f>
        <v>130.58717324750765</v>
      </c>
      <c r="AF282" s="1"/>
      <c r="AG282" s="1"/>
      <c r="AH282" s="1"/>
      <c r="AI282" s="1">
        <v>0</v>
      </c>
      <c r="AJ282" s="1"/>
      <c r="AK282" s="1"/>
      <c r="AL282" s="1"/>
      <c r="AM282" s="1"/>
      <c r="AN282" s="1"/>
      <c r="AO282" s="1"/>
      <c r="AP282" s="1"/>
      <c r="AQ282" s="27"/>
      <c r="AR282" s="28" t="s">
        <v>193</v>
      </c>
      <c r="AS282" s="28" t="s">
        <v>235</v>
      </c>
    </row>
    <row r="283" spans="1:45" ht="72" x14ac:dyDescent="0.25">
      <c r="A283" s="103"/>
      <c r="B283" s="101"/>
      <c r="C283" s="101"/>
      <c r="D283" s="26" t="s">
        <v>43</v>
      </c>
      <c r="E283" s="1">
        <f t="shared" si="425"/>
        <v>300</v>
      </c>
      <c r="F283" s="1">
        <f t="shared" si="425"/>
        <v>167.3</v>
      </c>
      <c r="G283" s="1">
        <f t="shared" si="439"/>
        <v>55.766666666666673</v>
      </c>
      <c r="H283" s="1"/>
      <c r="I283" s="1"/>
      <c r="J283" s="27"/>
      <c r="K283" s="1"/>
      <c r="L283" s="1"/>
      <c r="M283" s="27"/>
      <c r="N283" s="1"/>
      <c r="O283" s="1"/>
      <c r="P283" s="27"/>
      <c r="Q283" s="1"/>
      <c r="R283" s="1"/>
      <c r="S283" s="1"/>
      <c r="T283" s="1"/>
      <c r="U283" s="1">
        <v>0</v>
      </c>
      <c r="V283" s="1"/>
      <c r="W283" s="1">
        <v>100</v>
      </c>
      <c r="X283" s="1">
        <v>20</v>
      </c>
      <c r="Y283" s="1">
        <f t="shared" si="441"/>
        <v>20</v>
      </c>
      <c r="Z283" s="1">
        <v>200</v>
      </c>
      <c r="AA283" s="1">
        <f>147.3</f>
        <v>147.30000000000001</v>
      </c>
      <c r="AB283" s="1">
        <f t="shared" si="442"/>
        <v>73.650000000000006</v>
      </c>
      <c r="AC283" s="1"/>
      <c r="AD283" s="1"/>
      <c r="AE283" s="1"/>
      <c r="AF283" s="1"/>
      <c r="AG283" s="1"/>
      <c r="AH283" s="1"/>
      <c r="AI283" s="1"/>
      <c r="AJ283" s="1"/>
      <c r="AK283" s="1"/>
      <c r="AL283" s="1"/>
      <c r="AM283" s="1"/>
      <c r="AN283" s="1" t="e">
        <f t="shared" ref="AN283" si="444">AM283/AL283*100</f>
        <v>#DIV/0!</v>
      </c>
      <c r="AO283" s="1"/>
      <c r="AP283" s="1"/>
      <c r="AQ283" s="27"/>
      <c r="AR283" s="51" t="s">
        <v>194</v>
      </c>
      <c r="AS283" s="29" t="s">
        <v>197</v>
      </c>
    </row>
    <row r="284" spans="1:45" ht="12.6" customHeight="1" x14ac:dyDescent="0.25">
      <c r="A284" s="103"/>
      <c r="B284" s="101"/>
      <c r="C284" s="101"/>
      <c r="D284" s="26" t="s">
        <v>21</v>
      </c>
      <c r="E284" s="1">
        <f t="shared" si="425"/>
        <v>0</v>
      </c>
      <c r="F284" s="1">
        <f t="shared" si="425"/>
        <v>0</v>
      </c>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40"/>
      <c r="AR284" s="24"/>
      <c r="AS284" s="24"/>
    </row>
    <row r="285" spans="1:45" ht="12" customHeight="1" x14ac:dyDescent="0.25">
      <c r="A285" s="103" t="s">
        <v>81</v>
      </c>
      <c r="B285" s="101" t="s">
        <v>107</v>
      </c>
      <c r="C285" s="101" t="s">
        <v>152</v>
      </c>
      <c r="D285" s="26" t="s">
        <v>3</v>
      </c>
      <c r="E285" s="1">
        <f t="shared" si="425"/>
        <v>0</v>
      </c>
      <c r="F285" s="1">
        <f t="shared" si="425"/>
        <v>0</v>
      </c>
      <c r="G285" s="1"/>
      <c r="H285" s="1">
        <f>H286+H287+H288+H289</f>
        <v>0</v>
      </c>
      <c r="I285" s="1"/>
      <c r="J285" s="1"/>
      <c r="K285" s="1">
        <f t="shared" ref="K285:AO285" si="445">K286+K287+K288+K289</f>
        <v>0</v>
      </c>
      <c r="L285" s="1"/>
      <c r="M285" s="1"/>
      <c r="N285" s="1">
        <f t="shared" si="445"/>
        <v>0</v>
      </c>
      <c r="O285" s="1"/>
      <c r="P285" s="1"/>
      <c r="Q285" s="1">
        <f t="shared" si="445"/>
        <v>0</v>
      </c>
      <c r="R285" s="1"/>
      <c r="S285" s="1"/>
      <c r="T285" s="1">
        <f t="shared" si="445"/>
        <v>0</v>
      </c>
      <c r="U285" s="1"/>
      <c r="V285" s="1"/>
      <c r="W285" s="1">
        <f t="shared" si="445"/>
        <v>0</v>
      </c>
      <c r="X285" s="1"/>
      <c r="Y285" s="1"/>
      <c r="Z285" s="1">
        <f t="shared" si="445"/>
        <v>0</v>
      </c>
      <c r="AA285" s="1"/>
      <c r="AB285" s="1"/>
      <c r="AC285" s="1">
        <f t="shared" si="445"/>
        <v>0</v>
      </c>
      <c r="AD285" s="1"/>
      <c r="AE285" s="1"/>
      <c r="AF285" s="1">
        <f t="shared" si="445"/>
        <v>0</v>
      </c>
      <c r="AG285" s="1"/>
      <c r="AH285" s="1"/>
      <c r="AI285" s="1">
        <f t="shared" si="445"/>
        <v>0</v>
      </c>
      <c r="AJ285" s="1"/>
      <c r="AK285" s="1"/>
      <c r="AL285" s="1">
        <f t="shared" si="445"/>
        <v>0</v>
      </c>
      <c r="AM285" s="1"/>
      <c r="AN285" s="1"/>
      <c r="AO285" s="1">
        <f t="shared" si="445"/>
        <v>0</v>
      </c>
      <c r="AP285" s="1"/>
      <c r="AQ285" s="40"/>
      <c r="AR285" s="24"/>
      <c r="AS285" s="24"/>
    </row>
    <row r="286" spans="1:45" x14ac:dyDescent="0.25">
      <c r="A286" s="103"/>
      <c r="B286" s="101"/>
      <c r="C286" s="101"/>
      <c r="D286" s="26" t="s">
        <v>20</v>
      </c>
      <c r="E286" s="1">
        <f t="shared" si="425"/>
        <v>0</v>
      </c>
      <c r="F286" s="1">
        <f t="shared" si="425"/>
        <v>0</v>
      </c>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40"/>
      <c r="AR286" s="24"/>
      <c r="AS286" s="24"/>
    </row>
    <row r="287" spans="1:45" ht="24" x14ac:dyDescent="0.25">
      <c r="A287" s="103"/>
      <c r="B287" s="101"/>
      <c r="C287" s="101"/>
      <c r="D287" s="26" t="s">
        <v>4</v>
      </c>
      <c r="E287" s="1">
        <f t="shared" si="425"/>
        <v>0</v>
      </c>
      <c r="F287" s="1">
        <f t="shared" si="425"/>
        <v>0</v>
      </c>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40"/>
      <c r="AR287" s="24"/>
      <c r="AS287" s="24"/>
    </row>
    <row r="288" spans="1:45" ht="15.75" customHeight="1" x14ac:dyDescent="0.25">
      <c r="A288" s="103"/>
      <c r="B288" s="101"/>
      <c r="C288" s="101"/>
      <c r="D288" s="26" t="s">
        <v>43</v>
      </c>
      <c r="E288" s="1">
        <f t="shared" si="425"/>
        <v>0</v>
      </c>
      <c r="F288" s="1">
        <f t="shared" si="425"/>
        <v>0</v>
      </c>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40"/>
      <c r="AR288" s="24"/>
      <c r="AS288" s="24"/>
    </row>
    <row r="289" spans="1:45" ht="15.75" customHeight="1" x14ac:dyDescent="0.25">
      <c r="A289" s="103"/>
      <c r="B289" s="101"/>
      <c r="C289" s="101"/>
      <c r="D289" s="26" t="s">
        <v>21</v>
      </c>
      <c r="E289" s="1">
        <f t="shared" si="425"/>
        <v>0</v>
      </c>
      <c r="F289" s="1">
        <f t="shared" si="425"/>
        <v>0</v>
      </c>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40"/>
      <c r="AR289" s="24"/>
      <c r="AS289" s="24"/>
    </row>
    <row r="290" spans="1:45" ht="12.75" customHeight="1" x14ac:dyDescent="0.25">
      <c r="A290" s="118" t="s">
        <v>17</v>
      </c>
      <c r="B290" s="118"/>
      <c r="C290" s="118"/>
      <c r="D290" s="30" t="s">
        <v>3</v>
      </c>
      <c r="E290" s="31">
        <f t="shared" si="425"/>
        <v>21195.299999999996</v>
      </c>
      <c r="F290" s="31">
        <f t="shared" si="425"/>
        <v>16479.500239999998</v>
      </c>
      <c r="G290" s="31">
        <f>F290/E290*100</f>
        <v>77.750728888008197</v>
      </c>
      <c r="H290" s="31">
        <f>H291+H292+H293+H294</f>
        <v>0</v>
      </c>
      <c r="I290" s="31">
        <f>I291+I292+I293+I294</f>
        <v>0</v>
      </c>
      <c r="J290" s="32"/>
      <c r="K290" s="31">
        <f t="shared" ref="K290:AO290" si="446">K291+K292+K293+K294</f>
        <v>0</v>
      </c>
      <c r="L290" s="31">
        <f t="shared" si="446"/>
        <v>0</v>
      </c>
      <c r="M290" s="31"/>
      <c r="N290" s="31">
        <f t="shared" si="446"/>
        <v>520.9</v>
      </c>
      <c r="O290" s="31">
        <f t="shared" si="446"/>
        <v>512.5</v>
      </c>
      <c r="P290" s="31">
        <f>O290/N290*100</f>
        <v>98.387406411979271</v>
      </c>
      <c r="Q290" s="31">
        <f t="shared" si="446"/>
        <v>2539.5</v>
      </c>
      <c r="R290" s="31">
        <f t="shared" si="446"/>
        <v>1715.10024</v>
      </c>
      <c r="S290" s="31">
        <f>R290/Q290*100</f>
        <v>67.536926166568222</v>
      </c>
      <c r="T290" s="31">
        <f t="shared" si="446"/>
        <v>1700</v>
      </c>
      <c r="U290" s="31">
        <f t="shared" si="446"/>
        <v>1.6</v>
      </c>
      <c r="V290" s="31">
        <f>U290/T290*100</f>
        <v>9.4117647058823528E-2</v>
      </c>
      <c r="W290" s="31">
        <f t="shared" si="446"/>
        <v>5332.2</v>
      </c>
      <c r="X290" s="31">
        <f t="shared" si="446"/>
        <v>3776.2</v>
      </c>
      <c r="Y290" s="31">
        <f>X290/W290*100</f>
        <v>70.818798994786391</v>
      </c>
      <c r="Z290" s="31">
        <f t="shared" si="446"/>
        <v>4929.3999999999996</v>
      </c>
      <c r="AA290" s="31">
        <f t="shared" si="446"/>
        <v>6161.3</v>
      </c>
      <c r="AB290" s="31">
        <f>AA290/Z290*100</f>
        <v>124.99087109993103</v>
      </c>
      <c r="AC290" s="31">
        <f t="shared" si="446"/>
        <v>3499.4</v>
      </c>
      <c r="AD290" s="31">
        <f t="shared" si="446"/>
        <v>4312.8</v>
      </c>
      <c r="AE290" s="31">
        <f>AD290/AC290*100</f>
        <v>123.24398468308853</v>
      </c>
      <c r="AF290" s="31">
        <f t="shared" si="446"/>
        <v>122.6</v>
      </c>
      <c r="AG290" s="31">
        <f t="shared" si="446"/>
        <v>0</v>
      </c>
      <c r="AH290" s="31">
        <f>AG290/AF290*100</f>
        <v>0</v>
      </c>
      <c r="AI290" s="31">
        <f t="shared" si="446"/>
        <v>610.59999999999991</v>
      </c>
      <c r="AJ290" s="31">
        <f t="shared" si="446"/>
        <v>0</v>
      </c>
      <c r="AK290" s="31">
        <f>AJ290/AI290*100</f>
        <v>0</v>
      </c>
      <c r="AL290" s="31">
        <f t="shared" si="446"/>
        <v>1940.6999999999998</v>
      </c>
      <c r="AM290" s="31">
        <f t="shared" si="446"/>
        <v>0</v>
      </c>
      <c r="AN290" s="31">
        <f>AM290/AL290*100</f>
        <v>0</v>
      </c>
      <c r="AO290" s="31">
        <f t="shared" si="446"/>
        <v>0</v>
      </c>
      <c r="AP290" s="52"/>
      <c r="AQ290" s="31" t="e">
        <f>AP290/AO290*100</f>
        <v>#DIV/0!</v>
      </c>
      <c r="AR290" s="24"/>
      <c r="AS290" s="24"/>
    </row>
    <row r="291" spans="1:45" ht="13.5" customHeight="1" x14ac:dyDescent="0.25">
      <c r="A291" s="118"/>
      <c r="B291" s="118"/>
      <c r="C291" s="118"/>
      <c r="D291" s="30" t="s">
        <v>20</v>
      </c>
      <c r="E291" s="31">
        <f t="shared" si="425"/>
        <v>0</v>
      </c>
      <c r="F291" s="31">
        <f t="shared" si="425"/>
        <v>0</v>
      </c>
      <c r="G291" s="31"/>
      <c r="H291" s="31">
        <f t="shared" ref="H291:I294" si="447">H276+H281+H286</f>
        <v>0</v>
      </c>
      <c r="I291" s="31">
        <f t="shared" si="447"/>
        <v>0</v>
      </c>
      <c r="J291" s="32"/>
      <c r="K291" s="31">
        <f t="shared" ref="K291:AO294" si="448">K276+K281+K286</f>
        <v>0</v>
      </c>
      <c r="L291" s="31">
        <f t="shared" si="448"/>
        <v>0</v>
      </c>
      <c r="M291" s="31"/>
      <c r="N291" s="31">
        <f t="shared" si="448"/>
        <v>0</v>
      </c>
      <c r="O291" s="31">
        <f t="shared" si="448"/>
        <v>0</v>
      </c>
      <c r="P291" s="31"/>
      <c r="Q291" s="31">
        <f t="shared" si="448"/>
        <v>0</v>
      </c>
      <c r="R291" s="31">
        <f t="shared" si="448"/>
        <v>0</v>
      </c>
      <c r="S291" s="31"/>
      <c r="T291" s="31">
        <f t="shared" si="448"/>
        <v>0</v>
      </c>
      <c r="U291" s="31">
        <f t="shared" si="448"/>
        <v>0</v>
      </c>
      <c r="V291" s="31"/>
      <c r="W291" s="31">
        <f t="shared" si="448"/>
        <v>0</v>
      </c>
      <c r="X291" s="31">
        <f t="shared" si="448"/>
        <v>0</v>
      </c>
      <c r="Y291" s="31"/>
      <c r="Z291" s="31">
        <f t="shared" si="448"/>
        <v>0</v>
      </c>
      <c r="AA291" s="31">
        <f t="shared" si="448"/>
        <v>0</v>
      </c>
      <c r="AB291" s="31"/>
      <c r="AC291" s="31">
        <f t="shared" si="448"/>
        <v>0</v>
      </c>
      <c r="AD291" s="31">
        <f t="shared" si="448"/>
        <v>0</v>
      </c>
      <c r="AE291" s="31"/>
      <c r="AF291" s="31">
        <f t="shared" si="448"/>
        <v>0</v>
      </c>
      <c r="AG291" s="31">
        <f t="shared" si="448"/>
        <v>0</v>
      </c>
      <c r="AH291" s="31"/>
      <c r="AI291" s="31">
        <f t="shared" si="448"/>
        <v>0</v>
      </c>
      <c r="AJ291" s="31">
        <f t="shared" si="448"/>
        <v>0</v>
      </c>
      <c r="AK291" s="31"/>
      <c r="AL291" s="31">
        <f t="shared" si="448"/>
        <v>0</v>
      </c>
      <c r="AM291" s="31">
        <f t="shared" si="448"/>
        <v>0</v>
      </c>
      <c r="AN291" s="31"/>
      <c r="AO291" s="31">
        <f t="shared" si="448"/>
        <v>0</v>
      </c>
      <c r="AP291" s="53"/>
      <c r="AQ291" s="31"/>
      <c r="AR291" s="24"/>
      <c r="AS291" s="24"/>
    </row>
    <row r="292" spans="1:45" ht="25.5" customHeight="1" x14ac:dyDescent="0.25">
      <c r="A292" s="118"/>
      <c r="B292" s="118"/>
      <c r="C292" s="118"/>
      <c r="D292" s="30" t="s">
        <v>4</v>
      </c>
      <c r="E292" s="31">
        <f t="shared" si="425"/>
        <v>14605.8</v>
      </c>
      <c r="F292" s="31">
        <f t="shared" si="425"/>
        <v>12222.500240000001</v>
      </c>
      <c r="G292" s="31">
        <f t="shared" ref="G292:G293" si="449">F292/E292*100</f>
        <v>83.682511331115052</v>
      </c>
      <c r="H292" s="31">
        <f t="shared" si="447"/>
        <v>0</v>
      </c>
      <c r="I292" s="31">
        <f t="shared" si="447"/>
        <v>0</v>
      </c>
      <c r="J292" s="32"/>
      <c r="K292" s="31">
        <f t="shared" si="448"/>
        <v>0</v>
      </c>
      <c r="L292" s="31">
        <f t="shared" si="448"/>
        <v>0</v>
      </c>
      <c r="M292" s="31"/>
      <c r="N292" s="31">
        <f t="shared" si="448"/>
        <v>0</v>
      </c>
      <c r="O292" s="31">
        <f t="shared" si="448"/>
        <v>0</v>
      </c>
      <c r="P292" s="31"/>
      <c r="Q292" s="31">
        <f t="shared" si="448"/>
        <v>1264.0999999999999</v>
      </c>
      <c r="R292" s="31">
        <f t="shared" si="448"/>
        <v>1264.10024</v>
      </c>
      <c r="S292" s="31">
        <f t="shared" ref="S292:S293" si="450">R292/Q292*100</f>
        <v>100.00001898583974</v>
      </c>
      <c r="T292" s="31">
        <f t="shared" si="448"/>
        <v>1700</v>
      </c>
      <c r="U292" s="31">
        <f t="shared" si="448"/>
        <v>0</v>
      </c>
      <c r="V292" s="31">
        <f t="shared" ref="V292" si="451">U292/T292*100</f>
        <v>0</v>
      </c>
      <c r="W292" s="31">
        <f t="shared" si="448"/>
        <v>3343.5</v>
      </c>
      <c r="X292" s="31">
        <f t="shared" si="448"/>
        <v>1443.5</v>
      </c>
      <c r="Y292" s="31">
        <f t="shared" ref="Y292:Y293" si="452">X292/W292*100</f>
        <v>43.173321369822041</v>
      </c>
      <c r="Z292" s="31">
        <f t="shared" si="448"/>
        <v>4038.9</v>
      </c>
      <c r="AA292" s="31">
        <f t="shared" si="448"/>
        <v>5289.8</v>
      </c>
      <c r="AB292" s="31">
        <f t="shared" ref="AB292:AB293" si="453">AA292/Z292*100</f>
        <v>130.97130406793929</v>
      </c>
      <c r="AC292" s="31">
        <f t="shared" si="448"/>
        <v>2997</v>
      </c>
      <c r="AD292" s="31">
        <f t="shared" si="448"/>
        <v>4225.1000000000004</v>
      </c>
      <c r="AE292" s="31">
        <f t="shared" ref="AE292:AE293" si="454">AD292/AC292*100</f>
        <v>140.97764431097767</v>
      </c>
      <c r="AF292" s="31">
        <f t="shared" si="448"/>
        <v>0</v>
      </c>
      <c r="AG292" s="31">
        <f t="shared" si="448"/>
        <v>0</v>
      </c>
      <c r="AH292" s="31"/>
      <c r="AI292" s="31">
        <f t="shared" si="448"/>
        <v>84.8</v>
      </c>
      <c r="AJ292" s="31">
        <f t="shared" si="448"/>
        <v>0</v>
      </c>
      <c r="AK292" s="31">
        <f t="shared" ref="AK292:AK293" si="455">AJ292/AI292*100</f>
        <v>0</v>
      </c>
      <c r="AL292" s="31">
        <f t="shared" si="448"/>
        <v>1177.4999999999998</v>
      </c>
      <c r="AM292" s="31">
        <f t="shared" si="448"/>
        <v>0</v>
      </c>
      <c r="AN292" s="31">
        <f t="shared" ref="AN292:AN293" si="456">AM292/AL292*100</f>
        <v>0</v>
      </c>
      <c r="AO292" s="31">
        <f t="shared" si="448"/>
        <v>0</v>
      </c>
      <c r="AP292" s="53"/>
      <c r="AQ292" s="31" t="e">
        <f t="shared" ref="AQ292" si="457">AP292/AO292*100</f>
        <v>#DIV/0!</v>
      </c>
      <c r="AR292" s="24"/>
      <c r="AS292" s="24"/>
    </row>
    <row r="293" spans="1:45" ht="14.25" customHeight="1" x14ac:dyDescent="0.25">
      <c r="A293" s="118"/>
      <c r="B293" s="118"/>
      <c r="C293" s="118"/>
      <c r="D293" s="30" t="s">
        <v>43</v>
      </c>
      <c r="E293" s="31">
        <f t="shared" si="425"/>
        <v>6589.5</v>
      </c>
      <c r="F293" s="31">
        <f t="shared" si="425"/>
        <v>4256.9999999999991</v>
      </c>
      <c r="G293" s="31">
        <f t="shared" si="449"/>
        <v>64.602777145458674</v>
      </c>
      <c r="H293" s="31">
        <f t="shared" si="447"/>
        <v>0</v>
      </c>
      <c r="I293" s="31">
        <f t="shared" si="447"/>
        <v>0</v>
      </c>
      <c r="J293" s="32"/>
      <c r="K293" s="31">
        <f t="shared" si="448"/>
        <v>0</v>
      </c>
      <c r="L293" s="31">
        <f t="shared" si="448"/>
        <v>0</v>
      </c>
      <c r="M293" s="31"/>
      <c r="N293" s="31">
        <f t="shared" si="448"/>
        <v>520.9</v>
      </c>
      <c r="O293" s="31">
        <f t="shared" si="448"/>
        <v>512.5</v>
      </c>
      <c r="P293" s="31">
        <f t="shared" ref="P293" si="458">O293/N293*100</f>
        <v>98.387406411979271</v>
      </c>
      <c r="Q293" s="31">
        <f t="shared" si="448"/>
        <v>1275.4000000000001</v>
      </c>
      <c r="R293" s="31">
        <f t="shared" si="448"/>
        <v>451</v>
      </c>
      <c r="S293" s="31">
        <f t="shared" si="450"/>
        <v>35.361455229731845</v>
      </c>
      <c r="T293" s="31">
        <f t="shared" si="448"/>
        <v>0</v>
      </c>
      <c r="U293" s="31">
        <f t="shared" si="448"/>
        <v>1.6</v>
      </c>
      <c r="V293" s="31"/>
      <c r="W293" s="31">
        <f t="shared" si="448"/>
        <v>1988.6999999999998</v>
      </c>
      <c r="X293" s="31">
        <f t="shared" si="448"/>
        <v>2332.6999999999998</v>
      </c>
      <c r="Y293" s="31">
        <f t="shared" si="452"/>
        <v>117.29773218685573</v>
      </c>
      <c r="Z293" s="31">
        <f t="shared" si="448"/>
        <v>890.5</v>
      </c>
      <c r="AA293" s="31">
        <f t="shared" si="448"/>
        <v>871.5</v>
      </c>
      <c r="AB293" s="31">
        <f t="shared" si="453"/>
        <v>97.866367209432909</v>
      </c>
      <c r="AC293" s="31">
        <f t="shared" si="448"/>
        <v>502.40000000000003</v>
      </c>
      <c r="AD293" s="31">
        <f t="shared" si="448"/>
        <v>87.7</v>
      </c>
      <c r="AE293" s="31">
        <f t="shared" si="454"/>
        <v>17.456210191082803</v>
      </c>
      <c r="AF293" s="31">
        <f t="shared" si="448"/>
        <v>122.6</v>
      </c>
      <c r="AG293" s="31">
        <f t="shared" si="448"/>
        <v>0</v>
      </c>
      <c r="AH293" s="31">
        <f t="shared" ref="AH293" si="459">AG293/AF293*100</f>
        <v>0</v>
      </c>
      <c r="AI293" s="31">
        <f t="shared" si="448"/>
        <v>525.79999999999995</v>
      </c>
      <c r="AJ293" s="31">
        <f t="shared" si="448"/>
        <v>0</v>
      </c>
      <c r="AK293" s="31">
        <f t="shared" si="455"/>
        <v>0</v>
      </c>
      <c r="AL293" s="31">
        <f t="shared" si="448"/>
        <v>763.19999999999993</v>
      </c>
      <c r="AM293" s="31">
        <f t="shared" si="448"/>
        <v>0</v>
      </c>
      <c r="AN293" s="31">
        <f t="shared" si="456"/>
        <v>0</v>
      </c>
      <c r="AO293" s="31">
        <f t="shared" si="448"/>
        <v>0</v>
      </c>
      <c r="AP293" s="53"/>
      <c r="AQ293" s="31"/>
      <c r="AR293" s="24"/>
      <c r="AS293" s="24"/>
    </row>
    <row r="294" spans="1:45" ht="15" customHeight="1" x14ac:dyDescent="0.25">
      <c r="A294" s="118"/>
      <c r="B294" s="118"/>
      <c r="C294" s="118"/>
      <c r="D294" s="30" t="s">
        <v>21</v>
      </c>
      <c r="E294" s="31">
        <f t="shared" si="425"/>
        <v>0</v>
      </c>
      <c r="F294" s="31">
        <f t="shared" si="425"/>
        <v>0</v>
      </c>
      <c r="G294" s="31"/>
      <c r="H294" s="31">
        <f t="shared" si="447"/>
        <v>0</v>
      </c>
      <c r="I294" s="31">
        <f t="shared" si="447"/>
        <v>0</v>
      </c>
      <c r="J294" s="31"/>
      <c r="K294" s="31">
        <f t="shared" si="448"/>
        <v>0</v>
      </c>
      <c r="L294" s="31">
        <f t="shared" si="448"/>
        <v>0</v>
      </c>
      <c r="M294" s="31"/>
      <c r="N294" s="31">
        <f t="shared" si="448"/>
        <v>0</v>
      </c>
      <c r="O294" s="31">
        <f t="shared" si="448"/>
        <v>0</v>
      </c>
      <c r="P294" s="31"/>
      <c r="Q294" s="31">
        <f t="shared" si="448"/>
        <v>0</v>
      </c>
      <c r="R294" s="31">
        <f t="shared" si="448"/>
        <v>0</v>
      </c>
      <c r="S294" s="31"/>
      <c r="T294" s="31">
        <f t="shared" si="448"/>
        <v>0</v>
      </c>
      <c r="U294" s="31">
        <f t="shared" si="448"/>
        <v>0</v>
      </c>
      <c r="V294" s="31"/>
      <c r="W294" s="31">
        <f t="shared" si="448"/>
        <v>0</v>
      </c>
      <c r="X294" s="31">
        <f t="shared" si="448"/>
        <v>0</v>
      </c>
      <c r="Y294" s="31"/>
      <c r="Z294" s="31">
        <f t="shared" si="448"/>
        <v>0</v>
      </c>
      <c r="AA294" s="31">
        <f t="shared" si="448"/>
        <v>0</v>
      </c>
      <c r="AB294" s="31"/>
      <c r="AC294" s="31">
        <f t="shared" si="448"/>
        <v>0</v>
      </c>
      <c r="AD294" s="31">
        <f t="shared" si="448"/>
        <v>0</v>
      </c>
      <c r="AE294" s="31"/>
      <c r="AF294" s="31">
        <f t="shared" si="448"/>
        <v>0</v>
      </c>
      <c r="AG294" s="31">
        <f t="shared" si="448"/>
        <v>0</v>
      </c>
      <c r="AH294" s="31"/>
      <c r="AI294" s="31">
        <f t="shared" si="448"/>
        <v>0</v>
      </c>
      <c r="AJ294" s="31">
        <f t="shared" si="448"/>
        <v>0</v>
      </c>
      <c r="AK294" s="31"/>
      <c r="AL294" s="31">
        <f t="shared" si="448"/>
        <v>0</v>
      </c>
      <c r="AM294" s="31">
        <f t="shared" si="448"/>
        <v>0</v>
      </c>
      <c r="AN294" s="31"/>
      <c r="AO294" s="31">
        <f t="shared" si="448"/>
        <v>0</v>
      </c>
      <c r="AP294" s="53"/>
      <c r="AQ294" s="31"/>
      <c r="AR294" s="24"/>
      <c r="AS294" s="24"/>
    </row>
    <row r="295" spans="1:45" ht="13.15" customHeight="1" x14ac:dyDescent="0.25">
      <c r="A295" s="108" t="s">
        <v>18</v>
      </c>
      <c r="B295" s="109"/>
      <c r="C295" s="110"/>
      <c r="D295" s="30" t="s">
        <v>3</v>
      </c>
      <c r="E295" s="31">
        <f t="shared" ref="E295:F312" si="460">H295+K295+N295+Q295+T295+W295+Z295+AC295+AF295+AI295+AL295+AO295</f>
        <v>2767957.1</v>
      </c>
      <c r="F295" s="31">
        <f t="shared" si="460"/>
        <v>1295625.3037399999</v>
      </c>
      <c r="G295" s="31">
        <f>F295/E295*100</f>
        <v>46.807997990286765</v>
      </c>
      <c r="H295" s="31">
        <f>H296+H297+H298+H299</f>
        <v>41290.1</v>
      </c>
      <c r="I295" s="31">
        <f>I296+I297+I298+I299</f>
        <v>40146.600000000006</v>
      </c>
      <c r="J295" s="31">
        <f>I295/H295*100</f>
        <v>97.23057100854686</v>
      </c>
      <c r="K295" s="31">
        <f>K296+K297+K298+K299</f>
        <v>153646.20000000001</v>
      </c>
      <c r="L295" s="31">
        <f>L296+L297+L298+L299</f>
        <v>152997.20000000001</v>
      </c>
      <c r="M295" s="31">
        <f>L295/K295*100</f>
        <v>99.577601008030143</v>
      </c>
      <c r="N295" s="31">
        <f>N296+N297+N298+N299</f>
        <v>138432.59999999998</v>
      </c>
      <c r="O295" s="31">
        <f>O296+O297+O298+O299</f>
        <v>136459.20000000001</v>
      </c>
      <c r="P295" s="31">
        <f>O295/N295*100</f>
        <v>98.574468730631395</v>
      </c>
      <c r="Q295" s="31">
        <f t="shared" ref="Q295:AH296" si="461">Q296+Q297+Q298+Q299</f>
        <v>166264.40000000002</v>
      </c>
      <c r="R295" s="31">
        <f t="shared" si="461"/>
        <v>156164.60024</v>
      </c>
      <c r="S295" s="31">
        <f>R295/Q295*100</f>
        <v>93.925458630951653</v>
      </c>
      <c r="T295" s="31">
        <f t="shared" si="461"/>
        <v>213817.49999999997</v>
      </c>
      <c r="U295" s="31">
        <f t="shared" si="461"/>
        <v>211364.59999999998</v>
      </c>
      <c r="V295" s="31">
        <f>U295/T295*100</f>
        <v>98.852806716007819</v>
      </c>
      <c r="W295" s="31">
        <f t="shared" si="461"/>
        <v>256392.40000000002</v>
      </c>
      <c r="X295" s="31">
        <f t="shared" si="461"/>
        <v>249832.40350000004</v>
      </c>
      <c r="Y295" s="31">
        <f>X295/W295*100</f>
        <v>97.441423185710661</v>
      </c>
      <c r="Z295" s="31">
        <f t="shared" si="461"/>
        <v>215412.90000000002</v>
      </c>
      <c r="AA295" s="31">
        <f t="shared" si="461"/>
        <v>200165.6</v>
      </c>
      <c r="AB295" s="31">
        <f>AA295/Z295*100</f>
        <v>92.921825944500071</v>
      </c>
      <c r="AC295" s="31">
        <f t="shared" si="461"/>
        <v>78327.600000000006</v>
      </c>
      <c r="AD295" s="31">
        <f t="shared" si="461"/>
        <v>80468.400000000009</v>
      </c>
      <c r="AE295" s="31">
        <f>AD295/AC295*100</f>
        <v>102.73313621252281</v>
      </c>
      <c r="AF295" s="31">
        <f t="shared" si="461"/>
        <v>652024.5</v>
      </c>
      <c r="AG295" s="31">
        <f t="shared" si="461"/>
        <v>68026.700000000012</v>
      </c>
      <c r="AH295" s="31">
        <f t="shared" si="461"/>
        <v>1280.6765202270544</v>
      </c>
      <c r="AI295" s="31">
        <f>AI296+AI297+AI298+AI299</f>
        <v>250915.90000000002</v>
      </c>
      <c r="AJ295" s="31">
        <f t="shared" ref="AJ295:AO295" si="462">AJ296+AJ297+AJ298+AJ299</f>
        <v>0</v>
      </c>
      <c r="AK295" s="31">
        <f>AJ295/AI295*100</f>
        <v>0</v>
      </c>
      <c r="AL295" s="31">
        <f t="shared" si="462"/>
        <v>225077.9</v>
      </c>
      <c r="AM295" s="31">
        <f t="shared" si="462"/>
        <v>0</v>
      </c>
      <c r="AN295" s="31">
        <f>AM295/AL295*100</f>
        <v>0</v>
      </c>
      <c r="AO295" s="31">
        <f t="shared" si="462"/>
        <v>376355.10000000009</v>
      </c>
      <c r="AP295" s="53"/>
      <c r="AQ295" s="31">
        <f>AP295/AO295*100</f>
        <v>0</v>
      </c>
      <c r="AR295" s="24"/>
      <c r="AS295" s="24"/>
    </row>
    <row r="296" spans="1:45" x14ac:dyDescent="0.25">
      <c r="A296" s="111"/>
      <c r="B296" s="112"/>
      <c r="C296" s="113"/>
      <c r="D296" s="30" t="s">
        <v>20</v>
      </c>
      <c r="E296" s="31">
        <f t="shared" si="460"/>
        <v>63962.099999999991</v>
      </c>
      <c r="F296" s="31">
        <f t="shared" si="460"/>
        <v>45037.200000000004</v>
      </c>
      <c r="G296" s="31">
        <f>F296/E296*100</f>
        <v>70.412322297110336</v>
      </c>
      <c r="H296" s="31">
        <f t="shared" ref="H296:I298" si="463">H35+H83+H160+H196+H232+H269+H291</f>
        <v>2851.5</v>
      </c>
      <c r="I296" s="31">
        <f t="shared" si="463"/>
        <v>2724.6</v>
      </c>
      <c r="J296" s="31">
        <f>I296/H296*100</f>
        <v>95.549710678590216</v>
      </c>
      <c r="K296" s="31">
        <f t="shared" ref="K296:L299" si="464">K35+K83+K160+K196+K232+K269+K291</f>
        <v>4118.7999999999993</v>
      </c>
      <c r="L296" s="31">
        <f t="shared" si="464"/>
        <v>3909.8</v>
      </c>
      <c r="M296" s="31">
        <f>L296/K296*100</f>
        <v>94.925706516461133</v>
      </c>
      <c r="N296" s="31">
        <f t="shared" ref="N296:O299" si="465">N35+N83+N160+N196+N232+N269+N291</f>
        <v>3793.7999999999997</v>
      </c>
      <c r="O296" s="31">
        <f t="shared" si="465"/>
        <v>3713</v>
      </c>
      <c r="P296" s="31">
        <f>O296/N296*100</f>
        <v>97.870209288839689</v>
      </c>
      <c r="Q296" s="31">
        <f t="shared" ref="Q296:R299" si="466">Q35+Q83+Q160+Q196+Q232+Q269+Q291</f>
        <v>4744.5</v>
      </c>
      <c r="R296" s="31">
        <f t="shared" si="466"/>
        <v>4133.8999999999996</v>
      </c>
      <c r="S296" s="31">
        <f>R296/Q296*100</f>
        <v>87.130361471177139</v>
      </c>
      <c r="T296" s="31">
        <f t="shared" ref="T296:U299" si="467">T35+T83+T160+T196+T232+T269+T291</f>
        <v>6954.7</v>
      </c>
      <c r="U296" s="31">
        <f t="shared" si="467"/>
        <v>5867.5</v>
      </c>
      <c r="V296" s="31">
        <f>U296/T296*100</f>
        <v>84.367406214502424</v>
      </c>
      <c r="W296" s="31">
        <f t="shared" ref="W296:X299" si="468">W35+W83+W160+W196+W232+W269+W291</f>
        <v>7137.3</v>
      </c>
      <c r="X296" s="31">
        <f t="shared" si="468"/>
        <v>7955.7</v>
      </c>
      <c r="Y296" s="31">
        <f>X296/W296*100</f>
        <v>111.46652095330167</v>
      </c>
      <c r="Z296" s="31">
        <f t="shared" ref="Z296:AA299" si="469">Z35+Z83+Z160+Z196+Z232+Z269+Z291</f>
        <v>13388.4</v>
      </c>
      <c r="AA296" s="31">
        <f t="shared" si="469"/>
        <v>13295.5</v>
      </c>
      <c r="AB296" s="31">
        <f>AA296/Z296*100</f>
        <v>99.306115741985607</v>
      </c>
      <c r="AC296" s="31">
        <f t="shared" ref="AC296:AD299" si="470">AC35+AC83+AC160+AC196+AC232+AC269+AC291</f>
        <v>894.4</v>
      </c>
      <c r="AD296" s="31">
        <f t="shared" si="470"/>
        <v>676.80000000000007</v>
      </c>
      <c r="AE296" s="31">
        <f>AD296/AC296*100</f>
        <v>75.670840787119857</v>
      </c>
      <c r="AF296" s="31">
        <f t="shared" ref="AF296:AG299" si="471">AF35+AF83+AF160+AF196+AF232+AF269+AF291</f>
        <v>2942.7</v>
      </c>
      <c r="AG296" s="31">
        <f t="shared" si="471"/>
        <v>2760.4</v>
      </c>
      <c r="AH296" s="31">
        <f t="shared" si="461"/>
        <v>640.33826011352721</v>
      </c>
      <c r="AI296" s="31">
        <f t="shared" ref="AI296:AJ299" si="472">AI35+AI83+AI160+AI196+AI232+AI269+AI291</f>
        <v>4910.2</v>
      </c>
      <c r="AJ296" s="31">
        <f t="shared" si="472"/>
        <v>0</v>
      </c>
      <c r="AK296" s="31">
        <f>AJ296/AI296*100</f>
        <v>0</v>
      </c>
      <c r="AL296" s="31">
        <f t="shared" ref="AL296:AM299" si="473">AL35+AL83+AL160+AL196+AL232+AL269+AL291</f>
        <v>4822.2</v>
      </c>
      <c r="AM296" s="31">
        <f t="shared" si="473"/>
        <v>0</v>
      </c>
      <c r="AN296" s="31">
        <f>AM296/AL296*100</f>
        <v>0</v>
      </c>
      <c r="AO296" s="31">
        <f>AO35+AO83+AO160+AO196+AO232+AO269+AO291</f>
        <v>7403.6</v>
      </c>
      <c r="AP296" s="53"/>
      <c r="AQ296" s="31">
        <f>AP296/AO296*100</f>
        <v>0</v>
      </c>
      <c r="AR296" s="24"/>
      <c r="AS296" s="24"/>
    </row>
    <row r="297" spans="1:45" ht="24.75" customHeight="1" x14ac:dyDescent="0.25">
      <c r="A297" s="111"/>
      <c r="B297" s="112"/>
      <c r="C297" s="113"/>
      <c r="D297" s="30" t="s">
        <v>4</v>
      </c>
      <c r="E297" s="31">
        <f t="shared" si="460"/>
        <v>2265777.1</v>
      </c>
      <c r="F297" s="31">
        <f t="shared" si="460"/>
        <v>1026490.5037400002</v>
      </c>
      <c r="G297" s="31">
        <f>F297/E297*100</f>
        <v>45.304125623831233</v>
      </c>
      <c r="H297" s="31">
        <f t="shared" si="463"/>
        <v>31561</v>
      </c>
      <c r="I297" s="31">
        <f t="shared" si="463"/>
        <v>31539.200000000001</v>
      </c>
      <c r="J297" s="31">
        <f>I297/H297*100</f>
        <v>99.930927410411584</v>
      </c>
      <c r="K297" s="31">
        <f t="shared" si="464"/>
        <v>115957.3</v>
      </c>
      <c r="L297" s="31">
        <f t="shared" si="464"/>
        <v>115775</v>
      </c>
      <c r="M297" s="31">
        <f>L297/K297*100</f>
        <v>99.842786956922936</v>
      </c>
      <c r="N297" s="31">
        <f t="shared" si="465"/>
        <v>109730.29999999999</v>
      </c>
      <c r="O297" s="31">
        <f t="shared" si="465"/>
        <v>108928.2</v>
      </c>
      <c r="P297" s="31">
        <f>O297/N297*100</f>
        <v>99.269025966392149</v>
      </c>
      <c r="Q297" s="31">
        <f t="shared" si="466"/>
        <v>124850.60000000002</v>
      </c>
      <c r="R297" s="31">
        <f t="shared" si="466"/>
        <v>120459.20024000002</v>
      </c>
      <c r="S297" s="31">
        <f>R297/Q297*100</f>
        <v>96.482676286697867</v>
      </c>
      <c r="T297" s="31">
        <f t="shared" si="467"/>
        <v>179474.39999999997</v>
      </c>
      <c r="U297" s="31">
        <f t="shared" si="467"/>
        <v>178452.8</v>
      </c>
      <c r="V297" s="31">
        <f>U297/T297*100</f>
        <v>99.430782328844685</v>
      </c>
      <c r="W297" s="31">
        <f t="shared" si="468"/>
        <v>216270.10000000003</v>
      </c>
      <c r="X297" s="31">
        <f t="shared" si="468"/>
        <v>214047.00350000002</v>
      </c>
      <c r="Y297" s="31">
        <f>X297/W297*100</f>
        <v>98.972074040748112</v>
      </c>
      <c r="Z297" s="31">
        <f t="shared" si="469"/>
        <v>167826.2</v>
      </c>
      <c r="AA297" s="31">
        <f t="shared" si="469"/>
        <v>150264</v>
      </c>
      <c r="AB297" s="31">
        <f>AA297/Z297*100</f>
        <v>89.535483732575713</v>
      </c>
      <c r="AC297" s="31">
        <f t="shared" si="470"/>
        <v>56657.2</v>
      </c>
      <c r="AD297" s="31">
        <f t="shared" si="470"/>
        <v>57813.3</v>
      </c>
      <c r="AE297" s="31">
        <f>AD297/AC297*100</f>
        <v>102.04051735701729</v>
      </c>
      <c r="AF297" s="31">
        <f t="shared" si="471"/>
        <v>587505.5</v>
      </c>
      <c r="AG297" s="31">
        <f t="shared" si="471"/>
        <v>49211.8</v>
      </c>
      <c r="AH297" s="31">
        <f>AG297/AF297*100</f>
        <v>8.3763981784000325</v>
      </c>
      <c r="AI297" s="31">
        <f t="shared" si="472"/>
        <v>181114.30000000002</v>
      </c>
      <c r="AJ297" s="31">
        <f t="shared" si="472"/>
        <v>0</v>
      </c>
      <c r="AK297" s="31">
        <f>AJ297/AI297*100</f>
        <v>0</v>
      </c>
      <c r="AL297" s="31">
        <f t="shared" si="473"/>
        <v>182393.8</v>
      </c>
      <c r="AM297" s="31">
        <f t="shared" si="473"/>
        <v>0</v>
      </c>
      <c r="AN297" s="31">
        <f>AM297/AL297*100</f>
        <v>0</v>
      </c>
      <c r="AO297" s="31">
        <f>AO36+AO84+AO161+AO197+AO233+AO270+AO292</f>
        <v>312436.40000000014</v>
      </c>
      <c r="AP297" s="53"/>
      <c r="AQ297" s="31">
        <f>AP297/AO297*100</f>
        <v>0</v>
      </c>
      <c r="AR297" s="24"/>
      <c r="AS297" s="24"/>
    </row>
    <row r="298" spans="1:45" ht="15.75" customHeight="1" x14ac:dyDescent="0.25">
      <c r="A298" s="111"/>
      <c r="B298" s="112"/>
      <c r="C298" s="113"/>
      <c r="D298" s="30" t="s">
        <v>43</v>
      </c>
      <c r="E298" s="31">
        <f t="shared" si="460"/>
        <v>438217.9</v>
      </c>
      <c r="F298" s="31">
        <f t="shared" si="460"/>
        <v>224097.6</v>
      </c>
      <c r="G298" s="31">
        <f t="shared" ref="G298" si="474">F298/E298*100</f>
        <v>51.13839484877272</v>
      </c>
      <c r="H298" s="31">
        <f t="shared" si="463"/>
        <v>6877.5999999999995</v>
      </c>
      <c r="I298" s="31">
        <f t="shared" si="463"/>
        <v>5882.7999999999993</v>
      </c>
      <c r="J298" s="31">
        <f>I298/H298*100</f>
        <v>85.535651971617995</v>
      </c>
      <c r="K298" s="31">
        <f t="shared" si="464"/>
        <v>33570.1</v>
      </c>
      <c r="L298" s="31">
        <f t="shared" si="464"/>
        <v>33312.400000000001</v>
      </c>
      <c r="M298" s="31">
        <f t="shared" ref="M298" si="475">L298/K298*100</f>
        <v>99.232352599485864</v>
      </c>
      <c r="N298" s="31">
        <f t="shared" si="465"/>
        <v>24908.499999999996</v>
      </c>
      <c r="O298" s="31">
        <f t="shared" si="465"/>
        <v>23818</v>
      </c>
      <c r="P298" s="31">
        <f>P37+P85+P162+P198+P234+P271+P293</f>
        <v>519.14307933705186</v>
      </c>
      <c r="Q298" s="31">
        <f t="shared" si="466"/>
        <v>36669.299999999996</v>
      </c>
      <c r="R298" s="31">
        <f t="shared" si="466"/>
        <v>31571.5</v>
      </c>
      <c r="S298" s="31">
        <f t="shared" ref="S298" si="476">R298/Q298*100</f>
        <v>86.097907513914919</v>
      </c>
      <c r="T298" s="31">
        <f t="shared" si="467"/>
        <v>27388.400000000001</v>
      </c>
      <c r="U298" s="31">
        <f t="shared" si="467"/>
        <v>27044.3</v>
      </c>
      <c r="V298" s="31">
        <f t="shared" ref="V298" si="477">U298/T298*100</f>
        <v>98.743628689518175</v>
      </c>
      <c r="W298" s="31">
        <f t="shared" si="468"/>
        <v>32985</v>
      </c>
      <c r="X298" s="31">
        <f t="shared" si="468"/>
        <v>27829.7</v>
      </c>
      <c r="Y298" s="31">
        <f t="shared" ref="Y298" si="478">X298/W298*100</f>
        <v>84.370774594512653</v>
      </c>
      <c r="Z298" s="31">
        <f t="shared" si="469"/>
        <v>34198.300000000003</v>
      </c>
      <c r="AA298" s="31">
        <f t="shared" si="469"/>
        <v>36606.1</v>
      </c>
      <c r="AB298" s="31">
        <f t="shared" ref="AB298" si="479">AA298/Z298*100</f>
        <v>107.0407008535512</v>
      </c>
      <c r="AC298" s="31">
        <f t="shared" si="470"/>
        <v>20776.000000000004</v>
      </c>
      <c r="AD298" s="31">
        <f t="shared" si="470"/>
        <v>21978.3</v>
      </c>
      <c r="AE298" s="31">
        <f t="shared" ref="AE298" si="480">AD298/AC298*100</f>
        <v>105.78696572968809</v>
      </c>
      <c r="AF298" s="31">
        <f t="shared" si="471"/>
        <v>61576.299999999996</v>
      </c>
      <c r="AG298" s="31">
        <f t="shared" si="471"/>
        <v>16054.5</v>
      </c>
      <c r="AH298" s="31">
        <f>AH37+AH85+AH162+AH198+AH234+AH271+AH293</f>
        <v>631.96186193512722</v>
      </c>
      <c r="AI298" s="31">
        <f t="shared" si="472"/>
        <v>64891.4</v>
      </c>
      <c r="AJ298" s="31">
        <f t="shared" si="472"/>
        <v>0</v>
      </c>
      <c r="AK298" s="31">
        <f t="shared" ref="AK298" si="481">AJ298/AI298*100</f>
        <v>0</v>
      </c>
      <c r="AL298" s="31">
        <f t="shared" si="473"/>
        <v>37861.899999999994</v>
      </c>
      <c r="AM298" s="31">
        <f t="shared" si="473"/>
        <v>0</v>
      </c>
      <c r="AN298" s="31">
        <f t="shared" ref="AN298" si="482">AM298/AL298*100</f>
        <v>0</v>
      </c>
      <c r="AO298" s="31">
        <f>AO37+AO85+AO162+AO198+AO234+AO271+AO293</f>
        <v>56515.099999999991</v>
      </c>
      <c r="AP298" s="53"/>
      <c r="AQ298" s="31">
        <f t="shared" ref="AQ298" si="483">AP298/AO298*100</f>
        <v>0</v>
      </c>
      <c r="AR298" s="24"/>
      <c r="AS298" s="24"/>
    </row>
    <row r="299" spans="1:45" ht="14.25" customHeight="1" x14ac:dyDescent="0.25">
      <c r="A299" s="111"/>
      <c r="B299" s="112"/>
      <c r="C299" s="113"/>
      <c r="D299" s="30" t="s">
        <v>21</v>
      </c>
      <c r="E299" s="31">
        <f t="shared" si="460"/>
        <v>0</v>
      </c>
      <c r="F299" s="31">
        <f t="shared" si="460"/>
        <v>0</v>
      </c>
      <c r="G299" s="31"/>
      <c r="H299" s="31">
        <f>H38+H86+H163+H199+H235+H272+H294</f>
        <v>0</v>
      </c>
      <c r="I299" s="31"/>
      <c r="J299" s="31"/>
      <c r="K299" s="31">
        <f t="shared" si="464"/>
        <v>0</v>
      </c>
      <c r="L299" s="31">
        <f t="shared" si="464"/>
        <v>0</v>
      </c>
      <c r="M299" s="31"/>
      <c r="N299" s="31">
        <f t="shared" si="465"/>
        <v>0</v>
      </c>
      <c r="O299" s="31">
        <f t="shared" si="465"/>
        <v>0</v>
      </c>
      <c r="P299" s="31"/>
      <c r="Q299" s="31">
        <f t="shared" si="466"/>
        <v>0</v>
      </c>
      <c r="R299" s="31">
        <f t="shared" si="466"/>
        <v>0</v>
      </c>
      <c r="S299" s="31"/>
      <c r="T299" s="31">
        <f t="shared" si="467"/>
        <v>0</v>
      </c>
      <c r="U299" s="31">
        <f t="shared" si="467"/>
        <v>0</v>
      </c>
      <c r="V299" s="31"/>
      <c r="W299" s="31">
        <f t="shared" si="468"/>
        <v>0</v>
      </c>
      <c r="X299" s="31">
        <f t="shared" si="468"/>
        <v>0</v>
      </c>
      <c r="Y299" s="31"/>
      <c r="Z299" s="31">
        <f t="shared" si="469"/>
        <v>0</v>
      </c>
      <c r="AA299" s="31">
        <f t="shared" si="469"/>
        <v>0</v>
      </c>
      <c r="AB299" s="31"/>
      <c r="AC299" s="31">
        <f t="shared" si="470"/>
        <v>0</v>
      </c>
      <c r="AD299" s="31">
        <f t="shared" si="470"/>
        <v>0</v>
      </c>
      <c r="AE299" s="31"/>
      <c r="AF299" s="31">
        <f t="shared" si="471"/>
        <v>0</v>
      </c>
      <c r="AG299" s="31">
        <f t="shared" si="471"/>
        <v>0</v>
      </c>
      <c r="AH299" s="31"/>
      <c r="AI299" s="31">
        <f t="shared" si="472"/>
        <v>0</v>
      </c>
      <c r="AJ299" s="31">
        <f t="shared" si="472"/>
        <v>0</v>
      </c>
      <c r="AK299" s="31"/>
      <c r="AL299" s="31">
        <f t="shared" si="473"/>
        <v>0</v>
      </c>
      <c r="AM299" s="31">
        <f t="shared" si="473"/>
        <v>0</v>
      </c>
      <c r="AN299" s="31"/>
      <c r="AO299" s="31">
        <f>AO38+AO86+AO163+AO199+AO235+AO272+AO294</f>
        <v>0</v>
      </c>
      <c r="AP299" s="53"/>
      <c r="AQ299" s="31"/>
      <c r="AR299" s="24"/>
      <c r="AS299" s="24"/>
    </row>
    <row r="300" spans="1:45" ht="14.25" hidden="1" customHeight="1" x14ac:dyDescent="0.25">
      <c r="A300" s="114"/>
      <c r="B300" s="115"/>
      <c r="C300" s="116"/>
      <c r="D300" s="30" t="s">
        <v>119</v>
      </c>
      <c r="E300" s="31"/>
      <c r="F300" s="31">
        <f t="shared" si="460"/>
        <v>1472.3</v>
      </c>
      <c r="G300" s="31"/>
      <c r="H300" s="31"/>
      <c r="I300" s="31"/>
      <c r="J300" s="31"/>
      <c r="K300" s="31"/>
      <c r="L300" s="31"/>
      <c r="M300" s="31"/>
      <c r="N300" s="31"/>
      <c r="O300" s="31">
        <f>O50+O257+O76</f>
        <v>0</v>
      </c>
      <c r="P300" s="31"/>
      <c r="Q300" s="31"/>
      <c r="R300" s="31">
        <f>R50+R257+R76</f>
        <v>0</v>
      </c>
      <c r="S300" s="31"/>
      <c r="T300" s="31"/>
      <c r="U300" s="31">
        <f>U50+U257+U76</f>
        <v>0</v>
      </c>
      <c r="V300" s="31"/>
      <c r="W300" s="31"/>
      <c r="X300" s="31">
        <f>X50+X257+X76</f>
        <v>0</v>
      </c>
      <c r="Y300" s="31"/>
      <c r="Z300" s="31"/>
      <c r="AA300" s="31">
        <f>AA50+AA257+AA76</f>
        <v>0</v>
      </c>
      <c r="AB300" s="31"/>
      <c r="AC300" s="31"/>
      <c r="AD300" s="31">
        <f>AD50+AD257+AD76</f>
        <v>0</v>
      </c>
      <c r="AE300" s="31"/>
      <c r="AF300" s="31"/>
      <c r="AG300" s="31">
        <f>AG50+AG257+AG76</f>
        <v>1472.3</v>
      </c>
      <c r="AH300" s="31"/>
      <c r="AI300" s="31"/>
      <c r="AJ300" s="31">
        <f>AJ50+AJ257+AJ76</f>
        <v>0</v>
      </c>
      <c r="AK300" s="31"/>
      <c r="AL300" s="31"/>
      <c r="AM300" s="31">
        <f>AM50+AM257+AM76</f>
        <v>0</v>
      </c>
      <c r="AN300" s="31"/>
      <c r="AO300" s="31"/>
      <c r="AP300" s="53"/>
      <c r="AQ300" s="31"/>
      <c r="AR300" s="24"/>
      <c r="AS300" s="24"/>
    </row>
    <row r="301" spans="1:45" ht="14.25" customHeight="1" x14ac:dyDescent="0.25">
      <c r="A301" s="108" t="s">
        <v>111</v>
      </c>
      <c r="B301" s="109"/>
      <c r="C301" s="110"/>
      <c r="D301" s="30" t="s">
        <v>3</v>
      </c>
      <c r="E301" s="31">
        <f>H301+K301+N301+Q301+T301+W301+Z301+AC301+AF301+AI301+AL301+AO301</f>
        <v>844504.20000000007</v>
      </c>
      <c r="F301" s="31">
        <f t="shared" si="460"/>
        <v>38695.699999999997</v>
      </c>
      <c r="G301" s="31">
        <f>F301/E301*100</f>
        <v>4.5820612851895817</v>
      </c>
      <c r="H301" s="31">
        <f>H302+H303+H304+H305</f>
        <v>0</v>
      </c>
      <c r="I301" s="31">
        <f>I302+I303+I304+I305</f>
        <v>0</v>
      </c>
      <c r="J301" s="31"/>
      <c r="K301" s="31">
        <f>K302+K303+K304+K305</f>
        <v>0</v>
      </c>
      <c r="L301" s="31">
        <f>L302+L303+L304+L305</f>
        <v>0</v>
      </c>
      <c r="M301" s="31" t="e">
        <f>L301/K301*100</f>
        <v>#DIV/0!</v>
      </c>
      <c r="N301" s="31">
        <f>N302+N303+N304+N305</f>
        <v>0</v>
      </c>
      <c r="O301" s="31">
        <f>O302+O303+O304+O305</f>
        <v>0</v>
      </c>
      <c r="P301" s="31"/>
      <c r="Q301" s="31">
        <f>Q302+Q303+Q304+Q305</f>
        <v>0</v>
      </c>
      <c r="R301" s="31">
        <f>R302+R303+R304+R305</f>
        <v>0</v>
      </c>
      <c r="S301" s="31" t="e">
        <f>R301/Q301*100</f>
        <v>#DIV/0!</v>
      </c>
      <c r="T301" s="31">
        <f>T302+T303+T304+T305</f>
        <v>320</v>
      </c>
      <c r="U301" s="31">
        <f>U302+U303+U304+U305</f>
        <v>320</v>
      </c>
      <c r="V301" s="31">
        <f>U301/T301*100</f>
        <v>100</v>
      </c>
      <c r="W301" s="31">
        <f>W302+W303+W304+W305</f>
        <v>625</v>
      </c>
      <c r="X301" s="31">
        <f>X302+X303+X304+X305</f>
        <v>625</v>
      </c>
      <c r="Y301" s="31">
        <f>X301/W301*100</f>
        <v>100</v>
      </c>
      <c r="Z301" s="31">
        <f>Z302+Z303+Z304+Z305</f>
        <v>58539.4</v>
      </c>
      <c r="AA301" s="31">
        <f>AA302+AA303+AA304+AA305</f>
        <v>37750.699999999997</v>
      </c>
      <c r="AB301" s="31"/>
      <c r="AC301" s="31">
        <f>AC302+AC303+AC304+AC305</f>
        <v>0</v>
      </c>
      <c r="AD301" s="31">
        <f>AD302+AD303+AD304+AD305</f>
        <v>0</v>
      </c>
      <c r="AE301" s="31"/>
      <c r="AF301" s="31">
        <f>AF302+AF303+AF304+AF305</f>
        <v>581116.6</v>
      </c>
      <c r="AG301" s="31">
        <f>AG302+AG303+AG304+AG305</f>
        <v>0</v>
      </c>
      <c r="AH301" s="31"/>
      <c r="AI301" s="31">
        <f>AI302+AI303+AI304+AI305</f>
        <v>83615</v>
      </c>
      <c r="AJ301" s="31">
        <f>AJ302+AJ303+AJ304+AJ305</f>
        <v>0</v>
      </c>
      <c r="AK301" s="31">
        <f>AJ301/AI301*100</f>
        <v>0</v>
      </c>
      <c r="AL301" s="31">
        <f>AL302+AL303+AL304+AL305</f>
        <v>58540.6</v>
      </c>
      <c r="AM301" s="31">
        <f>AM302+AM303+AM304+AM305</f>
        <v>0</v>
      </c>
      <c r="AN301" s="31">
        <f>AM301/AL301*100</f>
        <v>0</v>
      </c>
      <c r="AO301" s="31">
        <f>AO302+AO303+AO304+AO305</f>
        <v>61747.600000000115</v>
      </c>
      <c r="AP301" s="52">
        <f>AP302+AP303+AP304+AP305</f>
        <v>0</v>
      </c>
      <c r="AQ301" s="31"/>
      <c r="AR301" s="24"/>
      <c r="AS301" s="24"/>
    </row>
    <row r="302" spans="1:45" ht="14.25" customHeight="1" x14ac:dyDescent="0.25">
      <c r="A302" s="111"/>
      <c r="B302" s="112"/>
      <c r="C302" s="113"/>
      <c r="D302" s="30" t="s">
        <v>20</v>
      </c>
      <c r="E302" s="31">
        <f t="shared" ref="E302:E305" si="484">H302+K302+N302+Q302+T302+W302+Z302+AC302+AF302+AI302+AL302+AO302</f>
        <v>13344.8</v>
      </c>
      <c r="F302" s="31">
        <f t="shared" si="460"/>
        <v>13250.5</v>
      </c>
      <c r="G302" s="31">
        <f t="shared" ref="G302:G304" si="485">F302/E302*100</f>
        <v>99.293357712367367</v>
      </c>
      <c r="H302" s="31">
        <f t="shared" ref="H302:I305" si="486">H46+H52</f>
        <v>0</v>
      </c>
      <c r="I302" s="31">
        <f t="shared" si="486"/>
        <v>0</v>
      </c>
      <c r="J302" s="31"/>
      <c r="K302" s="31">
        <f t="shared" ref="K302:L305" si="487">K46+K52</f>
        <v>0</v>
      </c>
      <c r="L302" s="31">
        <f t="shared" si="487"/>
        <v>0</v>
      </c>
      <c r="M302" s="31"/>
      <c r="N302" s="31">
        <f t="shared" ref="N302:O305" si="488">N46+N52</f>
        <v>0</v>
      </c>
      <c r="O302" s="31">
        <f t="shared" si="488"/>
        <v>0</v>
      </c>
      <c r="P302" s="31"/>
      <c r="Q302" s="31">
        <f t="shared" ref="Q302:R305" si="489">Q46+Q52</f>
        <v>0</v>
      </c>
      <c r="R302" s="31">
        <f t="shared" si="489"/>
        <v>0</v>
      </c>
      <c r="S302" s="31"/>
      <c r="T302" s="31">
        <f t="shared" ref="T302:U305" si="490">T46+T52</f>
        <v>0</v>
      </c>
      <c r="U302" s="31">
        <f t="shared" si="490"/>
        <v>0</v>
      </c>
      <c r="V302" s="31"/>
      <c r="W302" s="31">
        <f t="shared" ref="W302:X305" si="491">W46+W52</f>
        <v>0</v>
      </c>
      <c r="X302" s="31">
        <f t="shared" si="491"/>
        <v>0</v>
      </c>
      <c r="Y302" s="31"/>
      <c r="Z302" s="31">
        <f t="shared" ref="Z302:AA305" si="492">Z46+Z52</f>
        <v>13344.8</v>
      </c>
      <c r="AA302" s="31">
        <f t="shared" si="492"/>
        <v>13250.5</v>
      </c>
      <c r="AB302" s="31"/>
      <c r="AC302" s="31">
        <f t="shared" ref="AC302:AD305" si="493">AC46+AC52</f>
        <v>0</v>
      </c>
      <c r="AD302" s="31">
        <f t="shared" si="493"/>
        <v>0</v>
      </c>
      <c r="AE302" s="31"/>
      <c r="AF302" s="31">
        <f t="shared" ref="AF302:AG305" si="494">AF46+AF52</f>
        <v>0</v>
      </c>
      <c r="AG302" s="31">
        <f t="shared" si="494"/>
        <v>0</v>
      </c>
      <c r="AH302" s="31"/>
      <c r="AI302" s="31">
        <f t="shared" ref="AI302:AJ305" si="495">AI46+AI52</f>
        <v>0</v>
      </c>
      <c r="AJ302" s="31">
        <f t="shared" si="495"/>
        <v>0</v>
      </c>
      <c r="AK302" s="31"/>
      <c r="AL302" s="31">
        <f t="shared" ref="AL302:AM305" si="496">AL46+AL52</f>
        <v>0</v>
      </c>
      <c r="AM302" s="31">
        <f t="shared" si="496"/>
        <v>0</v>
      </c>
      <c r="AN302" s="31"/>
      <c r="AO302" s="31">
        <f t="shared" ref="AO302:AP305" si="497">AO46+AO52</f>
        <v>0</v>
      </c>
      <c r="AP302" s="52">
        <f t="shared" si="497"/>
        <v>0</v>
      </c>
      <c r="AQ302" s="31"/>
      <c r="AR302" s="24"/>
      <c r="AS302" s="24"/>
    </row>
    <row r="303" spans="1:45" ht="24" customHeight="1" x14ac:dyDescent="0.25">
      <c r="A303" s="111"/>
      <c r="B303" s="112"/>
      <c r="C303" s="113"/>
      <c r="D303" s="30" t="s">
        <v>4</v>
      </c>
      <c r="E303" s="31">
        <f t="shared" si="484"/>
        <v>735449.4</v>
      </c>
      <c r="F303" s="31">
        <f t="shared" si="460"/>
        <v>20725.099999999999</v>
      </c>
      <c r="G303" s="31">
        <f t="shared" si="485"/>
        <v>2.8180184795854069</v>
      </c>
      <c r="H303" s="31">
        <f t="shared" si="486"/>
        <v>0</v>
      </c>
      <c r="I303" s="31">
        <f t="shared" si="486"/>
        <v>0</v>
      </c>
      <c r="J303" s="31"/>
      <c r="K303" s="31">
        <f t="shared" si="487"/>
        <v>0</v>
      </c>
      <c r="L303" s="31">
        <f t="shared" si="487"/>
        <v>0</v>
      </c>
      <c r="M303" s="31" t="e">
        <f t="shared" ref="M303:M304" si="498">L303/K303*100</f>
        <v>#DIV/0!</v>
      </c>
      <c r="N303" s="31">
        <f t="shared" si="488"/>
        <v>0</v>
      </c>
      <c r="O303" s="31">
        <f t="shared" si="488"/>
        <v>0</v>
      </c>
      <c r="P303" s="31"/>
      <c r="Q303" s="31">
        <f t="shared" si="489"/>
        <v>0</v>
      </c>
      <c r="R303" s="31">
        <f t="shared" si="489"/>
        <v>0</v>
      </c>
      <c r="S303" s="31" t="e">
        <f t="shared" ref="S303:S304" si="499">R303/Q303*100</f>
        <v>#DIV/0!</v>
      </c>
      <c r="T303" s="31">
        <f t="shared" si="490"/>
        <v>0</v>
      </c>
      <c r="U303" s="31">
        <f t="shared" si="490"/>
        <v>0</v>
      </c>
      <c r="V303" s="31"/>
      <c r="W303" s="31">
        <f t="shared" si="491"/>
        <v>0</v>
      </c>
      <c r="X303" s="31">
        <f t="shared" si="491"/>
        <v>0</v>
      </c>
      <c r="Y303" s="31"/>
      <c r="Z303" s="31">
        <f t="shared" si="492"/>
        <v>39340.699999999997</v>
      </c>
      <c r="AA303" s="31">
        <f t="shared" si="492"/>
        <v>20725.099999999999</v>
      </c>
      <c r="AB303" s="31"/>
      <c r="AC303" s="31">
        <f t="shared" si="493"/>
        <v>0</v>
      </c>
      <c r="AD303" s="31">
        <f t="shared" si="493"/>
        <v>0</v>
      </c>
      <c r="AE303" s="31"/>
      <c r="AF303" s="31">
        <f t="shared" si="494"/>
        <v>538052.19999999995</v>
      </c>
      <c r="AG303" s="31">
        <f t="shared" si="494"/>
        <v>0</v>
      </c>
      <c r="AH303" s="31"/>
      <c r="AI303" s="31">
        <f t="shared" si="495"/>
        <v>52685.5</v>
      </c>
      <c r="AJ303" s="31">
        <f t="shared" si="495"/>
        <v>0</v>
      </c>
      <c r="AK303" s="31">
        <f t="shared" ref="AK303:AK304" si="500">AJ303/AI303*100</f>
        <v>0</v>
      </c>
      <c r="AL303" s="31">
        <f t="shared" si="496"/>
        <v>52685.5</v>
      </c>
      <c r="AM303" s="31">
        <f t="shared" si="496"/>
        <v>0</v>
      </c>
      <c r="AN303" s="31">
        <f t="shared" ref="AN303:AN304" si="501">AM303/AL303*100</f>
        <v>0</v>
      </c>
      <c r="AO303" s="31">
        <f t="shared" si="497"/>
        <v>52685.500000000116</v>
      </c>
      <c r="AP303" s="52">
        <f t="shared" si="497"/>
        <v>0</v>
      </c>
      <c r="AQ303" s="31"/>
      <c r="AR303" s="24"/>
      <c r="AS303" s="24"/>
    </row>
    <row r="304" spans="1:45" ht="13.5" customHeight="1" x14ac:dyDescent="0.25">
      <c r="A304" s="111"/>
      <c r="B304" s="112"/>
      <c r="C304" s="113"/>
      <c r="D304" s="30" t="s">
        <v>43</v>
      </c>
      <c r="E304" s="31">
        <f t="shared" si="484"/>
        <v>95710</v>
      </c>
      <c r="F304" s="31">
        <f t="shared" si="460"/>
        <v>4720.1000000000004</v>
      </c>
      <c r="G304" s="31">
        <f t="shared" si="485"/>
        <v>4.9316685821753223</v>
      </c>
      <c r="H304" s="31">
        <f t="shared" si="486"/>
        <v>0</v>
      </c>
      <c r="I304" s="31">
        <f t="shared" si="486"/>
        <v>0</v>
      </c>
      <c r="J304" s="31"/>
      <c r="K304" s="31">
        <f t="shared" si="487"/>
        <v>0</v>
      </c>
      <c r="L304" s="31">
        <f t="shared" si="487"/>
        <v>0</v>
      </c>
      <c r="M304" s="31" t="e">
        <f t="shared" si="498"/>
        <v>#DIV/0!</v>
      </c>
      <c r="N304" s="31">
        <f t="shared" si="488"/>
        <v>0</v>
      </c>
      <c r="O304" s="31">
        <f t="shared" si="488"/>
        <v>0</v>
      </c>
      <c r="P304" s="31"/>
      <c r="Q304" s="31">
        <f t="shared" si="489"/>
        <v>0</v>
      </c>
      <c r="R304" s="31">
        <f t="shared" si="489"/>
        <v>0</v>
      </c>
      <c r="S304" s="31" t="e">
        <f t="shared" si="499"/>
        <v>#DIV/0!</v>
      </c>
      <c r="T304" s="31">
        <f t="shared" si="490"/>
        <v>320</v>
      </c>
      <c r="U304" s="31">
        <f t="shared" si="490"/>
        <v>320</v>
      </c>
      <c r="V304" s="31">
        <f t="shared" ref="V304" si="502">U304/T304*100</f>
        <v>100</v>
      </c>
      <c r="W304" s="31">
        <f t="shared" si="491"/>
        <v>625</v>
      </c>
      <c r="X304" s="31">
        <f t="shared" si="491"/>
        <v>625</v>
      </c>
      <c r="Y304" s="31">
        <f t="shared" ref="Y304" si="503">X304/W304*100</f>
        <v>100</v>
      </c>
      <c r="Z304" s="31">
        <f t="shared" si="492"/>
        <v>5853.9</v>
      </c>
      <c r="AA304" s="31">
        <f t="shared" si="492"/>
        <v>3775.1</v>
      </c>
      <c r="AB304" s="31"/>
      <c r="AC304" s="31">
        <f t="shared" si="493"/>
        <v>0</v>
      </c>
      <c r="AD304" s="31">
        <f t="shared" si="493"/>
        <v>0</v>
      </c>
      <c r="AE304" s="31"/>
      <c r="AF304" s="31">
        <f t="shared" si="494"/>
        <v>43064.399999999994</v>
      </c>
      <c r="AG304" s="31">
        <f t="shared" si="494"/>
        <v>0</v>
      </c>
      <c r="AH304" s="31"/>
      <c r="AI304" s="31">
        <f t="shared" si="495"/>
        <v>30929.5</v>
      </c>
      <c r="AJ304" s="31">
        <f t="shared" si="495"/>
        <v>0</v>
      </c>
      <c r="AK304" s="31">
        <f t="shared" si="500"/>
        <v>0</v>
      </c>
      <c r="AL304" s="31">
        <f t="shared" si="496"/>
        <v>5855.1</v>
      </c>
      <c r="AM304" s="31">
        <f t="shared" si="496"/>
        <v>0</v>
      </c>
      <c r="AN304" s="31">
        <f t="shared" si="501"/>
        <v>0</v>
      </c>
      <c r="AO304" s="31">
        <f t="shared" si="497"/>
        <v>9062.0999999999985</v>
      </c>
      <c r="AP304" s="52">
        <f t="shared" si="497"/>
        <v>0</v>
      </c>
      <c r="AQ304" s="31"/>
      <c r="AR304" s="24"/>
      <c r="AS304" s="24"/>
    </row>
    <row r="305" spans="1:45" x14ac:dyDescent="0.25">
      <c r="A305" s="111"/>
      <c r="B305" s="112"/>
      <c r="C305" s="113"/>
      <c r="D305" s="30" t="s">
        <v>21</v>
      </c>
      <c r="E305" s="31">
        <f t="shared" si="484"/>
        <v>0</v>
      </c>
      <c r="F305" s="31">
        <f t="shared" si="460"/>
        <v>0</v>
      </c>
      <c r="G305" s="31"/>
      <c r="H305" s="31">
        <f t="shared" si="486"/>
        <v>0</v>
      </c>
      <c r="I305" s="31">
        <f t="shared" si="486"/>
        <v>0</v>
      </c>
      <c r="J305" s="31"/>
      <c r="K305" s="31">
        <f t="shared" si="487"/>
        <v>0</v>
      </c>
      <c r="L305" s="31">
        <f t="shared" si="487"/>
        <v>0</v>
      </c>
      <c r="M305" s="31"/>
      <c r="N305" s="31">
        <f t="shared" si="488"/>
        <v>0</v>
      </c>
      <c r="O305" s="31">
        <f t="shared" si="488"/>
        <v>0</v>
      </c>
      <c r="P305" s="31"/>
      <c r="Q305" s="31">
        <f t="shared" si="489"/>
        <v>0</v>
      </c>
      <c r="R305" s="31">
        <f t="shared" si="489"/>
        <v>0</v>
      </c>
      <c r="S305" s="31"/>
      <c r="T305" s="31">
        <f t="shared" si="490"/>
        <v>0</v>
      </c>
      <c r="U305" s="31">
        <f t="shared" si="490"/>
        <v>0</v>
      </c>
      <c r="V305" s="31"/>
      <c r="W305" s="31">
        <f t="shared" si="491"/>
        <v>0</v>
      </c>
      <c r="X305" s="31">
        <f t="shared" si="491"/>
        <v>0</v>
      </c>
      <c r="Y305" s="31"/>
      <c r="Z305" s="31">
        <f t="shared" si="492"/>
        <v>0</v>
      </c>
      <c r="AA305" s="31">
        <f t="shared" si="492"/>
        <v>0</v>
      </c>
      <c r="AB305" s="31"/>
      <c r="AC305" s="31">
        <f t="shared" si="493"/>
        <v>0</v>
      </c>
      <c r="AD305" s="31">
        <f t="shared" si="493"/>
        <v>0</v>
      </c>
      <c r="AE305" s="31"/>
      <c r="AF305" s="31">
        <f t="shared" si="494"/>
        <v>0</v>
      </c>
      <c r="AG305" s="31">
        <f t="shared" si="494"/>
        <v>0</v>
      </c>
      <c r="AH305" s="31"/>
      <c r="AI305" s="31">
        <f t="shared" si="495"/>
        <v>0</v>
      </c>
      <c r="AJ305" s="31">
        <f t="shared" si="495"/>
        <v>0</v>
      </c>
      <c r="AK305" s="31"/>
      <c r="AL305" s="31">
        <f t="shared" si="496"/>
        <v>0</v>
      </c>
      <c r="AM305" s="31">
        <f t="shared" si="496"/>
        <v>0</v>
      </c>
      <c r="AN305" s="31"/>
      <c r="AO305" s="31">
        <f t="shared" si="497"/>
        <v>0</v>
      </c>
      <c r="AP305" s="52">
        <f t="shared" si="497"/>
        <v>0</v>
      </c>
      <c r="AQ305" s="31"/>
      <c r="AR305" s="24"/>
      <c r="AS305" s="24"/>
    </row>
    <row r="306" spans="1:45" ht="14.25" customHeight="1" x14ac:dyDescent="0.25">
      <c r="A306" s="114"/>
      <c r="B306" s="115"/>
      <c r="C306" s="116"/>
      <c r="D306" s="30" t="s">
        <v>119</v>
      </c>
      <c r="E306" s="31"/>
      <c r="F306" s="31">
        <f t="shared" si="460"/>
        <v>1472.3</v>
      </c>
      <c r="G306" s="31"/>
      <c r="H306" s="31"/>
      <c r="I306" s="31"/>
      <c r="J306" s="31"/>
      <c r="K306" s="31"/>
      <c r="L306" s="31"/>
      <c r="M306" s="31"/>
      <c r="N306" s="31"/>
      <c r="O306" s="31">
        <f>O50</f>
        <v>0</v>
      </c>
      <c r="P306" s="31"/>
      <c r="Q306" s="31"/>
      <c r="R306" s="31">
        <f>R50</f>
        <v>0</v>
      </c>
      <c r="S306" s="31"/>
      <c r="T306" s="31"/>
      <c r="U306" s="31">
        <f>U50</f>
        <v>0</v>
      </c>
      <c r="V306" s="31"/>
      <c r="W306" s="31"/>
      <c r="X306" s="31">
        <f>X50</f>
        <v>0</v>
      </c>
      <c r="Y306" s="31"/>
      <c r="Z306" s="31"/>
      <c r="AA306" s="31"/>
      <c r="AB306" s="31"/>
      <c r="AC306" s="31"/>
      <c r="AD306" s="31"/>
      <c r="AE306" s="31"/>
      <c r="AF306" s="31"/>
      <c r="AG306" s="31">
        <f>AG50</f>
        <v>1472.3</v>
      </c>
      <c r="AH306" s="31"/>
      <c r="AI306" s="31"/>
      <c r="AJ306" s="31">
        <f>AJ50</f>
        <v>0</v>
      </c>
      <c r="AK306" s="31"/>
      <c r="AL306" s="31"/>
      <c r="AM306" s="31">
        <f>AM50</f>
        <v>0</v>
      </c>
      <c r="AN306" s="31"/>
      <c r="AO306" s="31"/>
      <c r="AP306" s="52"/>
      <c r="AQ306" s="42"/>
      <c r="AR306" s="24"/>
      <c r="AS306" s="24"/>
    </row>
    <row r="307" spans="1:45" ht="12.6" customHeight="1" x14ac:dyDescent="0.25">
      <c r="A307" s="108" t="s">
        <v>112</v>
      </c>
      <c r="B307" s="109"/>
      <c r="C307" s="110"/>
      <c r="D307" s="30" t="s">
        <v>3</v>
      </c>
      <c r="E307" s="31">
        <f>H307+K307+N307+Q307+T307+W307+Z307+AC307+AF307+AI307+AL307+AO307</f>
        <v>1923452.9000000006</v>
      </c>
      <c r="F307" s="31">
        <f t="shared" si="460"/>
        <v>1256929.6037399997</v>
      </c>
      <c r="G307" s="31">
        <f>F307/E307*100</f>
        <v>65.347563423050246</v>
      </c>
      <c r="H307" s="31">
        <f>H308+H309+H310+H311</f>
        <v>41290.1</v>
      </c>
      <c r="I307" s="31">
        <f>I308+I309+I310+I311</f>
        <v>40146.600000000006</v>
      </c>
      <c r="J307" s="31">
        <f>I307/H307*100</f>
        <v>97.23057100854686</v>
      </c>
      <c r="K307" s="31">
        <f>K308+K309+K310+K311</f>
        <v>153646.20000000001</v>
      </c>
      <c r="L307" s="31">
        <f>L308+L309+L310+L311</f>
        <v>152997.20000000001</v>
      </c>
      <c r="M307" s="31">
        <f>L307/K307*100</f>
        <v>99.577601008030143</v>
      </c>
      <c r="N307" s="31">
        <f>N308+N309+N310+N311</f>
        <v>138432.59999999998</v>
      </c>
      <c r="O307" s="31">
        <f>O308+O309+O310+O311</f>
        <v>136459.20000000001</v>
      </c>
      <c r="P307" s="31">
        <f>O307/N307*100</f>
        <v>98.574468730631395</v>
      </c>
      <c r="Q307" s="31">
        <f>Q308+Q309+Q310+Q311</f>
        <v>166264.40000000002</v>
      </c>
      <c r="R307" s="31">
        <f>R308+R309+R310+R311</f>
        <v>156164.60024</v>
      </c>
      <c r="S307" s="31">
        <f>R307/Q307*100</f>
        <v>93.925458630951653</v>
      </c>
      <c r="T307" s="31">
        <f>T308+T309+T310+T311</f>
        <v>213497.49999999997</v>
      </c>
      <c r="U307" s="31">
        <f>U308+U309+U310+U311</f>
        <v>211044.59999999998</v>
      </c>
      <c r="V307" s="31">
        <f>U307/T307*100</f>
        <v>98.85108724926522</v>
      </c>
      <c r="W307" s="31">
        <f>W308+W309+W310+W311</f>
        <v>255767.40000000002</v>
      </c>
      <c r="X307" s="31">
        <f>X308+X309+X310+X311</f>
        <v>249207.40350000004</v>
      </c>
      <c r="Y307" s="31">
        <f>X307/W307*100</f>
        <v>97.435170979569733</v>
      </c>
      <c r="Z307" s="31">
        <f>Z308+Z309+Z310+Z311</f>
        <v>156873.50000000003</v>
      </c>
      <c r="AA307" s="31">
        <f>AA308+AA309+AA310+AA311</f>
        <v>162414.9</v>
      </c>
      <c r="AB307" s="31">
        <f>AA307/Z307*100</f>
        <v>103.53240030980373</v>
      </c>
      <c r="AC307" s="31">
        <f>AC308+AC309+AC310+AC311</f>
        <v>78327.600000000006</v>
      </c>
      <c r="AD307" s="31">
        <f>AD308+AD309+AD310+AD311</f>
        <v>80468.400000000009</v>
      </c>
      <c r="AE307" s="31">
        <f>AD307/AC307*100</f>
        <v>102.73313621252281</v>
      </c>
      <c r="AF307" s="31">
        <f>AF308+AF309+AF310+AF311</f>
        <v>70907.900000000052</v>
      </c>
      <c r="AG307" s="31">
        <f>AG308+AG309+AG310+AG311</f>
        <v>68026.700000000012</v>
      </c>
      <c r="AH307" s="31">
        <f>AG307/AF307*100</f>
        <v>95.936700988183205</v>
      </c>
      <c r="AI307" s="31">
        <f>AI308+AI309+AI310+AI311</f>
        <v>167300.90000000002</v>
      </c>
      <c r="AJ307" s="31">
        <f>AJ308+AJ309+AJ310+AJ311</f>
        <v>0</v>
      </c>
      <c r="AK307" s="31">
        <f>AJ307/AI307*100</f>
        <v>0</v>
      </c>
      <c r="AL307" s="31">
        <f>AL308+AL309+AL310+AL311</f>
        <v>166537.29999999999</v>
      </c>
      <c r="AM307" s="31">
        <f>AM308+AM309+AM310+AM311</f>
        <v>0</v>
      </c>
      <c r="AN307" s="31">
        <f>AM307/AL307*100</f>
        <v>0</v>
      </c>
      <c r="AO307" s="31">
        <f>AO308+AO309+AO310+AO311</f>
        <v>314607.5</v>
      </c>
      <c r="AP307" s="53"/>
      <c r="AQ307" s="31">
        <f>AP307/AO307*100</f>
        <v>0</v>
      </c>
      <c r="AR307" s="24"/>
      <c r="AS307" s="24"/>
    </row>
    <row r="308" spans="1:45" x14ac:dyDescent="0.25">
      <c r="A308" s="111"/>
      <c r="B308" s="112"/>
      <c r="C308" s="113"/>
      <c r="D308" s="30" t="s">
        <v>20</v>
      </c>
      <c r="E308" s="31">
        <f t="shared" ref="E308:E311" si="504">H308+K308+N308+Q308+T308+W308+Z308+AC308+AF308+AI308+AL308+AO308</f>
        <v>50617.299999999988</v>
      </c>
      <c r="F308" s="31">
        <f t="shared" si="460"/>
        <v>31786.7</v>
      </c>
      <c r="G308" s="31">
        <f>F308/E308*100</f>
        <v>62.798094722555355</v>
      </c>
      <c r="H308" s="31">
        <f t="shared" ref="H308:I311" si="505">H296-H302</f>
        <v>2851.5</v>
      </c>
      <c r="I308" s="31">
        <f t="shared" si="505"/>
        <v>2724.6</v>
      </c>
      <c r="J308" s="31">
        <f>I308/H308*100</f>
        <v>95.549710678590216</v>
      </c>
      <c r="K308" s="31">
        <f t="shared" ref="K308:L311" si="506">K296-K302</f>
        <v>4118.7999999999993</v>
      </c>
      <c r="L308" s="31">
        <f t="shared" si="506"/>
        <v>3909.8</v>
      </c>
      <c r="M308" s="31">
        <f>L308/K308*100</f>
        <v>94.925706516461133</v>
      </c>
      <c r="N308" s="31">
        <f t="shared" ref="N308:O311" si="507">N296-N302</f>
        <v>3793.7999999999997</v>
      </c>
      <c r="O308" s="31">
        <f t="shared" si="507"/>
        <v>3713</v>
      </c>
      <c r="P308" s="31">
        <f>O308/N308*100</f>
        <v>97.870209288839689</v>
      </c>
      <c r="Q308" s="31">
        <f t="shared" ref="Q308:R311" si="508">Q296-Q302</f>
        <v>4744.5</v>
      </c>
      <c r="R308" s="31">
        <f t="shared" si="508"/>
        <v>4133.8999999999996</v>
      </c>
      <c r="S308" s="31">
        <f>R308/Q308*100</f>
        <v>87.130361471177139</v>
      </c>
      <c r="T308" s="31">
        <f t="shared" ref="T308:U311" si="509">T296-T302</f>
        <v>6954.7</v>
      </c>
      <c r="U308" s="31">
        <f t="shared" si="509"/>
        <v>5867.5</v>
      </c>
      <c r="V308" s="31">
        <f>U308/T308*100</f>
        <v>84.367406214502424</v>
      </c>
      <c r="W308" s="31">
        <f t="shared" ref="W308:X311" si="510">W296-W302</f>
        <v>7137.3</v>
      </c>
      <c r="X308" s="31">
        <f t="shared" si="510"/>
        <v>7955.7</v>
      </c>
      <c r="Y308" s="31">
        <f>X308/W308*100</f>
        <v>111.46652095330167</v>
      </c>
      <c r="Z308" s="31">
        <f t="shared" ref="Z308:AA311" si="511">Z296-Z302</f>
        <v>43.600000000000364</v>
      </c>
      <c r="AA308" s="31">
        <f t="shared" si="511"/>
        <v>45</v>
      </c>
      <c r="AB308" s="31">
        <f>AA308/Z308*100</f>
        <v>103.21100917431107</v>
      </c>
      <c r="AC308" s="31">
        <f t="shared" ref="AC308:AD311" si="512">AC296-AC302</f>
        <v>894.4</v>
      </c>
      <c r="AD308" s="31">
        <f t="shared" si="512"/>
        <v>676.80000000000007</v>
      </c>
      <c r="AE308" s="31">
        <f>AD308/AC308*100</f>
        <v>75.670840787119857</v>
      </c>
      <c r="AF308" s="31">
        <f t="shared" ref="AF308:AG311" si="513">AF296-AF302</f>
        <v>2942.7</v>
      </c>
      <c r="AG308" s="31">
        <f t="shared" si="513"/>
        <v>2760.4</v>
      </c>
      <c r="AH308" s="31">
        <f>AG308/AF308*100</f>
        <v>93.805009005335251</v>
      </c>
      <c r="AI308" s="31">
        <f t="shared" ref="AI308:AJ311" si="514">AI296-AI302</f>
        <v>4910.2</v>
      </c>
      <c r="AJ308" s="31">
        <f t="shared" si="514"/>
        <v>0</v>
      </c>
      <c r="AK308" s="31">
        <f>AJ308/AI308*100</f>
        <v>0</v>
      </c>
      <c r="AL308" s="31">
        <f t="shared" ref="AL308:AM311" si="515">AL296-AL302</f>
        <v>4822.2</v>
      </c>
      <c r="AM308" s="31">
        <f t="shared" si="515"/>
        <v>0</v>
      </c>
      <c r="AN308" s="31">
        <f>AM308/AL308*100</f>
        <v>0</v>
      </c>
      <c r="AO308" s="31">
        <f t="shared" ref="AO308:AP311" si="516">AO296-AO302</f>
        <v>7403.6</v>
      </c>
      <c r="AP308" s="52">
        <f t="shared" si="516"/>
        <v>0</v>
      </c>
      <c r="AQ308" s="31">
        <f>AP308/AO308*100</f>
        <v>0</v>
      </c>
      <c r="AR308" s="24"/>
      <c r="AS308" s="24"/>
    </row>
    <row r="309" spans="1:45" ht="25.5" customHeight="1" x14ac:dyDescent="0.25">
      <c r="A309" s="111"/>
      <c r="B309" s="112"/>
      <c r="C309" s="113"/>
      <c r="D309" s="30" t="s">
        <v>4</v>
      </c>
      <c r="E309" s="31">
        <f t="shared" si="504"/>
        <v>1530327.7000000002</v>
      </c>
      <c r="F309" s="31">
        <f t="shared" si="460"/>
        <v>1005765.4037400002</v>
      </c>
      <c r="G309" s="31">
        <f>F309/E309*100</f>
        <v>65.72222431443933</v>
      </c>
      <c r="H309" s="31">
        <f t="shared" si="505"/>
        <v>31561</v>
      </c>
      <c r="I309" s="31">
        <f t="shared" si="505"/>
        <v>31539.200000000001</v>
      </c>
      <c r="J309" s="31">
        <f>I309/H309*100</f>
        <v>99.930927410411584</v>
      </c>
      <c r="K309" s="31">
        <f t="shared" si="506"/>
        <v>115957.3</v>
      </c>
      <c r="L309" s="31">
        <f t="shared" si="506"/>
        <v>115775</v>
      </c>
      <c r="M309" s="31">
        <f>L309/K309*100</f>
        <v>99.842786956922936</v>
      </c>
      <c r="N309" s="31">
        <f t="shared" si="507"/>
        <v>109730.29999999999</v>
      </c>
      <c r="O309" s="31">
        <f t="shared" si="507"/>
        <v>108928.2</v>
      </c>
      <c r="P309" s="31">
        <f>O309/N309*100</f>
        <v>99.269025966392149</v>
      </c>
      <c r="Q309" s="31">
        <f t="shared" si="508"/>
        <v>124850.60000000002</v>
      </c>
      <c r="R309" s="31">
        <f t="shared" si="508"/>
        <v>120459.20024000002</v>
      </c>
      <c r="S309" s="31">
        <f>R309/Q309*100</f>
        <v>96.482676286697867</v>
      </c>
      <c r="T309" s="31">
        <f t="shared" si="509"/>
        <v>179474.39999999997</v>
      </c>
      <c r="U309" s="31">
        <f t="shared" si="509"/>
        <v>178452.8</v>
      </c>
      <c r="V309" s="31">
        <f>U309/T309*100</f>
        <v>99.430782328844685</v>
      </c>
      <c r="W309" s="31">
        <f t="shared" si="510"/>
        <v>216270.10000000003</v>
      </c>
      <c r="X309" s="31">
        <f t="shared" si="510"/>
        <v>214047.00350000002</v>
      </c>
      <c r="Y309" s="31">
        <f>X309/W309*100</f>
        <v>98.972074040748112</v>
      </c>
      <c r="Z309" s="31">
        <f t="shared" si="511"/>
        <v>128485.50000000001</v>
      </c>
      <c r="AA309" s="31">
        <f t="shared" si="511"/>
        <v>129538.9</v>
      </c>
      <c r="AB309" s="31">
        <f>AA309/Z309*100</f>
        <v>100.819859050243</v>
      </c>
      <c r="AC309" s="31">
        <f t="shared" si="512"/>
        <v>56657.2</v>
      </c>
      <c r="AD309" s="31">
        <f t="shared" si="512"/>
        <v>57813.3</v>
      </c>
      <c r="AE309" s="31">
        <f>AD309/AC309*100</f>
        <v>102.04051735701729</v>
      </c>
      <c r="AF309" s="31">
        <f t="shared" si="513"/>
        <v>49453.300000000047</v>
      </c>
      <c r="AG309" s="31">
        <f t="shared" si="513"/>
        <v>49211.8</v>
      </c>
      <c r="AH309" s="31">
        <f>AG309/AF309*100</f>
        <v>99.511660495861662</v>
      </c>
      <c r="AI309" s="31">
        <f t="shared" si="514"/>
        <v>128428.80000000002</v>
      </c>
      <c r="AJ309" s="31">
        <f t="shared" si="514"/>
        <v>0</v>
      </c>
      <c r="AK309" s="31">
        <f>AJ309/AI309*100</f>
        <v>0</v>
      </c>
      <c r="AL309" s="31">
        <f t="shared" si="515"/>
        <v>129708.29999999999</v>
      </c>
      <c r="AM309" s="31">
        <f t="shared" si="515"/>
        <v>0</v>
      </c>
      <c r="AN309" s="31">
        <f>AM309/AL309*100</f>
        <v>0</v>
      </c>
      <c r="AO309" s="31">
        <f t="shared" si="516"/>
        <v>259750.90000000002</v>
      </c>
      <c r="AP309" s="52">
        <f t="shared" si="516"/>
        <v>0</v>
      </c>
      <c r="AQ309" s="31">
        <f>AP309/AO309*100</f>
        <v>0</v>
      </c>
      <c r="AR309" s="24"/>
      <c r="AS309" s="24"/>
    </row>
    <row r="310" spans="1:45" ht="12.75" customHeight="1" x14ac:dyDescent="0.25">
      <c r="A310" s="111"/>
      <c r="B310" s="112"/>
      <c r="C310" s="113"/>
      <c r="D310" s="30" t="s">
        <v>43</v>
      </c>
      <c r="E310" s="31">
        <f t="shared" si="504"/>
        <v>342507.89999999997</v>
      </c>
      <c r="F310" s="31">
        <f t="shared" si="460"/>
        <v>219377.5</v>
      </c>
      <c r="G310" s="31">
        <f t="shared" ref="G310" si="517">F310/E310*100</f>
        <v>64.050347451839812</v>
      </c>
      <c r="H310" s="31">
        <f t="shared" si="505"/>
        <v>6877.5999999999995</v>
      </c>
      <c r="I310" s="31">
        <f t="shared" si="505"/>
        <v>5882.7999999999993</v>
      </c>
      <c r="J310" s="31">
        <f t="shared" ref="J310" si="518">I310/H310*100</f>
        <v>85.535651971617995</v>
      </c>
      <c r="K310" s="31">
        <f t="shared" si="506"/>
        <v>33570.1</v>
      </c>
      <c r="L310" s="31">
        <f t="shared" si="506"/>
        <v>33312.400000000001</v>
      </c>
      <c r="M310" s="31">
        <f t="shared" ref="M310" si="519">L310/K310*100</f>
        <v>99.232352599485864</v>
      </c>
      <c r="N310" s="31">
        <f t="shared" si="507"/>
        <v>24908.499999999996</v>
      </c>
      <c r="O310" s="31">
        <f t="shared" si="507"/>
        <v>23818</v>
      </c>
      <c r="P310" s="31">
        <f t="shared" ref="P310" si="520">O310/N310*100</f>
        <v>95.621976433747534</v>
      </c>
      <c r="Q310" s="31">
        <f t="shared" si="508"/>
        <v>36669.299999999996</v>
      </c>
      <c r="R310" s="31">
        <f t="shared" si="508"/>
        <v>31571.5</v>
      </c>
      <c r="S310" s="31">
        <f t="shared" ref="S310" si="521">R310/Q310*100</f>
        <v>86.097907513914919</v>
      </c>
      <c r="T310" s="31">
        <f t="shared" si="509"/>
        <v>27068.400000000001</v>
      </c>
      <c r="U310" s="31">
        <f t="shared" si="509"/>
        <v>26724.3</v>
      </c>
      <c r="V310" s="31">
        <f t="shared" ref="V310" si="522">U310/T310*100</f>
        <v>98.728775989714933</v>
      </c>
      <c r="W310" s="31">
        <f t="shared" si="510"/>
        <v>32360</v>
      </c>
      <c r="X310" s="31">
        <f t="shared" si="510"/>
        <v>27204.7</v>
      </c>
      <c r="Y310" s="31">
        <f t="shared" ref="Y310" si="523">X310/W310*100</f>
        <v>84.068912237330039</v>
      </c>
      <c r="Z310" s="31">
        <f t="shared" si="511"/>
        <v>28344.400000000001</v>
      </c>
      <c r="AA310" s="31">
        <f t="shared" si="511"/>
        <v>32831</v>
      </c>
      <c r="AB310" s="31">
        <f t="shared" ref="AB310" si="524">AA310/Z310*100</f>
        <v>115.82887625068796</v>
      </c>
      <c r="AC310" s="31">
        <f t="shared" si="512"/>
        <v>20776.000000000004</v>
      </c>
      <c r="AD310" s="31">
        <f t="shared" si="512"/>
        <v>21978.3</v>
      </c>
      <c r="AE310" s="31">
        <f t="shared" ref="AE310" si="525">AD310/AC310*100</f>
        <v>105.78696572968809</v>
      </c>
      <c r="AF310" s="31">
        <f t="shared" si="513"/>
        <v>18511.900000000001</v>
      </c>
      <c r="AG310" s="31">
        <f t="shared" si="513"/>
        <v>16054.5</v>
      </c>
      <c r="AH310" s="31">
        <f t="shared" ref="AH310" si="526">AG310/AF310*100</f>
        <v>86.725295620654819</v>
      </c>
      <c r="AI310" s="31">
        <f t="shared" si="514"/>
        <v>33961.9</v>
      </c>
      <c r="AJ310" s="31">
        <f t="shared" si="514"/>
        <v>0</v>
      </c>
      <c r="AK310" s="31">
        <f t="shared" ref="AK310" si="527">AJ310/AI310*100</f>
        <v>0</v>
      </c>
      <c r="AL310" s="31">
        <f t="shared" si="515"/>
        <v>32006.799999999996</v>
      </c>
      <c r="AM310" s="31">
        <f t="shared" si="515"/>
        <v>0</v>
      </c>
      <c r="AN310" s="31">
        <f t="shared" ref="AN310" si="528">AM310/AL310*100</f>
        <v>0</v>
      </c>
      <c r="AO310" s="31">
        <f t="shared" si="516"/>
        <v>47452.999999999993</v>
      </c>
      <c r="AP310" s="52">
        <f t="shared" si="516"/>
        <v>0</v>
      </c>
      <c r="AQ310" s="31">
        <f t="shared" ref="AQ310" si="529">AP310/AO310*100</f>
        <v>0</v>
      </c>
      <c r="AR310" s="24"/>
      <c r="AS310" s="24"/>
    </row>
    <row r="311" spans="1:45" x14ac:dyDescent="0.25">
      <c r="A311" s="111"/>
      <c r="B311" s="112"/>
      <c r="C311" s="113"/>
      <c r="D311" s="30" t="s">
        <v>21</v>
      </c>
      <c r="E311" s="31">
        <f t="shared" si="504"/>
        <v>0</v>
      </c>
      <c r="F311" s="31">
        <f t="shared" si="460"/>
        <v>0</v>
      </c>
      <c r="G311" s="31"/>
      <c r="H311" s="31">
        <f t="shared" si="505"/>
        <v>0</v>
      </c>
      <c r="I311" s="31">
        <f t="shared" si="505"/>
        <v>0</v>
      </c>
      <c r="J311" s="31"/>
      <c r="K311" s="31">
        <f t="shared" si="506"/>
        <v>0</v>
      </c>
      <c r="L311" s="31">
        <f t="shared" si="506"/>
        <v>0</v>
      </c>
      <c r="M311" s="31"/>
      <c r="N311" s="31">
        <f t="shared" si="507"/>
        <v>0</v>
      </c>
      <c r="O311" s="31">
        <f t="shared" si="507"/>
        <v>0</v>
      </c>
      <c r="P311" s="31"/>
      <c r="Q311" s="31">
        <f t="shared" si="508"/>
        <v>0</v>
      </c>
      <c r="R311" s="31">
        <f t="shared" si="508"/>
        <v>0</v>
      </c>
      <c r="S311" s="31"/>
      <c r="T311" s="31">
        <f t="shared" si="509"/>
        <v>0</v>
      </c>
      <c r="U311" s="31">
        <f t="shared" si="509"/>
        <v>0</v>
      </c>
      <c r="V311" s="31"/>
      <c r="W311" s="31">
        <f t="shared" si="510"/>
        <v>0</v>
      </c>
      <c r="X311" s="31">
        <f t="shared" si="510"/>
        <v>0</v>
      </c>
      <c r="Y311" s="31"/>
      <c r="Z311" s="31">
        <f t="shared" si="511"/>
        <v>0</v>
      </c>
      <c r="AA311" s="31">
        <f t="shared" si="511"/>
        <v>0</v>
      </c>
      <c r="AB311" s="31"/>
      <c r="AC311" s="31">
        <f t="shared" si="512"/>
        <v>0</v>
      </c>
      <c r="AD311" s="31">
        <f t="shared" si="512"/>
        <v>0</v>
      </c>
      <c r="AE311" s="31"/>
      <c r="AF311" s="31">
        <f t="shared" si="513"/>
        <v>0</v>
      </c>
      <c r="AG311" s="31">
        <f t="shared" si="513"/>
        <v>0</v>
      </c>
      <c r="AH311" s="31"/>
      <c r="AI311" s="31">
        <f t="shared" si="514"/>
        <v>0</v>
      </c>
      <c r="AJ311" s="31">
        <f t="shared" si="514"/>
        <v>0</v>
      </c>
      <c r="AK311" s="31"/>
      <c r="AL311" s="31">
        <f t="shared" si="515"/>
        <v>0</v>
      </c>
      <c r="AM311" s="31">
        <f t="shared" si="515"/>
        <v>0</v>
      </c>
      <c r="AN311" s="31"/>
      <c r="AO311" s="31">
        <f t="shared" si="516"/>
        <v>0</v>
      </c>
      <c r="AP311" s="52">
        <f t="shared" si="516"/>
        <v>0</v>
      </c>
      <c r="AQ311" s="31"/>
      <c r="AR311" s="24"/>
      <c r="AS311" s="24"/>
    </row>
    <row r="312" spans="1:45" ht="11.45" hidden="1" customHeight="1" x14ac:dyDescent="0.25">
      <c r="A312" s="114"/>
      <c r="B312" s="115"/>
      <c r="C312" s="116"/>
      <c r="D312" s="30" t="s">
        <v>119</v>
      </c>
      <c r="E312" s="31"/>
      <c r="F312" s="31">
        <f t="shared" si="460"/>
        <v>0</v>
      </c>
      <c r="G312" s="31"/>
      <c r="H312" s="31"/>
      <c r="I312" s="31"/>
      <c r="J312" s="31"/>
      <c r="K312" s="31"/>
      <c r="L312" s="31"/>
      <c r="M312" s="31"/>
      <c r="N312" s="31"/>
      <c r="O312" s="31">
        <f>O76</f>
        <v>0</v>
      </c>
      <c r="P312" s="31"/>
      <c r="Q312" s="31"/>
      <c r="R312" s="31">
        <f>R76</f>
        <v>0</v>
      </c>
      <c r="S312" s="31"/>
      <c r="T312" s="31"/>
      <c r="U312" s="31">
        <f>U76</f>
        <v>0</v>
      </c>
      <c r="V312" s="31"/>
      <c r="W312" s="31"/>
      <c r="X312" s="31">
        <f>X76</f>
        <v>0</v>
      </c>
      <c r="Y312" s="31"/>
      <c r="Z312" s="31"/>
      <c r="AA312" s="31">
        <f>AA76</f>
        <v>0</v>
      </c>
      <c r="AB312" s="31"/>
      <c r="AC312" s="31"/>
      <c r="AD312" s="31">
        <f>AD76</f>
        <v>0</v>
      </c>
      <c r="AE312" s="31"/>
      <c r="AF312" s="31"/>
      <c r="AG312" s="31">
        <f>AG76</f>
        <v>0</v>
      </c>
      <c r="AH312" s="31"/>
      <c r="AI312" s="31"/>
      <c r="AJ312" s="31">
        <f>AJ87</f>
        <v>0</v>
      </c>
      <c r="AK312" s="31"/>
      <c r="AL312" s="31"/>
      <c r="AM312" s="31">
        <f>AM87</f>
        <v>0</v>
      </c>
      <c r="AN312" s="31"/>
      <c r="AO312" s="31"/>
      <c r="AP312" s="52"/>
      <c r="AQ312" s="31"/>
      <c r="AR312" s="24"/>
      <c r="AS312" s="24"/>
    </row>
    <row r="313" spans="1:45" ht="15.75" customHeight="1" x14ac:dyDescent="0.25">
      <c r="A313" s="128" t="s">
        <v>113</v>
      </c>
      <c r="B313" s="129"/>
      <c r="C313" s="130"/>
      <c r="D313" s="30"/>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53"/>
      <c r="AQ313" s="31"/>
      <c r="AR313" s="24"/>
      <c r="AS313" s="24"/>
    </row>
    <row r="314" spans="1:45" ht="14.45" customHeight="1" x14ac:dyDescent="0.25">
      <c r="A314" s="119" t="s">
        <v>150</v>
      </c>
      <c r="B314" s="120"/>
      <c r="C314" s="121"/>
      <c r="D314" s="26" t="s">
        <v>3</v>
      </c>
      <c r="E314" s="1">
        <f>H314+K314+N314+Q314+T314+W314+Z314+AC314+AF314+AI314+AL314+AO314</f>
        <v>1902805.0000000002</v>
      </c>
      <c r="F314" s="1">
        <f t="shared" ref="F314:F335" si="530">I314+L314+O314+R314+U314+X314+AA314+AD314+AG314+AJ314+AM314+AP314</f>
        <v>1244384.6037399999</v>
      </c>
      <c r="G314" s="1">
        <f>F314/E314*100</f>
        <v>65.397379328938058</v>
      </c>
      <c r="H314" s="1">
        <f>H315+H316+H317+H318</f>
        <v>40088.399999999994</v>
      </c>
      <c r="I314" s="1">
        <f>I315+I316+I317+I318</f>
        <v>39826.100000000006</v>
      </c>
      <c r="J314" s="1">
        <f>I314/H314*100</f>
        <v>99.345696011813928</v>
      </c>
      <c r="K314" s="1">
        <f>K315+K316+K317+K318</f>
        <v>152646.70000000001</v>
      </c>
      <c r="L314" s="1">
        <f>L315+L316+L317+L318</f>
        <v>152294.9</v>
      </c>
      <c r="M314" s="1">
        <f>L314/K314*100</f>
        <v>99.769533176937315</v>
      </c>
      <c r="N314" s="1">
        <f>N315+N316+N317+N318</f>
        <v>137259.4</v>
      </c>
      <c r="O314" s="1">
        <f>O315+O316+O317+O318</f>
        <v>135873</v>
      </c>
      <c r="P314" s="1">
        <f>O314/N314*100</f>
        <v>98.9899416724829</v>
      </c>
      <c r="Q314" s="1">
        <f>Q315+Q316+Q317+Q318</f>
        <v>164412.80000000002</v>
      </c>
      <c r="R314" s="1">
        <f>R315+R316+R317+R318</f>
        <v>154757.00024000002</v>
      </c>
      <c r="S314" s="1">
        <f>R314/Q314*100</f>
        <v>94.127099739193056</v>
      </c>
      <c r="T314" s="1">
        <f>T315+T316+T317+T318</f>
        <v>212090.79999999996</v>
      </c>
      <c r="U314" s="1">
        <f>U315+U316+U317+U318</f>
        <v>210166.5</v>
      </c>
      <c r="V314" s="1">
        <f>U314/T314*100</f>
        <v>99.092699919091274</v>
      </c>
      <c r="W314" s="1">
        <f>W315+W316+W317+W318</f>
        <v>252800.00000000003</v>
      </c>
      <c r="X314" s="1">
        <f>X315+X316+X317+X318</f>
        <v>246635.30350000004</v>
      </c>
      <c r="Y314" s="1">
        <f>X314/W314*100</f>
        <v>97.561433346518982</v>
      </c>
      <c r="Z314" s="1">
        <f>Z315+Z316+Z317+Z318</f>
        <v>154512.50000000003</v>
      </c>
      <c r="AA314" s="1">
        <f>AA315+AA316+AA317+AA318</f>
        <v>159254</v>
      </c>
      <c r="AB314" s="1">
        <f>AA314/Z314*100</f>
        <v>103.06868376344953</v>
      </c>
      <c r="AC314" s="1">
        <f>AC315+AC316+AC317+AC318</f>
        <v>76995.3</v>
      </c>
      <c r="AD314" s="1">
        <f>AD315+AD316+AD317+AD318</f>
        <v>78104.600000000006</v>
      </c>
      <c r="AE314" s="1">
        <f>AD314/AC314*100</f>
        <v>101.44073729175678</v>
      </c>
      <c r="AF314" s="1">
        <f>AF315+AF316+AF317+AF318</f>
        <v>70640.800000000047</v>
      </c>
      <c r="AG314" s="1">
        <f>AG315+AG316+AG317+AG318</f>
        <v>67473.200000000012</v>
      </c>
      <c r="AH314" s="1">
        <f>AG314/AF314*100</f>
        <v>95.515905822131074</v>
      </c>
      <c r="AI314" s="1">
        <f>AI315+AI316+AI317+AI318</f>
        <v>165248.10000000003</v>
      </c>
      <c r="AJ314" s="1">
        <f>AJ315+AJ316+AJ317+AJ318</f>
        <v>0</v>
      </c>
      <c r="AK314" s="1">
        <f>AJ314/AI314*100</f>
        <v>0</v>
      </c>
      <c r="AL314" s="1">
        <f>AL315+AL316+AL317+AL318</f>
        <v>164702.9</v>
      </c>
      <c r="AM314" s="1">
        <f>AM315+AM316+AM317+AM318</f>
        <v>0</v>
      </c>
      <c r="AN314" s="1">
        <f>AM314/AL314*100</f>
        <v>0</v>
      </c>
      <c r="AO314" s="1">
        <f>AO315+AO316+AO317+AO318</f>
        <v>311407.30000000005</v>
      </c>
      <c r="AP314" s="53"/>
      <c r="AQ314" s="1">
        <f>AP314/AO314*100</f>
        <v>0</v>
      </c>
      <c r="AR314" s="24"/>
      <c r="AS314" s="24"/>
    </row>
    <row r="315" spans="1:45" x14ac:dyDescent="0.25">
      <c r="A315" s="122"/>
      <c r="B315" s="123"/>
      <c r="C315" s="124"/>
      <c r="D315" s="26" t="s">
        <v>20</v>
      </c>
      <c r="E315" s="1">
        <f t="shared" ref="E315:E318" si="531">H315+K315+N315+Q315+T315+W315+Z315+AC315+AF315+AI315+AL315+AO315</f>
        <v>50617.299999999988</v>
      </c>
      <c r="F315" s="1">
        <f>I315+L315+O315+R315+U315+X315+AA315+AD315+AG315+AJ315+AM315+AP315</f>
        <v>31786.7</v>
      </c>
      <c r="G315" s="1">
        <f>F315/E315*100</f>
        <v>62.798094722555355</v>
      </c>
      <c r="H315" s="1">
        <f>H296-H321-H327-H332</f>
        <v>2851.5</v>
      </c>
      <c r="I315" s="1">
        <f>I296-I321-I327-I332</f>
        <v>2724.6</v>
      </c>
      <c r="J315" s="1">
        <f t="shared" ref="J315:AM317" si="532">J296-J321-J327</f>
        <v>95.549710678590216</v>
      </c>
      <c r="K315" s="1">
        <f>K296-K321-K327-K332</f>
        <v>4118.7999999999993</v>
      </c>
      <c r="L315" s="1">
        <f t="shared" si="532"/>
        <v>3909.8</v>
      </c>
      <c r="M315" s="1">
        <f t="shared" si="532"/>
        <v>94.925706516461133</v>
      </c>
      <c r="N315" s="1">
        <f>N296-N321-N327-N332</f>
        <v>3793.7999999999997</v>
      </c>
      <c r="O315" s="1">
        <f t="shared" si="532"/>
        <v>3713</v>
      </c>
      <c r="P315" s="1">
        <f t="shared" si="532"/>
        <v>97.870209288839689</v>
      </c>
      <c r="Q315" s="1">
        <f>Q296-Q321-Q327-Q332</f>
        <v>4744.5</v>
      </c>
      <c r="R315" s="1">
        <f t="shared" si="532"/>
        <v>4133.8999999999996</v>
      </c>
      <c r="S315" s="1">
        <f>R315/Q315*100</f>
        <v>87.130361471177139</v>
      </c>
      <c r="T315" s="1">
        <f>T296-T321-T327-T332</f>
        <v>6954.7</v>
      </c>
      <c r="U315" s="1">
        <f t="shared" si="532"/>
        <v>5867.5</v>
      </c>
      <c r="V315" s="1">
        <f>U315/T315*100</f>
        <v>84.367406214502424</v>
      </c>
      <c r="W315" s="1">
        <f>W296-W321-W327-W332</f>
        <v>7137.3</v>
      </c>
      <c r="X315" s="1">
        <f t="shared" si="532"/>
        <v>7955.7</v>
      </c>
      <c r="Y315" s="1">
        <f>X315/W315*100</f>
        <v>111.46652095330167</v>
      </c>
      <c r="Z315" s="1">
        <f>Z296-Z321-Z327-Z332</f>
        <v>43.600000000000364</v>
      </c>
      <c r="AA315" s="1">
        <f t="shared" ref="AA315:AA318" si="533">AA296-AA321-AA327</f>
        <v>45</v>
      </c>
      <c r="AB315" s="1">
        <f t="shared" ref="AB315:AB317" si="534">AA315/Z315*100</f>
        <v>103.21100917431107</v>
      </c>
      <c r="AC315" s="1">
        <f>AC296-AC321-AC327-AC332</f>
        <v>894.4</v>
      </c>
      <c r="AD315" s="1">
        <f t="shared" si="532"/>
        <v>676.80000000000007</v>
      </c>
      <c r="AE315" s="1">
        <f t="shared" ref="AE315:AE317" si="535">AD315/AC315*100</f>
        <v>75.670840787119857</v>
      </c>
      <c r="AF315" s="1">
        <f>AF296-AF321-AF327-AF332</f>
        <v>2942.7</v>
      </c>
      <c r="AG315" s="1">
        <f t="shared" si="532"/>
        <v>2760.4</v>
      </c>
      <c r="AH315" s="1">
        <f t="shared" si="532"/>
        <v>640.33826011352721</v>
      </c>
      <c r="AI315" s="1">
        <f>AI296-AI321-AI327-AI332</f>
        <v>4910.2</v>
      </c>
      <c r="AJ315" s="1">
        <f t="shared" si="532"/>
        <v>0</v>
      </c>
      <c r="AK315" s="1">
        <f t="shared" si="532"/>
        <v>0</v>
      </c>
      <c r="AL315" s="1">
        <f>AL296-AL321-AL327-AL332</f>
        <v>4822.2</v>
      </c>
      <c r="AM315" s="1">
        <f t="shared" si="532"/>
        <v>0</v>
      </c>
      <c r="AN315" s="1">
        <f>AM315/AL315*100</f>
        <v>0</v>
      </c>
      <c r="AO315" s="1">
        <f>AO296-AO321-AO327-AO332</f>
        <v>7403.6</v>
      </c>
      <c r="AP315" s="52"/>
      <c r="AQ315" s="1">
        <f>AP315/AO315*100</f>
        <v>0</v>
      </c>
      <c r="AR315" s="24"/>
      <c r="AS315" s="24"/>
    </row>
    <row r="316" spans="1:45" ht="12" customHeight="1" x14ac:dyDescent="0.25">
      <c r="A316" s="122"/>
      <c r="B316" s="123"/>
      <c r="C316" s="124"/>
      <c r="D316" s="26" t="s">
        <v>4</v>
      </c>
      <c r="E316" s="1">
        <f t="shared" si="531"/>
        <v>1527761.7</v>
      </c>
      <c r="F316" s="1">
        <f t="shared" si="530"/>
        <v>1004397.80374</v>
      </c>
      <c r="G316" s="1">
        <f>F316/E316*100</f>
        <v>65.743093555755465</v>
      </c>
      <c r="H316" s="1">
        <f t="shared" ref="H316:I318" si="536">H297-H322-H328-H333</f>
        <v>31531.599999999999</v>
      </c>
      <c r="I316" s="1">
        <f t="shared" si="536"/>
        <v>31518.7</v>
      </c>
      <c r="J316" s="1">
        <f t="shared" si="532"/>
        <v>99.930927410411584</v>
      </c>
      <c r="K316" s="1">
        <f t="shared" ref="K316:K317" si="537">K297-K322-K328-K333</f>
        <v>115872.1</v>
      </c>
      <c r="L316" s="1">
        <f t="shared" si="532"/>
        <v>115775</v>
      </c>
      <c r="M316" s="1">
        <f t="shared" si="532"/>
        <v>99.842786956922936</v>
      </c>
      <c r="N316" s="1">
        <f t="shared" ref="N316:N317" si="538">N297-N322-N328-N333</f>
        <v>109652.79999999999</v>
      </c>
      <c r="O316" s="1">
        <f t="shared" si="532"/>
        <v>108928.2</v>
      </c>
      <c r="P316" s="1">
        <f t="shared" si="532"/>
        <v>99.269025966392149</v>
      </c>
      <c r="Q316" s="1">
        <f t="shared" ref="Q316:Q317" si="539">Q297-Q322-Q328-Q333</f>
        <v>124490.00000000003</v>
      </c>
      <c r="R316" s="1">
        <f t="shared" si="532"/>
        <v>120183.80024000003</v>
      </c>
      <c r="S316" s="1">
        <f>R316/Q316*100</f>
        <v>96.540927174873474</v>
      </c>
      <c r="T316" s="1">
        <f t="shared" ref="T316:T317" si="540">T297-T322-T328-T333</f>
        <v>179389.19999999995</v>
      </c>
      <c r="U316" s="1">
        <f t="shared" si="532"/>
        <v>178452.8</v>
      </c>
      <c r="V316" s="1">
        <f>U316/T316*100</f>
        <v>99.478006479765796</v>
      </c>
      <c r="W316" s="1">
        <f t="shared" ref="W316:W317" si="541">W297-W322-W328-W333</f>
        <v>216003.20000000004</v>
      </c>
      <c r="X316" s="1">
        <f t="shared" si="532"/>
        <v>213865.10350000003</v>
      </c>
      <c r="Y316" s="1">
        <f>X316/W316*100</f>
        <v>99.010155173627041</v>
      </c>
      <c r="Z316" s="1">
        <f t="shared" ref="Z316:Z317" si="542">Z297-Z322-Z328-Z333</f>
        <v>127510.50000000001</v>
      </c>
      <c r="AA316" s="1">
        <f t="shared" si="533"/>
        <v>128649.09999999999</v>
      </c>
      <c r="AB316" s="1">
        <f t="shared" si="534"/>
        <v>100.89294607110786</v>
      </c>
      <c r="AC316" s="1">
        <f t="shared" ref="AC316:AC317" si="543">AC297-AC322-AC328-AC333</f>
        <v>56522.1</v>
      </c>
      <c r="AD316" s="1">
        <f t="shared" si="532"/>
        <v>57813.3</v>
      </c>
      <c r="AE316" s="1">
        <f t="shared" si="535"/>
        <v>102.28441618411206</v>
      </c>
      <c r="AF316" s="1">
        <f t="shared" ref="AF316:AF317" si="544">AF297-AF322-AF328-AF333</f>
        <v>49333.000000000044</v>
      </c>
      <c r="AG316" s="1">
        <f t="shared" si="532"/>
        <v>49211.8</v>
      </c>
      <c r="AH316" s="1">
        <f t="shared" si="532"/>
        <v>8.3763981784000325</v>
      </c>
      <c r="AI316" s="1">
        <f t="shared" ref="AI316:AI317" si="545">AI297-AI322-AI328-AI333</f>
        <v>128258.80000000002</v>
      </c>
      <c r="AJ316" s="1">
        <f t="shared" si="532"/>
        <v>0</v>
      </c>
      <c r="AK316" s="1">
        <f t="shared" si="532"/>
        <v>0</v>
      </c>
      <c r="AL316" s="1">
        <f t="shared" ref="AL316:AL317" si="546">AL297-AL322-AL328-AL333</f>
        <v>129557.4</v>
      </c>
      <c r="AM316" s="1">
        <f t="shared" si="532"/>
        <v>0</v>
      </c>
      <c r="AN316" s="1">
        <f>AM316/AL316*100</f>
        <v>0</v>
      </c>
      <c r="AO316" s="1">
        <f t="shared" ref="AO316:AO317" si="547">AO297-AO322-AO328-AO333</f>
        <v>259641.00000000003</v>
      </c>
      <c r="AP316" s="52"/>
      <c r="AQ316" s="1">
        <f>AP316/AO316*100</f>
        <v>0</v>
      </c>
      <c r="AR316" s="24"/>
      <c r="AS316" s="24"/>
    </row>
    <row r="317" spans="1:45" ht="12.75" customHeight="1" x14ac:dyDescent="0.25">
      <c r="A317" s="122"/>
      <c r="B317" s="123"/>
      <c r="C317" s="124"/>
      <c r="D317" s="26" t="s">
        <v>43</v>
      </c>
      <c r="E317" s="1">
        <f t="shared" si="531"/>
        <v>324426</v>
      </c>
      <c r="F317" s="1">
        <f t="shared" si="530"/>
        <v>208200.1</v>
      </c>
      <c r="G317" s="1">
        <f t="shared" ref="G317" si="548">F317/E317*100</f>
        <v>64.174911998421834</v>
      </c>
      <c r="H317" s="1">
        <f t="shared" si="536"/>
        <v>5705.2999999999993</v>
      </c>
      <c r="I317" s="1">
        <f t="shared" si="536"/>
        <v>5582.7999999999993</v>
      </c>
      <c r="J317" s="1">
        <f t="shared" si="532"/>
        <v>59.944932872411307</v>
      </c>
      <c r="K317" s="1">
        <f t="shared" si="537"/>
        <v>32655.8</v>
      </c>
      <c r="L317" s="1">
        <f t="shared" si="532"/>
        <v>32610.100000000002</v>
      </c>
      <c r="M317" s="1">
        <f t="shared" si="532"/>
        <v>22.419490300459287</v>
      </c>
      <c r="N317" s="1">
        <f t="shared" si="538"/>
        <v>23812.799999999996</v>
      </c>
      <c r="O317" s="1">
        <f t="shared" si="532"/>
        <v>23231.8</v>
      </c>
      <c r="P317" s="1">
        <f t="shared" si="532"/>
        <v>465.64303370412313</v>
      </c>
      <c r="Q317" s="1">
        <f t="shared" si="539"/>
        <v>35178.299999999996</v>
      </c>
      <c r="R317" s="1">
        <f t="shared" si="532"/>
        <v>30439.3</v>
      </c>
      <c r="S317" s="1">
        <f t="shared" ref="S317" si="549">R317/Q317*100</f>
        <v>86.528627022909021</v>
      </c>
      <c r="T317" s="1">
        <f t="shared" si="540"/>
        <v>25746.9</v>
      </c>
      <c r="U317" s="1">
        <f t="shared" si="532"/>
        <v>25846.2</v>
      </c>
      <c r="V317" s="1">
        <f t="shared" ref="V317" si="550">U317/T317*100</f>
        <v>100.38567749903871</v>
      </c>
      <c r="W317" s="1">
        <f t="shared" si="541"/>
        <v>29659.5</v>
      </c>
      <c r="X317" s="1">
        <f t="shared" si="532"/>
        <v>24814.5</v>
      </c>
      <c r="Y317" s="1">
        <f t="shared" ref="Y317" si="551">X317/W317*100</f>
        <v>83.664593132048751</v>
      </c>
      <c r="Z317" s="1">
        <f t="shared" si="542"/>
        <v>26958.400000000001</v>
      </c>
      <c r="AA317" s="1">
        <f t="shared" si="533"/>
        <v>30559.9</v>
      </c>
      <c r="AB317" s="1">
        <f t="shared" si="534"/>
        <v>113.35947237224761</v>
      </c>
      <c r="AC317" s="1">
        <f t="shared" si="543"/>
        <v>19578.800000000003</v>
      </c>
      <c r="AD317" s="1">
        <f t="shared" si="532"/>
        <v>19614.5</v>
      </c>
      <c r="AE317" s="1">
        <f t="shared" si="535"/>
        <v>100.18234008212963</v>
      </c>
      <c r="AF317" s="1">
        <f t="shared" si="544"/>
        <v>18365.100000000002</v>
      </c>
      <c r="AG317" s="1">
        <f t="shared" si="532"/>
        <v>15501</v>
      </c>
      <c r="AH317" s="1">
        <f t="shared" si="532"/>
        <v>254.918265204882</v>
      </c>
      <c r="AI317" s="1">
        <f t="shared" si="545"/>
        <v>32079.100000000002</v>
      </c>
      <c r="AJ317" s="1">
        <f t="shared" si="532"/>
        <v>0</v>
      </c>
      <c r="AK317" s="1">
        <f t="shared" si="532"/>
        <v>-250.6</v>
      </c>
      <c r="AL317" s="1">
        <f t="shared" si="546"/>
        <v>30323.299999999996</v>
      </c>
      <c r="AM317" s="1">
        <f t="shared" si="532"/>
        <v>0</v>
      </c>
      <c r="AN317" s="1">
        <f t="shared" ref="AN317" si="552">AM317/AL317*100</f>
        <v>0</v>
      </c>
      <c r="AO317" s="1">
        <f t="shared" si="547"/>
        <v>44362.69999999999</v>
      </c>
      <c r="AP317" s="52"/>
      <c r="AQ317" s="1">
        <f t="shared" ref="AQ317" si="553">AP317/AO317*100</f>
        <v>0</v>
      </c>
      <c r="AR317" s="24"/>
      <c r="AS317" s="24"/>
    </row>
    <row r="318" spans="1:45" x14ac:dyDescent="0.25">
      <c r="A318" s="122"/>
      <c r="B318" s="123"/>
      <c r="C318" s="124"/>
      <c r="D318" s="26" t="s">
        <v>21</v>
      </c>
      <c r="E318" s="1">
        <f t="shared" si="531"/>
        <v>0</v>
      </c>
      <c r="F318" s="1">
        <f t="shared" si="530"/>
        <v>0</v>
      </c>
      <c r="G318" s="1"/>
      <c r="H318" s="1">
        <f t="shared" si="536"/>
        <v>0</v>
      </c>
      <c r="I318" s="1">
        <f t="shared" ref="I318:AO318" si="554">I299-I324-I330</f>
        <v>0</v>
      </c>
      <c r="J318" s="1">
        <f t="shared" si="554"/>
        <v>0</v>
      </c>
      <c r="K318" s="1">
        <f t="shared" si="554"/>
        <v>0</v>
      </c>
      <c r="L318" s="1">
        <f t="shared" si="554"/>
        <v>0</v>
      </c>
      <c r="M318" s="1">
        <f t="shared" si="554"/>
        <v>0</v>
      </c>
      <c r="N318" s="1">
        <f t="shared" si="554"/>
        <v>0</v>
      </c>
      <c r="O318" s="1">
        <f t="shared" si="554"/>
        <v>0</v>
      </c>
      <c r="P318" s="1">
        <f t="shared" si="554"/>
        <v>0</v>
      </c>
      <c r="Q318" s="1">
        <f t="shared" si="554"/>
        <v>0</v>
      </c>
      <c r="R318" s="1">
        <f t="shared" si="554"/>
        <v>0</v>
      </c>
      <c r="S318" s="1">
        <f t="shared" si="554"/>
        <v>0</v>
      </c>
      <c r="T318" s="1">
        <f t="shared" si="554"/>
        <v>0</v>
      </c>
      <c r="U318" s="1">
        <f t="shared" si="554"/>
        <v>0</v>
      </c>
      <c r="V318" s="1">
        <f t="shared" si="554"/>
        <v>0</v>
      </c>
      <c r="W318" s="1">
        <f t="shared" si="554"/>
        <v>0</v>
      </c>
      <c r="X318" s="1">
        <f t="shared" si="554"/>
        <v>0</v>
      </c>
      <c r="Y318" s="1">
        <f t="shared" si="554"/>
        <v>0</v>
      </c>
      <c r="Z318" s="1">
        <f t="shared" si="554"/>
        <v>0</v>
      </c>
      <c r="AA318" s="1">
        <f t="shared" si="533"/>
        <v>0</v>
      </c>
      <c r="AB318" s="1">
        <f t="shared" si="554"/>
        <v>0</v>
      </c>
      <c r="AC318" s="1">
        <f t="shared" si="554"/>
        <v>0</v>
      </c>
      <c r="AD318" s="1">
        <f t="shared" si="554"/>
        <v>0</v>
      </c>
      <c r="AE318" s="1">
        <f t="shared" si="554"/>
        <v>0</v>
      </c>
      <c r="AF318" s="1">
        <f t="shared" si="554"/>
        <v>0</v>
      </c>
      <c r="AG318" s="1">
        <f t="shared" si="554"/>
        <v>0</v>
      </c>
      <c r="AH318" s="1">
        <f t="shared" si="554"/>
        <v>0</v>
      </c>
      <c r="AI318" s="1">
        <f t="shared" si="554"/>
        <v>0</v>
      </c>
      <c r="AJ318" s="1">
        <f t="shared" si="554"/>
        <v>0</v>
      </c>
      <c r="AK318" s="1">
        <f t="shared" si="554"/>
        <v>0</v>
      </c>
      <c r="AL318" s="1">
        <f t="shared" si="554"/>
        <v>0</v>
      </c>
      <c r="AM318" s="1">
        <f t="shared" si="554"/>
        <v>0</v>
      </c>
      <c r="AN318" s="1"/>
      <c r="AO318" s="1">
        <f t="shared" si="554"/>
        <v>0</v>
      </c>
      <c r="AP318" s="52"/>
      <c r="AQ318" s="1"/>
      <c r="AR318" s="24"/>
      <c r="AS318" s="24"/>
    </row>
    <row r="319" spans="1:45" ht="15" hidden="1" customHeight="1" x14ac:dyDescent="0.25">
      <c r="A319" s="125"/>
      <c r="B319" s="126"/>
      <c r="C319" s="127"/>
      <c r="D319" s="26" t="s">
        <v>119</v>
      </c>
      <c r="E319" s="1"/>
      <c r="F319" s="1">
        <f t="shared" si="530"/>
        <v>0</v>
      </c>
      <c r="G319" s="1"/>
      <c r="H319" s="1"/>
      <c r="I319" s="1"/>
      <c r="J319" s="1"/>
      <c r="K319" s="1"/>
      <c r="L319" s="1"/>
      <c r="M319" s="1"/>
      <c r="N319" s="1"/>
      <c r="O319" s="1">
        <f>O76</f>
        <v>0</v>
      </c>
      <c r="P319" s="1"/>
      <c r="Q319" s="1"/>
      <c r="R319" s="1">
        <f>R76</f>
        <v>0</v>
      </c>
      <c r="S319" s="1"/>
      <c r="T319" s="1"/>
      <c r="U319" s="1">
        <f>U76</f>
        <v>0</v>
      </c>
      <c r="V319" s="1"/>
      <c r="W319" s="1"/>
      <c r="X319" s="1">
        <f>X76</f>
        <v>0</v>
      </c>
      <c r="Y319" s="1"/>
      <c r="Z319" s="1"/>
      <c r="AA319" s="1">
        <f>AA76</f>
        <v>0</v>
      </c>
      <c r="AB319" s="1"/>
      <c r="AC319" s="1"/>
      <c r="AD319" s="1">
        <f>AD76</f>
        <v>0</v>
      </c>
      <c r="AE319" s="1"/>
      <c r="AF319" s="1"/>
      <c r="AG319" s="1">
        <f>AG76</f>
        <v>0</v>
      </c>
      <c r="AH319" s="1"/>
      <c r="AI319" s="1"/>
      <c r="AJ319" s="1">
        <f>AJ87</f>
        <v>0</v>
      </c>
      <c r="AK319" s="1"/>
      <c r="AL319" s="1"/>
      <c r="AM319" s="1">
        <f>AM76</f>
        <v>0</v>
      </c>
      <c r="AN319" s="1"/>
      <c r="AO319" s="1"/>
      <c r="AP319" s="52"/>
      <c r="AQ319" s="1"/>
      <c r="AR319" s="24"/>
      <c r="AS319" s="24"/>
    </row>
    <row r="320" spans="1:45" ht="15.75" customHeight="1" x14ac:dyDescent="0.25">
      <c r="A320" s="119" t="s">
        <v>114</v>
      </c>
      <c r="B320" s="120"/>
      <c r="C320" s="121"/>
      <c r="D320" s="26" t="s">
        <v>3</v>
      </c>
      <c r="E320" s="1">
        <f>H320+K320+N320+Q320+T320+W320+Z320+AC320+AF320+AI320+AL320+AO320</f>
        <v>844504.20000000007</v>
      </c>
      <c r="F320" s="1">
        <f t="shared" si="530"/>
        <v>38695.699999999997</v>
      </c>
      <c r="G320" s="1">
        <f>F320/E320*100</f>
        <v>4.5820612851895817</v>
      </c>
      <c r="H320" s="1">
        <f>H321+H322+H323+H324</f>
        <v>0</v>
      </c>
      <c r="I320" s="1">
        <f>I321+I322+I323+I324</f>
        <v>0</v>
      </c>
      <c r="J320" s="1"/>
      <c r="K320" s="1">
        <f>K321+K322+K323+K324</f>
        <v>0</v>
      </c>
      <c r="L320" s="1">
        <f>L321+L322+L323+L324</f>
        <v>0</v>
      </c>
      <c r="M320" s="1"/>
      <c r="N320" s="1">
        <f>N321+N322+N323+N324</f>
        <v>0</v>
      </c>
      <c r="O320" s="1">
        <f>O321+O322+O323+O324</f>
        <v>0</v>
      </c>
      <c r="P320" s="1"/>
      <c r="Q320" s="1">
        <f>Q321+Q322+Q323+Q324</f>
        <v>0</v>
      </c>
      <c r="R320" s="1">
        <f>R321+R322+R323+R324</f>
        <v>0</v>
      </c>
      <c r="S320" s="1"/>
      <c r="T320" s="1">
        <f>T321+T322+T323+T324</f>
        <v>320</v>
      </c>
      <c r="U320" s="1">
        <f>U321+U322+U323+U324</f>
        <v>320</v>
      </c>
      <c r="V320" s="1">
        <f>U320/T320*100</f>
        <v>100</v>
      </c>
      <c r="W320" s="1">
        <f>W321+W322+W323+W324</f>
        <v>625</v>
      </c>
      <c r="X320" s="1">
        <f>X321+X322+X323+X324</f>
        <v>625</v>
      </c>
      <c r="Y320" s="1">
        <f>X320/W320*100</f>
        <v>100</v>
      </c>
      <c r="Z320" s="1">
        <f>Z321+Z322+Z323+Z324</f>
        <v>58539.4</v>
      </c>
      <c r="AA320" s="1">
        <f>AA321+AA322+AA323+AA324</f>
        <v>37750.699999999997</v>
      </c>
      <c r="AB320" s="1">
        <f>AA320/Z320*100</f>
        <v>64.487678384131016</v>
      </c>
      <c r="AC320" s="1">
        <f>AC321+AC322+AC323+AC324</f>
        <v>0</v>
      </c>
      <c r="AD320" s="1">
        <f>AD321+AD322+AD323+AD324</f>
        <v>0</v>
      </c>
      <c r="AE320" s="1"/>
      <c r="AF320" s="1">
        <f>AF321+AF322+AF323+AF324</f>
        <v>581116.6</v>
      </c>
      <c r="AG320" s="1">
        <f>AG321+AG322+AG323+AG324</f>
        <v>0</v>
      </c>
      <c r="AH320" s="1"/>
      <c r="AI320" s="1">
        <f>AI321+AI322+AI323+AI324</f>
        <v>83615</v>
      </c>
      <c r="AJ320" s="1">
        <f>AJ321+AJ322+AJ323+AJ324</f>
        <v>0</v>
      </c>
      <c r="AK320" s="1">
        <f>AJ320/AI320*100</f>
        <v>0</v>
      </c>
      <c r="AL320" s="1">
        <f>AL321+AL322+AL323+AL324</f>
        <v>58540.6</v>
      </c>
      <c r="AM320" s="1">
        <f>AM321+AM322+AM323+AM324</f>
        <v>0</v>
      </c>
      <c r="AN320" s="1">
        <f>AM320/AL320*100</f>
        <v>0</v>
      </c>
      <c r="AO320" s="1">
        <f>AO321+AO322+AO323+AO324</f>
        <v>61747.600000000115</v>
      </c>
      <c r="AP320" s="53"/>
      <c r="AQ320" s="1"/>
      <c r="AR320" s="24"/>
      <c r="AS320" s="24"/>
    </row>
    <row r="321" spans="1:45" ht="46.5" customHeight="1" x14ac:dyDescent="0.25">
      <c r="A321" s="122"/>
      <c r="B321" s="123"/>
      <c r="C321" s="124"/>
      <c r="D321" s="26" t="s">
        <v>20</v>
      </c>
      <c r="E321" s="1">
        <f t="shared" ref="E321:E324" si="555">H321+K321+N321+Q321+T321+W321+Z321+AC321+AF321+AI321+AL321+AO321</f>
        <v>13344.8</v>
      </c>
      <c r="F321" s="1">
        <f t="shared" si="530"/>
        <v>13250.5</v>
      </c>
      <c r="G321" s="1">
        <f t="shared" ref="G321:G323" si="556">F321/E321*100</f>
        <v>99.293357712367367</v>
      </c>
      <c r="H321" s="1">
        <f>H52+H46</f>
        <v>0</v>
      </c>
      <c r="I321" s="1">
        <f>I52+I46</f>
        <v>0</v>
      </c>
      <c r="J321" s="1"/>
      <c r="K321" s="1">
        <f>K52+K46</f>
        <v>0</v>
      </c>
      <c r="L321" s="1">
        <f>L52+L46</f>
        <v>0</v>
      </c>
      <c r="M321" s="1"/>
      <c r="N321" s="1">
        <f>N52+N46</f>
        <v>0</v>
      </c>
      <c r="O321" s="1">
        <f>O52+O46</f>
        <v>0</v>
      </c>
      <c r="P321" s="1"/>
      <c r="Q321" s="1">
        <f>Q52+Q46</f>
        <v>0</v>
      </c>
      <c r="R321" s="1">
        <f>R52+R46</f>
        <v>0</v>
      </c>
      <c r="S321" s="1"/>
      <c r="T321" s="1">
        <f>T52+T46</f>
        <v>0</v>
      </c>
      <c r="U321" s="1">
        <f>U52+U46</f>
        <v>0</v>
      </c>
      <c r="V321" s="1"/>
      <c r="W321" s="1">
        <f>W52+W46</f>
        <v>0</v>
      </c>
      <c r="X321" s="1">
        <f>X52+X46</f>
        <v>0</v>
      </c>
      <c r="Y321" s="1"/>
      <c r="Z321" s="1">
        <f>Z52+Z46</f>
        <v>13344.8</v>
      </c>
      <c r="AA321" s="1">
        <f>AA52+AA46</f>
        <v>13250.5</v>
      </c>
      <c r="AB321" s="1">
        <f t="shared" ref="AB321:AB323" si="557">AA321/Z321*100</f>
        <v>99.293357712367367</v>
      </c>
      <c r="AC321" s="1">
        <f>AC52+AC46</f>
        <v>0</v>
      </c>
      <c r="AD321" s="1">
        <f>AD52+AD46</f>
        <v>0</v>
      </c>
      <c r="AE321" s="1"/>
      <c r="AF321" s="1">
        <f>AF52+AF46</f>
        <v>0</v>
      </c>
      <c r="AG321" s="1"/>
      <c r="AH321" s="1"/>
      <c r="AI321" s="1">
        <f>AI52+AI46</f>
        <v>0</v>
      </c>
      <c r="AJ321" s="1"/>
      <c r="AK321" s="1"/>
      <c r="AL321" s="1">
        <f>AL52+AL46</f>
        <v>0</v>
      </c>
      <c r="AM321" s="1"/>
      <c r="AN321" s="1"/>
      <c r="AO321" s="1">
        <f>AO52+AO46</f>
        <v>0</v>
      </c>
      <c r="AP321" s="53"/>
      <c r="AQ321" s="1"/>
      <c r="AR321" s="95" t="s">
        <v>225</v>
      </c>
      <c r="AS321" s="98" t="s">
        <v>223</v>
      </c>
    </row>
    <row r="322" spans="1:45" ht="46.5" customHeight="1" x14ac:dyDescent="0.25">
      <c r="A322" s="122"/>
      <c r="B322" s="123"/>
      <c r="C322" s="124"/>
      <c r="D322" s="26" t="s">
        <v>4</v>
      </c>
      <c r="E322" s="1">
        <f t="shared" si="555"/>
        <v>735449.4</v>
      </c>
      <c r="F322" s="1">
        <f t="shared" si="530"/>
        <v>20725.099999999999</v>
      </c>
      <c r="G322" s="1">
        <f t="shared" si="556"/>
        <v>2.8180184795854069</v>
      </c>
      <c r="H322" s="1">
        <f t="shared" ref="H322:I324" si="558">H53+H47</f>
        <v>0</v>
      </c>
      <c r="I322" s="1">
        <f t="shared" si="558"/>
        <v>0</v>
      </c>
      <c r="J322" s="1">
        <f t="shared" ref="J322:J323" si="559">J47+J68</f>
        <v>0</v>
      </c>
      <c r="K322" s="1">
        <f t="shared" ref="K322:L324" si="560">K53+K47</f>
        <v>0</v>
      </c>
      <c r="L322" s="1">
        <f t="shared" si="560"/>
        <v>0</v>
      </c>
      <c r="M322" s="1"/>
      <c r="N322" s="1">
        <f t="shared" ref="N322:O324" si="561">N53+N47</f>
        <v>0</v>
      </c>
      <c r="O322" s="1">
        <f t="shared" si="561"/>
        <v>0</v>
      </c>
      <c r="P322" s="1"/>
      <c r="Q322" s="1">
        <f t="shared" ref="Q322:R324" si="562">Q53+Q47</f>
        <v>0</v>
      </c>
      <c r="R322" s="1">
        <f t="shared" si="562"/>
        <v>0</v>
      </c>
      <c r="S322" s="1"/>
      <c r="T322" s="1">
        <f t="shared" ref="T322:U324" si="563">T53+T47</f>
        <v>0</v>
      </c>
      <c r="U322" s="1">
        <f t="shared" si="563"/>
        <v>0</v>
      </c>
      <c r="V322" s="1"/>
      <c r="W322" s="1">
        <f t="shared" ref="W322:X324" si="564">W53+W47</f>
        <v>0</v>
      </c>
      <c r="X322" s="1">
        <f t="shared" si="564"/>
        <v>0</v>
      </c>
      <c r="Y322" s="1"/>
      <c r="Z322" s="1">
        <f t="shared" ref="Z322:AA324" si="565">Z53+Z47</f>
        <v>39340.699999999997</v>
      </c>
      <c r="AA322" s="1">
        <f t="shared" si="565"/>
        <v>20725.099999999999</v>
      </c>
      <c r="AB322" s="1">
        <f t="shared" si="557"/>
        <v>52.681065664820402</v>
      </c>
      <c r="AC322" s="1">
        <f t="shared" ref="AC322:AD324" si="566">AC53+AC47</f>
        <v>0</v>
      </c>
      <c r="AD322" s="1">
        <f t="shared" si="566"/>
        <v>0</v>
      </c>
      <c r="AE322" s="1"/>
      <c r="AF322" s="1">
        <f t="shared" ref="AF322:AF324" si="567">AF53+AF47</f>
        <v>538052.19999999995</v>
      </c>
      <c r="AG322" s="1">
        <f>AG47+AG68</f>
        <v>0</v>
      </c>
      <c r="AH322" s="1"/>
      <c r="AI322" s="1">
        <f t="shared" ref="AI322:AI324" si="568">AI53+AI47</f>
        <v>52685.5</v>
      </c>
      <c r="AJ322" s="1">
        <f>AJ47+AJ68</f>
        <v>0</v>
      </c>
      <c r="AK322" s="1"/>
      <c r="AL322" s="1">
        <f t="shared" ref="AL322:AL324" si="569">AL53+AL47</f>
        <v>52685.5</v>
      </c>
      <c r="AM322" s="1">
        <f>AM47+AM68</f>
        <v>0</v>
      </c>
      <c r="AN322" s="1">
        <f t="shared" ref="AN322:AN323" si="570">AM322/AL322*100</f>
        <v>0</v>
      </c>
      <c r="AO322" s="1">
        <f t="shared" ref="AO322:AO324" si="571">AO53+AO47</f>
        <v>52685.500000000116</v>
      </c>
      <c r="AP322" s="53"/>
      <c r="AQ322" s="1"/>
      <c r="AR322" s="96"/>
      <c r="AS322" s="99"/>
    </row>
    <row r="323" spans="1:45" ht="46.5" customHeight="1" x14ac:dyDescent="0.25">
      <c r="A323" s="122"/>
      <c r="B323" s="123"/>
      <c r="C323" s="124"/>
      <c r="D323" s="26" t="s">
        <v>43</v>
      </c>
      <c r="E323" s="1">
        <f t="shared" si="555"/>
        <v>95710</v>
      </c>
      <c r="F323" s="1">
        <f t="shared" si="530"/>
        <v>4720.1000000000004</v>
      </c>
      <c r="G323" s="1">
        <f t="shared" si="556"/>
        <v>4.9316685821753223</v>
      </c>
      <c r="H323" s="1">
        <f t="shared" si="558"/>
        <v>0</v>
      </c>
      <c r="I323" s="1">
        <f t="shared" si="558"/>
        <v>0</v>
      </c>
      <c r="J323" s="1">
        <f t="shared" si="559"/>
        <v>0</v>
      </c>
      <c r="K323" s="1">
        <f t="shared" si="560"/>
        <v>0</v>
      </c>
      <c r="L323" s="1">
        <f t="shared" si="560"/>
        <v>0</v>
      </c>
      <c r="M323" s="1"/>
      <c r="N323" s="1">
        <f t="shared" si="561"/>
        <v>0</v>
      </c>
      <c r="O323" s="1">
        <f t="shared" si="561"/>
        <v>0</v>
      </c>
      <c r="P323" s="1"/>
      <c r="Q323" s="1">
        <f t="shared" si="562"/>
        <v>0</v>
      </c>
      <c r="R323" s="1">
        <f t="shared" si="562"/>
        <v>0</v>
      </c>
      <c r="S323" s="1"/>
      <c r="T323" s="1">
        <f t="shared" si="563"/>
        <v>320</v>
      </c>
      <c r="U323" s="1">
        <f t="shared" si="563"/>
        <v>320</v>
      </c>
      <c r="V323" s="1">
        <f t="shared" ref="V323" si="572">U323/T323*100</f>
        <v>100</v>
      </c>
      <c r="W323" s="1">
        <f t="shared" si="564"/>
        <v>625</v>
      </c>
      <c r="X323" s="1">
        <f t="shared" si="564"/>
        <v>625</v>
      </c>
      <c r="Y323" s="1">
        <f t="shared" ref="Y323" si="573">X323/W323*100</f>
        <v>100</v>
      </c>
      <c r="Z323" s="1">
        <f t="shared" si="565"/>
        <v>5853.9</v>
      </c>
      <c r="AA323" s="1">
        <f t="shared" si="565"/>
        <v>3775.1</v>
      </c>
      <c r="AB323" s="1">
        <f t="shared" si="557"/>
        <v>64.488631510616855</v>
      </c>
      <c r="AC323" s="1">
        <f t="shared" si="566"/>
        <v>0</v>
      </c>
      <c r="AD323" s="1">
        <f t="shared" si="566"/>
        <v>0</v>
      </c>
      <c r="AE323" s="1"/>
      <c r="AF323" s="1">
        <f t="shared" si="567"/>
        <v>43064.399999999994</v>
      </c>
      <c r="AG323" s="1">
        <f>AG48+AG69</f>
        <v>0</v>
      </c>
      <c r="AH323" s="1"/>
      <c r="AI323" s="1">
        <f t="shared" si="568"/>
        <v>30929.5</v>
      </c>
      <c r="AJ323" s="1">
        <f>AJ48+AJ69</f>
        <v>0</v>
      </c>
      <c r="AK323" s="1">
        <f t="shared" ref="AK323" si="574">AJ323/AI323*100</f>
        <v>0</v>
      </c>
      <c r="AL323" s="1">
        <f t="shared" si="569"/>
        <v>5855.1</v>
      </c>
      <c r="AM323" s="1">
        <f>AM48+AM69</f>
        <v>0</v>
      </c>
      <c r="AN323" s="1">
        <f t="shared" si="570"/>
        <v>0</v>
      </c>
      <c r="AO323" s="1">
        <f t="shared" si="571"/>
        <v>9062.0999999999985</v>
      </c>
      <c r="AP323" s="53">
        <f>AP48+AP69</f>
        <v>0</v>
      </c>
      <c r="AQ323" s="1"/>
      <c r="AR323" s="97"/>
      <c r="AS323" s="100"/>
    </row>
    <row r="324" spans="1:45" ht="14.25" customHeight="1" x14ac:dyDescent="0.25">
      <c r="A324" s="122"/>
      <c r="B324" s="123"/>
      <c r="C324" s="124"/>
      <c r="D324" s="26" t="s">
        <v>21</v>
      </c>
      <c r="E324" s="1">
        <f t="shared" si="555"/>
        <v>0</v>
      </c>
      <c r="F324" s="1">
        <f t="shared" si="530"/>
        <v>0</v>
      </c>
      <c r="G324" s="1"/>
      <c r="H324" s="1">
        <f t="shared" si="558"/>
        <v>0</v>
      </c>
      <c r="I324" s="1">
        <f t="shared" si="558"/>
        <v>0</v>
      </c>
      <c r="J324" s="1"/>
      <c r="K324" s="1">
        <f t="shared" si="560"/>
        <v>0</v>
      </c>
      <c r="L324" s="1">
        <f t="shared" si="560"/>
        <v>0</v>
      </c>
      <c r="M324" s="1"/>
      <c r="N324" s="1">
        <f t="shared" si="561"/>
        <v>0</v>
      </c>
      <c r="O324" s="1">
        <f t="shared" si="561"/>
        <v>0</v>
      </c>
      <c r="P324" s="1"/>
      <c r="Q324" s="1">
        <f t="shared" si="562"/>
        <v>0</v>
      </c>
      <c r="R324" s="1">
        <f t="shared" si="562"/>
        <v>0</v>
      </c>
      <c r="S324" s="1"/>
      <c r="T324" s="1">
        <f t="shared" si="563"/>
        <v>0</v>
      </c>
      <c r="U324" s="1">
        <f t="shared" si="563"/>
        <v>0</v>
      </c>
      <c r="V324" s="1"/>
      <c r="W324" s="1">
        <f t="shared" si="564"/>
        <v>0</v>
      </c>
      <c r="X324" s="1">
        <f t="shared" si="564"/>
        <v>0</v>
      </c>
      <c r="Y324" s="1"/>
      <c r="Z324" s="1">
        <f t="shared" si="565"/>
        <v>0</v>
      </c>
      <c r="AA324" s="1">
        <f t="shared" si="565"/>
        <v>0</v>
      </c>
      <c r="AB324" s="1"/>
      <c r="AC324" s="1">
        <f t="shared" si="566"/>
        <v>0</v>
      </c>
      <c r="AD324" s="1">
        <f t="shared" si="566"/>
        <v>0</v>
      </c>
      <c r="AE324" s="1"/>
      <c r="AF324" s="1">
        <f t="shared" si="567"/>
        <v>0</v>
      </c>
      <c r="AG324" s="1"/>
      <c r="AH324" s="1"/>
      <c r="AI324" s="1">
        <f t="shared" si="568"/>
        <v>0</v>
      </c>
      <c r="AJ324" s="1"/>
      <c r="AK324" s="1"/>
      <c r="AL324" s="1">
        <f t="shared" si="569"/>
        <v>0</v>
      </c>
      <c r="AM324" s="1"/>
      <c r="AN324" s="1"/>
      <c r="AO324" s="1">
        <f t="shared" si="571"/>
        <v>0</v>
      </c>
      <c r="AP324" s="53"/>
      <c r="AQ324" s="1"/>
      <c r="AR324" s="24"/>
      <c r="AS324" s="24"/>
    </row>
    <row r="325" spans="1:45" ht="14.25" customHeight="1" x14ac:dyDescent="0.25">
      <c r="A325" s="125"/>
      <c r="B325" s="126"/>
      <c r="C325" s="127"/>
      <c r="D325" s="26" t="s">
        <v>119</v>
      </c>
      <c r="E325" s="1"/>
      <c r="F325" s="1">
        <f t="shared" si="530"/>
        <v>1472.3</v>
      </c>
      <c r="G325" s="1"/>
      <c r="H325" s="1"/>
      <c r="I325" s="1"/>
      <c r="J325" s="1"/>
      <c r="K325" s="1"/>
      <c r="L325" s="1"/>
      <c r="M325" s="1"/>
      <c r="N325" s="1"/>
      <c r="O325" s="1">
        <f>O50</f>
        <v>0</v>
      </c>
      <c r="P325" s="1"/>
      <c r="Q325" s="1"/>
      <c r="R325" s="1">
        <f>R50</f>
        <v>0</v>
      </c>
      <c r="S325" s="1"/>
      <c r="T325" s="1"/>
      <c r="U325" s="1">
        <f>U50</f>
        <v>0</v>
      </c>
      <c r="V325" s="1"/>
      <c r="W325" s="1"/>
      <c r="X325" s="1">
        <f>X50</f>
        <v>0</v>
      </c>
      <c r="Y325" s="1"/>
      <c r="Z325" s="1"/>
      <c r="AA325" s="1">
        <f>AA50</f>
        <v>0</v>
      </c>
      <c r="AB325" s="1"/>
      <c r="AC325" s="1"/>
      <c r="AD325" s="1">
        <f>AD50</f>
        <v>0</v>
      </c>
      <c r="AE325" s="1"/>
      <c r="AF325" s="1"/>
      <c r="AG325" s="1">
        <f>AG50</f>
        <v>1472.3</v>
      </c>
      <c r="AH325" s="1"/>
      <c r="AI325" s="1"/>
      <c r="AJ325" s="1">
        <f>AJ50</f>
        <v>0</v>
      </c>
      <c r="AK325" s="1"/>
      <c r="AL325" s="1"/>
      <c r="AM325" s="1">
        <f>AM50</f>
        <v>0</v>
      </c>
      <c r="AN325" s="1"/>
      <c r="AO325" s="1"/>
      <c r="AP325" s="53"/>
      <c r="AQ325" s="1"/>
      <c r="AR325" s="24"/>
      <c r="AS325" s="24"/>
    </row>
    <row r="326" spans="1:45" ht="14.25" customHeight="1" x14ac:dyDescent="0.25">
      <c r="A326" s="103" t="s">
        <v>116</v>
      </c>
      <c r="B326" s="103"/>
      <c r="C326" s="103"/>
      <c r="D326" s="26" t="s">
        <v>3</v>
      </c>
      <c r="E326" s="1">
        <f>H326+K326+N326+Q326+T326+W326+Z326+AC326+AF326+AI326+AL326+AO326</f>
        <v>19522.5</v>
      </c>
      <c r="F326" s="1">
        <f t="shared" si="530"/>
        <v>12524.5</v>
      </c>
      <c r="G326" s="1">
        <f>F326/E326*100</f>
        <v>64.154181073120753</v>
      </c>
      <c r="H326" s="1">
        <f>H327+H328+H329+H330</f>
        <v>1172.3</v>
      </c>
      <c r="I326" s="1">
        <f>I327+I328+I329+I330</f>
        <v>300</v>
      </c>
      <c r="J326" s="1">
        <f>I326/H326*100</f>
        <v>25.590719099206687</v>
      </c>
      <c r="K326" s="1">
        <f>K327+K328+K329+K330</f>
        <v>914.3</v>
      </c>
      <c r="L326" s="1">
        <f>L327+L328+L329+L330</f>
        <v>702.3</v>
      </c>
      <c r="M326" s="1">
        <f>L326/K326*100</f>
        <v>76.812862299026577</v>
      </c>
      <c r="N326" s="1">
        <f>N327+N328+N329+N330</f>
        <v>1095.7</v>
      </c>
      <c r="O326" s="1">
        <f>O327+O328+O329+O330</f>
        <v>586.20000000000005</v>
      </c>
      <c r="P326" s="1">
        <f>O326/N326*100</f>
        <v>53.500045632928725</v>
      </c>
      <c r="Q326" s="1">
        <f>Q327+Q328+Q329+Q330</f>
        <v>1766.4</v>
      </c>
      <c r="R326" s="1">
        <f>R327+R328+R329+R330</f>
        <v>1407.6</v>
      </c>
      <c r="S326" s="1">
        <f>R326/Q326*100</f>
        <v>79.687499999999986</v>
      </c>
      <c r="T326" s="1">
        <f>T327+T328+T329+T330</f>
        <v>1321.5</v>
      </c>
      <c r="U326" s="1">
        <f>U327+U328+U329+U330</f>
        <v>878.1</v>
      </c>
      <c r="V326" s="1">
        <f>U326/T326*100</f>
        <v>66.447219069239509</v>
      </c>
      <c r="W326" s="1">
        <f>W327+W328+W329+W330</f>
        <v>2882.4</v>
      </c>
      <c r="X326" s="1">
        <f>X327+X328+X329+X330</f>
        <v>2572.1</v>
      </c>
      <c r="Y326" s="1">
        <f>X326/W326*100</f>
        <v>89.234665556480707</v>
      </c>
      <c r="Z326" s="1">
        <f>Z327+Z328+Z329+Z330</f>
        <v>2275.7999999999997</v>
      </c>
      <c r="AA326" s="1">
        <f>AA327+AA328+AA329+AA330</f>
        <v>3160.8999999999996</v>
      </c>
      <c r="AB326" s="1">
        <f>AA326/Z326*100</f>
        <v>138.89181826171017</v>
      </c>
      <c r="AC326" s="1">
        <f>AC327+AC328+AC329+AC330</f>
        <v>1197.2</v>
      </c>
      <c r="AD326" s="1">
        <f>AD327+AD328+AD329+AD330</f>
        <v>2363.8000000000002</v>
      </c>
      <c r="AE326" s="1">
        <f t="shared" ref="AE326" si="575">AE268</f>
        <v>197.44403608419648</v>
      </c>
      <c r="AF326" s="1">
        <f>AF327+AF328+AF329+AF330</f>
        <v>146.80000000000001</v>
      </c>
      <c r="AG326" s="1">
        <f>AG327+AG328+AG329+AG330</f>
        <v>553.5</v>
      </c>
      <c r="AH326" s="1"/>
      <c r="AI326" s="1">
        <f>AI327+AI328+AI329+AI330</f>
        <v>1967.6000000000001</v>
      </c>
      <c r="AJ326" s="1">
        <f>AJ327+AJ328+AJ329+AJ330</f>
        <v>0</v>
      </c>
      <c r="AK326" s="1">
        <f>AJ326/AI326*100</f>
        <v>0</v>
      </c>
      <c r="AL326" s="1">
        <f>AL327+AL328+AL329+AL330</f>
        <v>1692.2</v>
      </c>
      <c r="AM326" s="1">
        <f>AM327+AM328+AM329+AM330</f>
        <v>0</v>
      </c>
      <c r="AN326" s="1">
        <f>AM326/AL326*100</f>
        <v>0</v>
      </c>
      <c r="AO326" s="1">
        <f>AO327+AO328+AO329+AO330</f>
        <v>3090.2999999999997</v>
      </c>
      <c r="AP326" s="53"/>
      <c r="AQ326" s="1"/>
      <c r="AR326" s="24"/>
      <c r="AS326" s="24"/>
    </row>
    <row r="327" spans="1:45" ht="14.25" customHeight="1" x14ac:dyDescent="0.25">
      <c r="A327" s="103"/>
      <c r="B327" s="103"/>
      <c r="C327" s="103"/>
      <c r="D327" s="26" t="s">
        <v>20</v>
      </c>
      <c r="E327" s="1">
        <f t="shared" ref="E327:E330" si="576">H327+K327+N327+Q327+T327+W327+Z327+AC327+AF327+AI327+AL327+AO327</f>
        <v>0</v>
      </c>
      <c r="F327" s="1">
        <f t="shared" si="530"/>
        <v>0</v>
      </c>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53"/>
      <c r="AQ327" s="32"/>
      <c r="AR327" s="24"/>
      <c r="AS327" s="24"/>
    </row>
    <row r="328" spans="1:45" ht="25.15" customHeight="1" x14ac:dyDescent="0.25">
      <c r="A328" s="103"/>
      <c r="B328" s="103"/>
      <c r="C328" s="103"/>
      <c r="D328" s="26" t="s">
        <v>4</v>
      </c>
      <c r="E328" s="1">
        <f t="shared" si="576"/>
        <v>1440.6</v>
      </c>
      <c r="F328" s="1">
        <f t="shared" si="530"/>
        <v>1347.1</v>
      </c>
      <c r="G328" s="1">
        <f t="shared" ref="G328:G329" si="577">F328/E328*100</f>
        <v>93.509648757462173</v>
      </c>
      <c r="H328" s="1"/>
      <c r="I328" s="1"/>
      <c r="J328" s="1"/>
      <c r="K328" s="1"/>
      <c r="L328" s="1"/>
      <c r="M328" s="1"/>
      <c r="N328" s="1"/>
      <c r="O328" s="1"/>
      <c r="P328" s="1"/>
      <c r="Q328" s="1">
        <v>275.39999999999998</v>
      </c>
      <c r="R328" s="1">
        <v>275.39999999999998</v>
      </c>
      <c r="S328" s="1">
        <f t="shared" ref="S328:S329" si="578">R328/Q328*100</f>
        <v>100</v>
      </c>
      <c r="T328" s="1"/>
      <c r="U328" s="1"/>
      <c r="V328" s="1"/>
      <c r="W328" s="1">
        <f>237.3-55.4</f>
        <v>181.9</v>
      </c>
      <c r="X328" s="1">
        <v>181.9</v>
      </c>
      <c r="Y328" s="1">
        <f t="shared" ref="Y328:Y329" si="579">X328/W328*100</f>
        <v>100</v>
      </c>
      <c r="Z328" s="1">
        <f>652.5+237.3</f>
        <v>889.8</v>
      </c>
      <c r="AA328" s="1">
        <v>889.8</v>
      </c>
      <c r="AB328" s="1">
        <f t="shared" ref="AB328:AB329" si="580">AA328/Z328*100</f>
        <v>100</v>
      </c>
      <c r="AC328" s="1"/>
      <c r="AD328" s="1"/>
      <c r="AE328" s="1"/>
      <c r="AF328" s="1"/>
      <c r="AG328" s="1"/>
      <c r="AH328" s="1"/>
      <c r="AI328" s="1">
        <v>84.8</v>
      </c>
      <c r="AJ328" s="1"/>
      <c r="AK328" s="1">
        <f t="shared" ref="AK328" si="581">AJ328/AI328*100</f>
        <v>0</v>
      </c>
      <c r="AL328" s="1">
        <f>190.6-181.9</f>
        <v>8.6999999999999886</v>
      </c>
      <c r="AM328" s="1"/>
      <c r="AN328" s="1">
        <f t="shared" ref="AN328:AN329" si="582">AM328/AL328*100</f>
        <v>0</v>
      </c>
      <c r="AO328" s="1"/>
      <c r="AP328" s="53"/>
      <c r="AQ328" s="32"/>
      <c r="AR328" s="28"/>
      <c r="AS328" s="29"/>
    </row>
    <row r="329" spans="1:45" ht="96" x14ac:dyDescent="0.25">
      <c r="A329" s="103"/>
      <c r="B329" s="103"/>
      <c r="C329" s="103"/>
      <c r="D329" s="26" t="s">
        <v>43</v>
      </c>
      <c r="E329" s="1">
        <f t="shared" si="576"/>
        <v>18081.899999999998</v>
      </c>
      <c r="F329" s="1">
        <f t="shared" si="530"/>
        <v>11177.400000000001</v>
      </c>
      <c r="G329" s="1">
        <f t="shared" si="577"/>
        <v>61.8154065667878</v>
      </c>
      <c r="H329" s="1">
        <f>H271</f>
        <v>1172.3</v>
      </c>
      <c r="I329" s="1">
        <f t="shared" ref="I329:L329" si="583">I271</f>
        <v>300</v>
      </c>
      <c r="J329" s="1">
        <f t="shared" ref="J329" si="584">I329/H329*100</f>
        <v>25.590719099206687</v>
      </c>
      <c r="K329" s="1">
        <f t="shared" si="583"/>
        <v>914.3</v>
      </c>
      <c r="L329" s="1">
        <f t="shared" si="583"/>
        <v>702.3</v>
      </c>
      <c r="M329" s="1">
        <f t="shared" ref="M329" si="585">L329/K329*100</f>
        <v>76.812862299026577</v>
      </c>
      <c r="N329" s="1">
        <f>N271+206-0.1</f>
        <v>1095.7</v>
      </c>
      <c r="O329" s="1">
        <v>586.20000000000005</v>
      </c>
      <c r="P329" s="1">
        <f t="shared" ref="P329" si="586">O329/N329*100</f>
        <v>53.500045632928725</v>
      </c>
      <c r="Q329" s="1">
        <f>Q271+71</f>
        <v>1491</v>
      </c>
      <c r="R329" s="1">
        <v>1132.2</v>
      </c>
      <c r="S329" s="1">
        <f t="shared" si="578"/>
        <v>75.935613682092566</v>
      </c>
      <c r="T329" s="1">
        <f t="shared" ref="T329" si="587">T271</f>
        <v>1321.5</v>
      </c>
      <c r="U329" s="1">
        <v>878.1</v>
      </c>
      <c r="V329" s="1">
        <f t="shared" ref="V329" si="588">U329/T329*100</f>
        <v>66.447219069239509</v>
      </c>
      <c r="W329" s="1">
        <f>W271+740.5+243.7</f>
        <v>2700.5</v>
      </c>
      <c r="X329" s="1">
        <v>2390.1999999999998</v>
      </c>
      <c r="Y329" s="1">
        <f t="shared" si="579"/>
        <v>88.509535271246051</v>
      </c>
      <c r="Z329" s="1">
        <f>Z271+112.5+2.6+0.1+41.8</f>
        <v>1385.9999999999998</v>
      </c>
      <c r="AA329" s="1">
        <f>AA271+157.1</f>
        <v>2271.1</v>
      </c>
      <c r="AB329" s="1">
        <f t="shared" si="580"/>
        <v>163.86002886002888</v>
      </c>
      <c r="AC329" s="1">
        <f>AC271</f>
        <v>1197.2</v>
      </c>
      <c r="AD329" s="1">
        <f t="shared" ref="AD329:AH329" si="589">AD271</f>
        <v>2363.8000000000002</v>
      </c>
      <c r="AE329" s="1">
        <f t="shared" si="589"/>
        <v>197.44403608419648</v>
      </c>
      <c r="AF329" s="1">
        <f t="shared" si="589"/>
        <v>146.80000000000001</v>
      </c>
      <c r="AG329" s="1">
        <f>AG271</f>
        <v>553.5</v>
      </c>
      <c r="AH329" s="1">
        <f t="shared" si="589"/>
        <v>377.04359673024521</v>
      </c>
      <c r="AI329" s="1">
        <f>AI271+250.6+168-285.5</f>
        <v>1882.8000000000002</v>
      </c>
      <c r="AJ329" s="1">
        <f>AJ271</f>
        <v>0</v>
      </c>
      <c r="AK329" s="1">
        <f t="shared" ref="AK329" si="590">AK271+250.6</f>
        <v>250.6</v>
      </c>
      <c r="AL329" s="1">
        <f>AL271+33.8</f>
        <v>1683.5</v>
      </c>
      <c r="AM329" s="1">
        <f>AM271</f>
        <v>0</v>
      </c>
      <c r="AN329" s="1">
        <f t="shared" si="582"/>
        <v>0</v>
      </c>
      <c r="AO329" s="1">
        <f>AO271</f>
        <v>3090.2999999999997</v>
      </c>
      <c r="AP329" s="53"/>
      <c r="AQ329" s="32"/>
      <c r="AR329" s="21" t="s">
        <v>215</v>
      </c>
      <c r="AS329" s="29" t="s">
        <v>236</v>
      </c>
    </row>
    <row r="330" spans="1:45" ht="14.25" customHeight="1" x14ac:dyDescent="0.25">
      <c r="A330" s="103"/>
      <c r="B330" s="103"/>
      <c r="C330" s="103"/>
      <c r="D330" s="26" t="s">
        <v>21</v>
      </c>
      <c r="E330" s="1">
        <f t="shared" si="576"/>
        <v>0</v>
      </c>
      <c r="F330" s="1">
        <f t="shared" si="530"/>
        <v>0</v>
      </c>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v>0</v>
      </c>
      <c r="AM330" s="1"/>
      <c r="AN330" s="1"/>
      <c r="AO330" s="1"/>
      <c r="AP330" s="53"/>
      <c r="AQ330" s="42"/>
      <c r="AR330" s="24"/>
      <c r="AS330" s="24"/>
    </row>
    <row r="331" spans="1:45" ht="14.25" customHeight="1" x14ac:dyDescent="0.25">
      <c r="A331" s="103" t="s">
        <v>166</v>
      </c>
      <c r="B331" s="103"/>
      <c r="C331" s="103"/>
      <c r="D331" s="26" t="s">
        <v>3</v>
      </c>
      <c r="E331" s="1">
        <f>H331+K331+N331+Q331+T331+W331+Z331+AC331+AF331+AI331+AL331+AO331</f>
        <v>1125.4000000000001</v>
      </c>
      <c r="F331" s="1">
        <f t="shared" si="530"/>
        <v>788.1</v>
      </c>
      <c r="G331" s="1">
        <f>F331/E331*100</f>
        <v>70.028434334458851</v>
      </c>
      <c r="H331" s="1">
        <f>H332+H333+H334+H335</f>
        <v>29.4</v>
      </c>
      <c r="I331" s="1">
        <f>I332+I333+I334+I335</f>
        <v>20.5</v>
      </c>
      <c r="J331" s="1">
        <f>I331/H331*100</f>
        <v>69.72789115646259</v>
      </c>
      <c r="K331" s="1">
        <f>K332+K333+K334+K335</f>
        <v>85.2</v>
      </c>
      <c r="L331" s="1">
        <f>L332+L333+L334+L335</f>
        <v>85.5</v>
      </c>
      <c r="M331" s="1">
        <f>L331/K331*100</f>
        <v>100.35211267605632</v>
      </c>
      <c r="N331" s="1">
        <f>N332+N333+N334+N335</f>
        <v>77.5</v>
      </c>
      <c r="O331" s="1">
        <f>O332+O333+O334+O335</f>
        <v>84.1</v>
      </c>
      <c r="P331" s="1">
        <f>O331/N331*100</f>
        <v>108.51612903225805</v>
      </c>
      <c r="Q331" s="1">
        <f>Q332+Q333+Q334+Q335</f>
        <v>85.2</v>
      </c>
      <c r="R331" s="1">
        <f>R332+R333+R334+R335</f>
        <v>113.9</v>
      </c>
      <c r="S331" s="1">
        <f>R331/Q331*100</f>
        <v>133.68544600938966</v>
      </c>
      <c r="T331" s="1">
        <f>T332+T333+T334+T335</f>
        <v>85.2</v>
      </c>
      <c r="U331" s="1">
        <f>U332+U333+U334+U335</f>
        <v>50.7</v>
      </c>
      <c r="V331" s="1">
        <f>U331/T331*100</f>
        <v>59.507042253521128</v>
      </c>
      <c r="W331" s="1">
        <f>W332+W333+W334+W335</f>
        <v>85</v>
      </c>
      <c r="X331" s="1">
        <f>X332+X333+X334+X335</f>
        <v>84.1</v>
      </c>
      <c r="Y331" s="1">
        <f>X331/W331*100</f>
        <v>98.941176470588232</v>
      </c>
      <c r="Z331" s="1">
        <f>Z332+Z333+Z334+Z335</f>
        <v>85.2</v>
      </c>
      <c r="AA331" s="1">
        <f>AA332+AA333+AA334+AA335</f>
        <v>86.2</v>
      </c>
      <c r="AB331" s="1">
        <f>AA331/Z331*100</f>
        <v>101.17370892018781</v>
      </c>
      <c r="AC331" s="1">
        <f>AC332+AC333+AC334+AC335</f>
        <v>135.1</v>
      </c>
      <c r="AD331" s="1">
        <f>AD332+AD333+AD334+AD335</f>
        <v>155.5</v>
      </c>
      <c r="AE331" s="1">
        <f>AD331/AC331*100</f>
        <v>115.099925980755</v>
      </c>
      <c r="AF331" s="1">
        <f>AF332+AF333+AF334+AF335</f>
        <v>120.29999999999998</v>
      </c>
      <c r="AG331" s="1">
        <f>AG332+AG333+AG334+AG335</f>
        <v>107.6</v>
      </c>
      <c r="AH331" s="1">
        <f>AG331/AF331*100</f>
        <v>89.443059019118877</v>
      </c>
      <c r="AI331" s="1">
        <f>AI332+AI333+AI334+AI335</f>
        <v>85.2</v>
      </c>
      <c r="AJ331" s="1">
        <f>AJ332+AJ333+AJ334+AJ335</f>
        <v>0</v>
      </c>
      <c r="AK331" s="1">
        <f>AJ331/AI331*100</f>
        <v>0</v>
      </c>
      <c r="AL331" s="1">
        <f>AL332+AL333+AL334+AL335</f>
        <v>142.19999999999999</v>
      </c>
      <c r="AM331" s="1">
        <f>AM332+AM333+AM334+AM335</f>
        <v>0</v>
      </c>
      <c r="AN331" s="1">
        <f>AM331/AL331*100</f>
        <v>0</v>
      </c>
      <c r="AO331" s="1">
        <f>AO332+AO333+AO334+AO335</f>
        <v>109.9</v>
      </c>
      <c r="AP331" s="53"/>
      <c r="AQ331" s="1"/>
      <c r="AR331" s="24"/>
      <c r="AS331" s="24"/>
    </row>
    <row r="332" spans="1:45" ht="14.25" customHeight="1" x14ac:dyDescent="0.25">
      <c r="A332" s="103"/>
      <c r="B332" s="103"/>
      <c r="C332" s="103"/>
      <c r="D332" s="26" t="s">
        <v>20</v>
      </c>
      <c r="E332" s="1">
        <f t="shared" ref="E332:E335" si="591">H332+K332+N332+Q332+T332+W332+Z332+AC332+AF332+AI332+AL332+AO332</f>
        <v>0</v>
      </c>
      <c r="F332" s="1">
        <f t="shared" si="530"/>
        <v>0</v>
      </c>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53"/>
      <c r="AQ332" s="32"/>
      <c r="AR332" s="24"/>
      <c r="AS332" s="24"/>
    </row>
    <row r="333" spans="1:45" ht="60" x14ac:dyDescent="0.25">
      <c r="A333" s="103"/>
      <c r="B333" s="103"/>
      <c r="C333" s="103"/>
      <c r="D333" s="26" t="s">
        <v>4</v>
      </c>
      <c r="E333" s="1">
        <f t="shared" si="591"/>
        <v>1125.4000000000001</v>
      </c>
      <c r="F333" s="1">
        <f t="shared" si="530"/>
        <v>788.1</v>
      </c>
      <c r="G333" s="1">
        <f t="shared" ref="G333" si="592">F333/E333*100</f>
        <v>70.028434334458851</v>
      </c>
      <c r="H333" s="1">
        <v>29.4</v>
      </c>
      <c r="I333" s="1">
        <v>20.5</v>
      </c>
      <c r="J333" s="1">
        <f t="shared" ref="J333" si="593">I333/H333*100</f>
        <v>69.72789115646259</v>
      </c>
      <c r="K333" s="1">
        <v>85.2</v>
      </c>
      <c r="L333" s="1">
        <v>85.5</v>
      </c>
      <c r="M333" s="1">
        <f t="shared" ref="M333" si="594">L333/K333*100</f>
        <v>100.35211267605632</v>
      </c>
      <c r="N333" s="1">
        <f>134.5-57</f>
        <v>77.5</v>
      </c>
      <c r="O333" s="1">
        <v>84.1</v>
      </c>
      <c r="P333" s="1">
        <f>O333/N333*100</f>
        <v>108.51612903225805</v>
      </c>
      <c r="Q333" s="1">
        <v>85.2</v>
      </c>
      <c r="R333" s="1">
        <v>113.9</v>
      </c>
      <c r="S333" s="1">
        <f t="shared" ref="S333" si="595">R333/Q333*100</f>
        <v>133.68544600938966</v>
      </c>
      <c r="T333" s="1">
        <v>85.2</v>
      </c>
      <c r="U333" s="1">
        <v>50.7</v>
      </c>
      <c r="V333" s="1">
        <f t="shared" ref="V333" si="596">U333/T333*100</f>
        <v>59.507042253521128</v>
      </c>
      <c r="W333" s="1">
        <v>85</v>
      </c>
      <c r="X333" s="1">
        <v>84.1</v>
      </c>
      <c r="Y333" s="1">
        <f t="shared" ref="Y333" si="597">X333/W333*100</f>
        <v>98.941176470588232</v>
      </c>
      <c r="Z333" s="1">
        <v>85.2</v>
      </c>
      <c r="AA333" s="1">
        <v>86.2</v>
      </c>
      <c r="AB333" s="1">
        <f t="shared" ref="AB333" si="598">AA333/Z333*100</f>
        <v>101.17370892018781</v>
      </c>
      <c r="AC333" s="1">
        <v>135.1</v>
      </c>
      <c r="AD333" s="1">
        <v>155.5</v>
      </c>
      <c r="AE333" s="1">
        <f t="shared" ref="AE333" si="599">AD333/AC333*100</f>
        <v>115.099925980755</v>
      </c>
      <c r="AF333" s="1">
        <f>85.2-50.1+85.1+0.1</f>
        <v>120.29999999999998</v>
      </c>
      <c r="AG333" s="1">
        <v>107.6</v>
      </c>
      <c r="AH333" s="1">
        <f t="shared" ref="AH333" si="600">AG333/AF333*100</f>
        <v>89.443059019118877</v>
      </c>
      <c r="AI333" s="1">
        <v>85.2</v>
      </c>
      <c r="AJ333" s="1"/>
      <c r="AK333" s="1">
        <f t="shared" ref="AK333:AK334" si="601">AJ333/AI333*100</f>
        <v>0</v>
      </c>
      <c r="AL333" s="1">
        <f>85.2+57</f>
        <v>142.19999999999999</v>
      </c>
      <c r="AM333" s="1"/>
      <c r="AN333" s="1">
        <f t="shared" ref="AN333:AN334" si="602">AM333/AL333*100</f>
        <v>0</v>
      </c>
      <c r="AO333" s="1">
        <f>144.8+50.2-85.1</f>
        <v>109.9</v>
      </c>
      <c r="AP333" s="53"/>
      <c r="AQ333" s="32"/>
      <c r="AR333" s="21" t="s">
        <v>212</v>
      </c>
      <c r="AS333" s="29" t="s">
        <v>179</v>
      </c>
    </row>
    <row r="334" spans="1:45" x14ac:dyDescent="0.25">
      <c r="A334" s="103"/>
      <c r="B334" s="103"/>
      <c r="C334" s="103"/>
      <c r="D334" s="26" t="s">
        <v>43</v>
      </c>
      <c r="E334" s="1">
        <f t="shared" si="591"/>
        <v>0</v>
      </c>
      <c r="F334" s="1">
        <f t="shared" si="530"/>
        <v>0</v>
      </c>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t="e">
        <f t="shared" si="601"/>
        <v>#DIV/0!</v>
      </c>
      <c r="AL334" s="1"/>
      <c r="AM334" s="1"/>
      <c r="AN334" s="1" t="e">
        <f t="shared" si="602"/>
        <v>#DIV/0!</v>
      </c>
      <c r="AO334" s="1"/>
      <c r="AP334" s="53"/>
      <c r="AQ334" s="32"/>
      <c r="AR334" s="21"/>
      <c r="AS334" s="29"/>
    </row>
    <row r="335" spans="1:45" ht="14.25" customHeight="1" x14ac:dyDescent="0.25">
      <c r="A335" s="103"/>
      <c r="B335" s="103"/>
      <c r="C335" s="103"/>
      <c r="D335" s="26" t="s">
        <v>21</v>
      </c>
      <c r="E335" s="1">
        <f t="shared" si="591"/>
        <v>0</v>
      </c>
      <c r="F335" s="1">
        <f t="shared" si="530"/>
        <v>0</v>
      </c>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53"/>
      <c r="AQ335" s="42"/>
      <c r="AR335" s="24"/>
      <c r="AS335" s="24"/>
    </row>
    <row r="336" spans="1:45" ht="15.75" x14ac:dyDescent="0.25">
      <c r="A336" s="56"/>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row>
    <row r="337" spans="1:57" ht="15.75" x14ac:dyDescent="0.25">
      <c r="A337" s="56"/>
      <c r="D337" s="25"/>
      <c r="E337" s="25"/>
      <c r="F337" s="25"/>
      <c r="G337" s="25"/>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row>
    <row r="338" spans="1:57" s="65" customFormat="1" ht="68.25" customHeight="1" x14ac:dyDescent="0.25">
      <c r="A338" s="58"/>
      <c r="B338" s="59" t="s">
        <v>169</v>
      </c>
      <c r="C338" s="59"/>
      <c r="D338" s="60"/>
      <c r="E338" s="61"/>
      <c r="F338" s="61"/>
      <c r="G338" s="61"/>
      <c r="H338" s="62"/>
      <c r="I338" s="63"/>
      <c r="J338" s="63"/>
      <c r="K338" s="64" t="s">
        <v>143</v>
      </c>
      <c r="L338" s="64"/>
      <c r="M338" s="64"/>
      <c r="Q338" s="66"/>
      <c r="R338" s="66"/>
      <c r="S338" s="66"/>
      <c r="T338" s="66"/>
      <c r="U338" s="66"/>
      <c r="V338" s="66"/>
      <c r="W338" s="66"/>
      <c r="X338" s="66"/>
      <c r="Y338" s="66"/>
      <c r="Z338" s="66"/>
      <c r="AA338" s="66"/>
      <c r="AB338" s="66"/>
      <c r="AC338" s="66"/>
      <c r="AD338" s="66"/>
      <c r="AE338" s="66"/>
      <c r="AF338" s="59"/>
      <c r="AG338" s="59"/>
      <c r="AH338" s="59"/>
      <c r="AI338" s="59"/>
      <c r="AJ338" s="59"/>
      <c r="AK338" s="59"/>
      <c r="AL338" s="55"/>
      <c r="AM338" s="55"/>
      <c r="AN338" s="55"/>
      <c r="AO338" s="55" t="s">
        <v>37</v>
      </c>
      <c r="AP338" s="55"/>
      <c r="AQ338" s="55"/>
      <c r="AR338" s="67"/>
      <c r="AS338" s="67"/>
      <c r="AT338" s="54"/>
      <c r="AU338" s="54"/>
      <c r="AV338" s="54"/>
      <c r="AW338" s="54"/>
      <c r="AX338" s="54"/>
      <c r="AY338" s="54"/>
      <c r="AZ338" s="54"/>
      <c r="BA338" s="54"/>
      <c r="BB338" s="68"/>
      <c r="BC338" s="68"/>
      <c r="BD338" s="68"/>
      <c r="BE338" s="68"/>
    </row>
    <row r="339" spans="1:57" s="65" customFormat="1" ht="83.25" customHeight="1" x14ac:dyDescent="0.25">
      <c r="A339" s="58"/>
      <c r="B339" s="69" t="s">
        <v>227</v>
      </c>
      <c r="C339" s="70"/>
      <c r="D339" s="71"/>
      <c r="E339" s="72"/>
      <c r="F339" s="72"/>
      <c r="G339" s="72"/>
      <c r="H339" s="73"/>
      <c r="I339" s="74"/>
      <c r="J339" s="74"/>
      <c r="K339" s="75" t="s">
        <v>228</v>
      </c>
      <c r="L339" s="76"/>
      <c r="M339" s="76"/>
      <c r="N339" s="77"/>
      <c r="O339" s="77"/>
      <c r="P339" s="77"/>
      <c r="Q339" s="77"/>
      <c r="R339" s="77"/>
      <c r="S339" s="77"/>
      <c r="T339" s="78"/>
      <c r="U339" s="78"/>
      <c r="V339" s="78"/>
      <c r="W339" s="78"/>
      <c r="X339" s="78"/>
      <c r="Y339" s="78"/>
      <c r="Z339" s="78"/>
      <c r="AA339" s="78"/>
      <c r="AB339" s="78"/>
      <c r="AC339" s="78"/>
      <c r="AD339" s="78"/>
      <c r="AE339" s="78"/>
      <c r="AF339" s="70"/>
      <c r="AG339" s="70"/>
      <c r="AH339" s="70"/>
      <c r="AI339" s="70"/>
      <c r="AJ339" s="70"/>
      <c r="AK339" s="70"/>
      <c r="AL339" s="77"/>
      <c r="AM339" s="77"/>
      <c r="AN339" s="77"/>
      <c r="AO339" s="79" t="s">
        <v>38</v>
      </c>
      <c r="AR339" s="67"/>
      <c r="AS339" s="67"/>
      <c r="AT339" s="80"/>
      <c r="AU339" s="80"/>
      <c r="AV339" s="80"/>
      <c r="AW339" s="80"/>
      <c r="AX339" s="80"/>
      <c r="AY339" s="81"/>
      <c r="AZ339" s="81"/>
      <c r="BA339" s="81"/>
      <c r="BB339" s="68"/>
      <c r="BC339" s="68"/>
      <c r="BD339" s="68"/>
      <c r="BE339" s="68"/>
    </row>
    <row r="340" spans="1:57" ht="46.5" customHeight="1" x14ac:dyDescent="0.25">
      <c r="Z340" s="82"/>
      <c r="AA340" s="82"/>
      <c r="AB340" s="82"/>
      <c r="AC340" s="82"/>
      <c r="AD340" s="82"/>
      <c r="AE340" s="82"/>
      <c r="AF340" s="82"/>
      <c r="AG340" s="82"/>
      <c r="AH340" s="82"/>
      <c r="AI340" s="82"/>
      <c r="AJ340" s="83"/>
      <c r="AK340" s="83"/>
      <c r="AL340" s="83"/>
      <c r="AM340" s="83"/>
      <c r="AN340" s="83"/>
      <c r="AO340" s="84" t="s">
        <v>117</v>
      </c>
    </row>
    <row r="341" spans="1:57" ht="15.75" customHeight="1" x14ac:dyDescent="0.25"/>
    <row r="342" spans="1:57" s="91" customFormat="1" ht="14.25" customHeight="1" x14ac:dyDescent="0.2">
      <c r="A342" s="85" t="s">
        <v>39</v>
      </c>
      <c r="B342" s="85"/>
      <c r="C342" s="86"/>
      <c r="D342" s="87"/>
      <c r="E342" s="88"/>
      <c r="F342" s="88"/>
      <c r="G342" s="88"/>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67"/>
      <c r="AS342" s="67"/>
      <c r="AT342" s="67"/>
      <c r="AU342" s="54"/>
      <c r="AV342" s="54"/>
      <c r="AW342" s="54"/>
      <c r="AX342" s="81"/>
      <c r="AY342" s="81"/>
      <c r="AZ342" s="81"/>
      <c r="BA342" s="81"/>
      <c r="BB342" s="68"/>
      <c r="BC342" s="68"/>
      <c r="BD342" s="68"/>
      <c r="BE342" s="90"/>
    </row>
    <row r="343" spans="1:57" s="91" customFormat="1" x14ac:dyDescent="0.25">
      <c r="A343" s="117" t="s">
        <v>118</v>
      </c>
      <c r="B343" s="117"/>
      <c r="C343" s="117"/>
      <c r="D343" s="117"/>
      <c r="E343" s="117"/>
      <c r="F343" s="117"/>
      <c r="G343" s="117"/>
      <c r="H343" s="117"/>
      <c r="I343" s="117"/>
      <c r="J343" s="117"/>
      <c r="K343" s="117"/>
      <c r="L343" s="86"/>
      <c r="M343" s="86"/>
      <c r="N343" s="92"/>
      <c r="O343" s="92"/>
      <c r="P343" s="92"/>
      <c r="Q343" s="67"/>
      <c r="R343" s="67"/>
      <c r="S343" s="67"/>
      <c r="T343" s="67"/>
      <c r="U343" s="67"/>
      <c r="V343" s="67"/>
      <c r="W343" s="93"/>
      <c r="X343" s="93"/>
      <c r="Y343" s="93"/>
      <c r="Z343" s="67"/>
      <c r="AA343" s="67"/>
      <c r="AB343" s="67"/>
      <c r="AC343" s="67"/>
      <c r="AD343" s="67"/>
      <c r="AE343" s="67"/>
      <c r="AF343" s="92"/>
      <c r="AG343" s="92"/>
      <c r="AH343" s="92"/>
      <c r="AI343" s="67"/>
      <c r="AJ343" s="67"/>
      <c r="AK343" s="67"/>
      <c r="AL343" s="67"/>
      <c r="AM343" s="67"/>
      <c r="AN343" s="67"/>
      <c r="AO343" s="92"/>
      <c r="AP343" s="92"/>
      <c r="AQ343" s="92"/>
      <c r="AR343" s="67"/>
      <c r="AS343" s="67"/>
      <c r="AT343" s="67"/>
      <c r="AU343" s="54"/>
      <c r="AV343" s="54"/>
      <c r="AW343" s="54"/>
      <c r="AX343" s="81"/>
      <c r="AY343" s="81"/>
      <c r="AZ343" s="81"/>
      <c r="BA343" s="81"/>
      <c r="BB343" s="68"/>
      <c r="BC343" s="68"/>
      <c r="BD343" s="68"/>
    </row>
  </sheetData>
  <mergeCells count="194">
    <mergeCell ref="AR57:AR59"/>
    <mergeCell ref="AS57:AS59"/>
    <mergeCell ref="AR155:AR157"/>
    <mergeCell ref="AS155:AS157"/>
    <mergeCell ref="AS11:AS12"/>
    <mergeCell ref="AS16:AS17"/>
    <mergeCell ref="A24:A28"/>
    <mergeCell ref="B24:B28"/>
    <mergeCell ref="C24:C28"/>
    <mergeCell ref="A29:A33"/>
    <mergeCell ref="B29:B33"/>
    <mergeCell ref="C29:C33"/>
    <mergeCell ref="A9:A13"/>
    <mergeCell ref="B9:B13"/>
    <mergeCell ref="C9:C13"/>
    <mergeCell ref="A19:A23"/>
    <mergeCell ref="B19:B23"/>
    <mergeCell ref="C19:C23"/>
    <mergeCell ref="A14:A18"/>
    <mergeCell ref="B14:B18"/>
    <mergeCell ref="C14:C18"/>
    <mergeCell ref="A51:A55"/>
    <mergeCell ref="A56:A60"/>
    <mergeCell ref="B56:B60"/>
    <mergeCell ref="A34:C38"/>
    <mergeCell ref="A1:AS1"/>
    <mergeCell ref="A3:AS3"/>
    <mergeCell ref="A5:A7"/>
    <mergeCell ref="B5:B7"/>
    <mergeCell ref="C5:C7"/>
    <mergeCell ref="D5:D7"/>
    <mergeCell ref="E5:G6"/>
    <mergeCell ref="H5:AQ5"/>
    <mergeCell ref="AR5:AR7"/>
    <mergeCell ref="AS5:AS7"/>
    <mergeCell ref="Z6:AB6"/>
    <mergeCell ref="AC6:AE6"/>
    <mergeCell ref="AF6:AH6"/>
    <mergeCell ref="AI6:AK6"/>
    <mergeCell ref="AL6:AN6"/>
    <mergeCell ref="AO6:AQ6"/>
    <mergeCell ref="H6:J6"/>
    <mergeCell ref="K6:M6"/>
    <mergeCell ref="N6:P6"/>
    <mergeCell ref="Q6:S6"/>
    <mergeCell ref="T6:V6"/>
    <mergeCell ref="W6:Y6"/>
    <mergeCell ref="A40:A44"/>
    <mergeCell ref="B40:B44"/>
    <mergeCell ref="C40:C44"/>
    <mergeCell ref="A45:A50"/>
    <mergeCell ref="B45:B50"/>
    <mergeCell ref="C45:C50"/>
    <mergeCell ref="B51:B55"/>
    <mergeCell ref="C51:C55"/>
    <mergeCell ref="A71:A76"/>
    <mergeCell ref="B71:B76"/>
    <mergeCell ref="C56:C60"/>
    <mergeCell ref="A77:A81"/>
    <mergeCell ref="B77:B81"/>
    <mergeCell ref="C77:C81"/>
    <mergeCell ref="A61:A65"/>
    <mergeCell ref="B61:B65"/>
    <mergeCell ref="C61:C65"/>
    <mergeCell ref="A66:A70"/>
    <mergeCell ref="B66:B70"/>
    <mergeCell ref="C66:C70"/>
    <mergeCell ref="C71:C76"/>
    <mergeCell ref="A99:A103"/>
    <mergeCell ref="B99:B103"/>
    <mergeCell ref="C99:C103"/>
    <mergeCell ref="A104:A108"/>
    <mergeCell ref="B104:B108"/>
    <mergeCell ref="C104:C108"/>
    <mergeCell ref="A82:C87"/>
    <mergeCell ref="A89:A93"/>
    <mergeCell ref="B89:B93"/>
    <mergeCell ref="C89:C93"/>
    <mergeCell ref="A94:A98"/>
    <mergeCell ref="B94:B98"/>
    <mergeCell ref="C94:C98"/>
    <mergeCell ref="A109:A113"/>
    <mergeCell ref="B109:B113"/>
    <mergeCell ref="C109:C113"/>
    <mergeCell ref="A114:A118"/>
    <mergeCell ref="B114:B118"/>
    <mergeCell ref="C114:C118"/>
    <mergeCell ref="A124:A128"/>
    <mergeCell ref="B124:B128"/>
    <mergeCell ref="C124:C128"/>
    <mergeCell ref="A134:A138"/>
    <mergeCell ref="B134:B138"/>
    <mergeCell ref="C134:C138"/>
    <mergeCell ref="A139:A143"/>
    <mergeCell ref="B139:B143"/>
    <mergeCell ref="C139:C143"/>
    <mergeCell ref="A119:A123"/>
    <mergeCell ref="B119:B123"/>
    <mergeCell ref="C119:C123"/>
    <mergeCell ref="A129:A133"/>
    <mergeCell ref="B129:B133"/>
    <mergeCell ref="C129:C133"/>
    <mergeCell ref="A144:A148"/>
    <mergeCell ref="B144:B148"/>
    <mergeCell ref="C144:C148"/>
    <mergeCell ref="A149:A153"/>
    <mergeCell ref="B149:B153"/>
    <mergeCell ref="C149:C153"/>
    <mergeCell ref="A154:A158"/>
    <mergeCell ref="B154:B158"/>
    <mergeCell ref="C154:C158"/>
    <mergeCell ref="A175:A179"/>
    <mergeCell ref="B175:B179"/>
    <mergeCell ref="C175:C179"/>
    <mergeCell ref="A180:A184"/>
    <mergeCell ref="B180:B184"/>
    <mergeCell ref="C180:C184"/>
    <mergeCell ref="A159:C163"/>
    <mergeCell ref="A165:A169"/>
    <mergeCell ref="B165:B169"/>
    <mergeCell ref="C165:C169"/>
    <mergeCell ref="A170:A174"/>
    <mergeCell ref="B170:B174"/>
    <mergeCell ref="C170:C174"/>
    <mergeCell ref="A216:A220"/>
    <mergeCell ref="B216:B220"/>
    <mergeCell ref="C216:C220"/>
    <mergeCell ref="A226:A230"/>
    <mergeCell ref="B226:B230"/>
    <mergeCell ref="C226:C230"/>
    <mergeCell ref="A185:A189"/>
    <mergeCell ref="B185:B189"/>
    <mergeCell ref="C185:C189"/>
    <mergeCell ref="A190:A194"/>
    <mergeCell ref="B190:B194"/>
    <mergeCell ref="C190:C194"/>
    <mergeCell ref="A195:C199"/>
    <mergeCell ref="A201:A205"/>
    <mergeCell ref="B201:B205"/>
    <mergeCell ref="C201:C205"/>
    <mergeCell ref="A206:A210"/>
    <mergeCell ref="B206:B210"/>
    <mergeCell ref="C206:C210"/>
    <mergeCell ref="A211:A215"/>
    <mergeCell ref="B211:B215"/>
    <mergeCell ref="C211:C215"/>
    <mergeCell ref="A221:A225"/>
    <mergeCell ref="B221:B225"/>
    <mergeCell ref="A263:A267"/>
    <mergeCell ref="B263:B267"/>
    <mergeCell ref="C263:C267"/>
    <mergeCell ref="A258:A262"/>
    <mergeCell ref="B258:B262"/>
    <mergeCell ref="C258:C262"/>
    <mergeCell ref="A343:K343"/>
    <mergeCell ref="A285:A289"/>
    <mergeCell ref="B285:B289"/>
    <mergeCell ref="C285:C289"/>
    <mergeCell ref="A290:C294"/>
    <mergeCell ref="A295:C300"/>
    <mergeCell ref="A301:C306"/>
    <mergeCell ref="A280:A284"/>
    <mergeCell ref="B280:B284"/>
    <mergeCell ref="C280:C284"/>
    <mergeCell ref="A331:C335"/>
    <mergeCell ref="A314:C319"/>
    <mergeCell ref="A320:C325"/>
    <mergeCell ref="A326:C330"/>
    <mergeCell ref="A307:C312"/>
    <mergeCell ref="A313:C313"/>
    <mergeCell ref="AR321:AR323"/>
    <mergeCell ref="AS321:AS323"/>
    <mergeCell ref="C221:C225"/>
    <mergeCell ref="A242:A246"/>
    <mergeCell ref="B242:B246"/>
    <mergeCell ref="C242:C246"/>
    <mergeCell ref="AR222:AR224"/>
    <mergeCell ref="AS222:AS224"/>
    <mergeCell ref="A231:C235"/>
    <mergeCell ref="A252:A257"/>
    <mergeCell ref="B252:B257"/>
    <mergeCell ref="C252:C257"/>
    <mergeCell ref="AR227:AR229"/>
    <mergeCell ref="AS227:AS229"/>
    <mergeCell ref="A237:A241"/>
    <mergeCell ref="B237:B241"/>
    <mergeCell ref="C237:C241"/>
    <mergeCell ref="A247:A251"/>
    <mergeCell ref="B247:B251"/>
    <mergeCell ref="C247:C251"/>
    <mergeCell ref="A268:C273"/>
    <mergeCell ref="A275:A279"/>
    <mergeCell ref="B275:B279"/>
    <mergeCell ref="C275:C279"/>
  </mergeCells>
  <pageMargins left="0.70866141732283472" right="0.70866141732283472" top="0.74803149606299213" bottom="0.74803149606299213" header="0.31496062992125984" footer="0.31496062992125984"/>
  <pageSetup paperSize="9" scale="33"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9 мес</vt:lpstr>
      <vt:lpstr>'9 мес'!Область_печати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И.Е. Невская</dc:creator>
  <cp:lastModifiedBy>Невская Ирина Евгеньевна</cp:lastModifiedBy>
  <cp:lastPrinted>2023-07-05T11:32:21Z</cp:lastPrinted>
  <dcterms:created xsi:type="dcterms:W3CDTF">2006-09-28T05:33:00Z</dcterms:created>
  <dcterms:modified xsi:type="dcterms:W3CDTF">2023-10-16T12:19:35Z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1049-10.2.0.6020</vt:lpwstr>
  </property>
</Properties>
</file>