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135" windowWidth="15480" windowHeight="552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а 01.07.2023" sheetId="46" r:id="rId4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Titles" localSheetId="3">'на 01.07.2023'!$9:$10</definedName>
    <definedName name="_xlnm.Print_Area" localSheetId="2">'Выполнение работ'!$A$1:$Q$81</definedName>
  </definedNames>
  <calcPr calcId="125725" iterate="1"/>
</workbook>
</file>

<file path=xl/calcChain.xml><?xml version="1.0" encoding="utf-8"?>
<calcChain xmlns="http://schemas.openxmlformats.org/spreadsheetml/2006/main">
  <c r="X101" i="46"/>
  <c r="U101"/>
  <c r="R101"/>
  <c r="AP137"/>
  <c r="AO137"/>
  <c r="E137" s="1"/>
  <c r="AP136"/>
  <c r="AO136"/>
  <c r="AP135"/>
  <c r="AO135"/>
  <c r="AL137"/>
  <c r="AL136"/>
  <c r="AL135"/>
  <c r="AI137"/>
  <c r="AI136"/>
  <c r="AI135"/>
  <c r="AF137"/>
  <c r="AF136"/>
  <c r="AF134" s="1"/>
  <c r="AF135"/>
  <c r="AC137"/>
  <c r="AC136"/>
  <c r="AE136" s="1"/>
  <c r="AC135"/>
  <c r="Z137"/>
  <c r="Z136"/>
  <c r="AB136" s="1"/>
  <c r="Z135"/>
  <c r="X137"/>
  <c r="W137"/>
  <c r="W136"/>
  <c r="X135"/>
  <c r="F135" s="1"/>
  <c r="W135"/>
  <c r="U137"/>
  <c r="T137"/>
  <c r="T136"/>
  <c r="U135"/>
  <c r="T135"/>
  <c r="T134" s="1"/>
  <c r="R137"/>
  <c r="Q137"/>
  <c r="Q136"/>
  <c r="R135"/>
  <c r="Q135"/>
  <c r="O137"/>
  <c r="N137"/>
  <c r="O136"/>
  <c r="N136"/>
  <c r="O135"/>
  <c r="N135"/>
  <c r="N134" s="1"/>
  <c r="L137"/>
  <c r="K137"/>
  <c r="L136"/>
  <c r="K136"/>
  <c r="L135"/>
  <c r="K135"/>
  <c r="K134" s="1"/>
  <c r="I137"/>
  <c r="I136"/>
  <c r="I135"/>
  <c r="H137"/>
  <c r="H136"/>
  <c r="H135"/>
  <c r="F138"/>
  <c r="E138"/>
  <c r="F137"/>
  <c r="AH135"/>
  <c r="AE135"/>
  <c r="AB135"/>
  <c r="AP134"/>
  <c r="AO134"/>
  <c r="AM134"/>
  <c r="AL134"/>
  <c r="AJ134"/>
  <c r="AG134"/>
  <c r="AD134"/>
  <c r="AA134"/>
  <c r="W134"/>
  <c r="Q134"/>
  <c r="O134"/>
  <c r="L134"/>
  <c r="H134"/>
  <c r="S119"/>
  <c r="N96"/>
  <c r="H96"/>
  <c r="E135" l="1"/>
  <c r="AH134"/>
  <c r="AC134"/>
  <c r="AE134" s="1"/>
  <c r="Z134"/>
  <c r="AB134" s="1"/>
  <c r="E136"/>
  <c r="I134"/>
  <c r="E134"/>
  <c r="Q125"/>
  <c r="T125"/>
  <c r="W125"/>
  <c r="Z125"/>
  <c r="AO125"/>
  <c r="K125"/>
  <c r="Y104"/>
  <c r="Q104"/>
  <c r="W104"/>
  <c r="V104"/>
  <c r="S104"/>
  <c r="AO25" l="1"/>
  <c r="AO19"/>
  <c r="W19"/>
  <c r="Q19"/>
  <c r="T19"/>
  <c r="AC19"/>
  <c r="AF19"/>
  <c r="AL18"/>
  <c r="AI18"/>
  <c r="AC18"/>
  <c r="Z18"/>
  <c r="T18"/>
  <c r="T21" l="1"/>
  <c r="W34"/>
  <c r="Q34"/>
  <c r="AF34"/>
  <c r="AL34"/>
  <c r="T35"/>
  <c r="W35"/>
  <c r="Q35"/>
  <c r="AC35"/>
  <c r="AL35"/>
  <c r="Z25"/>
  <c r="W25"/>
  <c r="N25"/>
  <c r="AO30"/>
  <c r="AF30"/>
  <c r="AC30"/>
  <c r="Z30"/>
  <c r="W30"/>
  <c r="T30"/>
  <c r="Q30"/>
  <c r="AO40"/>
  <c r="Z40"/>
  <c r="T40"/>
  <c r="W69"/>
  <c r="T69"/>
  <c r="X13"/>
  <c r="X74" s="1"/>
  <c r="H125" l="1"/>
  <c r="K96"/>
  <c r="AC104" l="1"/>
  <c r="AC125"/>
  <c r="O101"/>
  <c r="L101"/>
  <c r="L99" s="1"/>
  <c r="I101"/>
  <c r="N69"/>
  <c r="N19"/>
  <c r="K19"/>
  <c r="H19"/>
  <c r="AL19"/>
  <c r="AO18" l="1"/>
  <c r="N18"/>
  <c r="H18"/>
  <c r="N21"/>
  <c r="AL69"/>
  <c r="AO69"/>
  <c r="K40"/>
  <c r="K101" s="1"/>
  <c r="H40"/>
  <c r="W40" l="1"/>
  <c r="AI40"/>
  <c r="T34"/>
  <c r="N34"/>
  <c r="N35"/>
  <c r="K35"/>
  <c r="AF35"/>
  <c r="AO35"/>
  <c r="AF25"/>
  <c r="T25"/>
  <c r="K25"/>
  <c r="H25"/>
  <c r="P69"/>
  <c r="W18"/>
  <c r="AI35"/>
  <c r="AF18" l="1"/>
  <c r="Q18"/>
  <c r="K18"/>
  <c r="Z35" l="1"/>
  <c r="AC34"/>
  <c r="Z34"/>
  <c r="H35"/>
  <c r="AO34"/>
  <c r="AI34"/>
  <c r="AI19"/>
  <c r="AL25"/>
  <c r="AI25"/>
  <c r="AC25"/>
  <c r="Q25"/>
  <c r="AO101" l="1"/>
  <c r="AF40"/>
  <c r="AF101" s="1"/>
  <c r="W101"/>
  <c r="AL40"/>
  <c r="AL101" s="1"/>
  <c r="AI101"/>
  <c r="AC40"/>
  <c r="AC101" s="1"/>
  <c r="T101"/>
  <c r="N40"/>
  <c r="N101" s="1"/>
  <c r="H101"/>
  <c r="Z101"/>
  <c r="Q40"/>
  <c r="Q101" s="1"/>
  <c r="Z38"/>
  <c r="AH40"/>
  <c r="W38"/>
  <c r="AC21"/>
  <c r="F132"/>
  <c r="E132"/>
  <c r="F131"/>
  <c r="E131"/>
  <c r="AE130"/>
  <c r="AB130"/>
  <c r="F130"/>
  <c r="E130"/>
  <c r="AH129"/>
  <c r="AE129"/>
  <c r="AB129"/>
  <c r="F129"/>
  <c r="E129"/>
  <c r="AP128"/>
  <c r="AO128"/>
  <c r="AM128"/>
  <c r="AL128"/>
  <c r="AJ128"/>
  <c r="AG128"/>
  <c r="AF128"/>
  <c r="AD128"/>
  <c r="AC128"/>
  <c r="AA128"/>
  <c r="Z128"/>
  <c r="X128"/>
  <c r="W128"/>
  <c r="U128"/>
  <c r="T128"/>
  <c r="R128"/>
  <c r="Q128"/>
  <c r="O128"/>
  <c r="N128"/>
  <c r="L128"/>
  <c r="K128"/>
  <c r="I128"/>
  <c r="H128"/>
  <c r="F128"/>
  <c r="F127"/>
  <c r="E127"/>
  <c r="F126"/>
  <c r="E126"/>
  <c r="AQ125"/>
  <c r="AN125"/>
  <c r="AK125"/>
  <c r="AH125"/>
  <c r="AE125"/>
  <c r="AB125"/>
  <c r="Y125"/>
  <c r="V125"/>
  <c r="S125"/>
  <c r="P125"/>
  <c r="M125"/>
  <c r="J125"/>
  <c r="F125"/>
  <c r="AN124"/>
  <c r="AK124"/>
  <c r="AH124"/>
  <c r="AE124"/>
  <c r="AB124"/>
  <c r="Y124"/>
  <c r="F124"/>
  <c r="AP123"/>
  <c r="AO123"/>
  <c r="AM123"/>
  <c r="AJ123"/>
  <c r="AI123"/>
  <c r="AG123"/>
  <c r="AF123"/>
  <c r="AD123"/>
  <c r="AC123"/>
  <c r="AA123"/>
  <c r="X123"/>
  <c r="W123"/>
  <c r="U123"/>
  <c r="T123"/>
  <c r="R123"/>
  <c r="Q123"/>
  <c r="O123"/>
  <c r="N123"/>
  <c r="L123"/>
  <c r="K123"/>
  <c r="I123"/>
  <c r="H123"/>
  <c r="F122"/>
  <c r="E122"/>
  <c r="F121"/>
  <c r="E121"/>
  <c r="AQ120"/>
  <c r="AN120"/>
  <c r="AK120"/>
  <c r="AH120"/>
  <c r="AE120"/>
  <c r="AB120"/>
  <c r="Y120"/>
  <c r="V120"/>
  <c r="S120"/>
  <c r="P120"/>
  <c r="M120"/>
  <c r="F120"/>
  <c r="E120"/>
  <c r="AK119"/>
  <c r="AH119"/>
  <c r="AE119"/>
  <c r="AB119"/>
  <c r="Y119"/>
  <c r="F119"/>
  <c r="E119"/>
  <c r="AP118"/>
  <c r="AM118"/>
  <c r="AL118"/>
  <c r="AJ118"/>
  <c r="AI118"/>
  <c r="AG118"/>
  <c r="AF118"/>
  <c r="AD118"/>
  <c r="AA118"/>
  <c r="Z118"/>
  <c r="X118"/>
  <c r="U118"/>
  <c r="T118"/>
  <c r="R118"/>
  <c r="O118"/>
  <c r="N118"/>
  <c r="L118"/>
  <c r="K118"/>
  <c r="I118"/>
  <c r="H118"/>
  <c r="F117"/>
  <c r="E117"/>
  <c r="F116"/>
  <c r="E116"/>
  <c r="AE115"/>
  <c r="AB115"/>
  <c r="F115"/>
  <c r="E115"/>
  <c r="AH114"/>
  <c r="AE114"/>
  <c r="AB114"/>
  <c r="F114"/>
  <c r="E114"/>
  <c r="AO113"/>
  <c r="AM113"/>
  <c r="AL113"/>
  <c r="AJ113"/>
  <c r="AI113"/>
  <c r="AG113"/>
  <c r="AF113"/>
  <c r="AD113"/>
  <c r="AA113"/>
  <c r="Z113"/>
  <c r="X113"/>
  <c r="W113"/>
  <c r="U113"/>
  <c r="T113"/>
  <c r="R113"/>
  <c r="Q113"/>
  <c r="O113"/>
  <c r="N113"/>
  <c r="L113"/>
  <c r="K113"/>
  <c r="I113"/>
  <c r="H113"/>
  <c r="F112"/>
  <c r="E112"/>
  <c r="F111"/>
  <c r="E111"/>
  <c r="AK110"/>
  <c r="AH110"/>
  <c r="AE110"/>
  <c r="F110"/>
  <c r="E110"/>
  <c r="AN109"/>
  <c r="AK109"/>
  <c r="AH109"/>
  <c r="AE109"/>
  <c r="AB109"/>
  <c r="F109"/>
  <c r="F108" s="1"/>
  <c r="E109"/>
  <c r="AQ108"/>
  <c r="AP108"/>
  <c r="AO108"/>
  <c r="AM108"/>
  <c r="AL108"/>
  <c r="AJ108"/>
  <c r="AI108"/>
  <c r="AK108" s="1"/>
  <c r="AG108"/>
  <c r="AF108"/>
  <c r="AD108"/>
  <c r="AC108"/>
  <c r="AE108" s="1"/>
  <c r="AA108"/>
  <c r="Z108"/>
  <c r="X108"/>
  <c r="W108"/>
  <c r="U108"/>
  <c r="T108"/>
  <c r="R108"/>
  <c r="Q108"/>
  <c r="O108"/>
  <c r="N108"/>
  <c r="L108"/>
  <c r="K108"/>
  <c r="I108"/>
  <c r="H108"/>
  <c r="F107"/>
  <c r="E107"/>
  <c r="F106"/>
  <c r="E106"/>
  <c r="F105"/>
  <c r="E105"/>
  <c r="AQ104"/>
  <c r="F104"/>
  <c r="E104"/>
  <c r="AP103"/>
  <c r="AO103"/>
  <c r="AM103"/>
  <c r="AL103"/>
  <c r="AJ103"/>
  <c r="AI103"/>
  <c r="AG103"/>
  <c r="AF103"/>
  <c r="AD103"/>
  <c r="AC103"/>
  <c r="AA103"/>
  <c r="Z103"/>
  <c r="X103"/>
  <c r="W103"/>
  <c r="U103"/>
  <c r="T103"/>
  <c r="R103"/>
  <c r="Q103"/>
  <c r="O103"/>
  <c r="N103"/>
  <c r="L103"/>
  <c r="K103"/>
  <c r="I103"/>
  <c r="H103"/>
  <c r="F103"/>
  <c r="F102"/>
  <c r="E102"/>
  <c r="X99"/>
  <c r="R99"/>
  <c r="O99"/>
  <c r="AQ100"/>
  <c r="AN100"/>
  <c r="AK100"/>
  <c r="AH100"/>
  <c r="AE100"/>
  <c r="AB100"/>
  <c r="I100"/>
  <c r="F100" s="1"/>
  <c r="E100"/>
  <c r="AP99"/>
  <c r="AM99"/>
  <c r="AJ99"/>
  <c r="AG99"/>
  <c r="AD99"/>
  <c r="AA99"/>
  <c r="U99"/>
  <c r="I99"/>
  <c r="F98"/>
  <c r="E98"/>
  <c r="AP97"/>
  <c r="AO97"/>
  <c r="AM97"/>
  <c r="AL97"/>
  <c r="AJ97"/>
  <c r="AI97"/>
  <c r="AG97"/>
  <c r="AF97"/>
  <c r="AD97"/>
  <c r="AC97"/>
  <c r="AA97"/>
  <c r="Z97"/>
  <c r="X97"/>
  <c r="W97"/>
  <c r="U97"/>
  <c r="T97"/>
  <c r="R97"/>
  <c r="Q97"/>
  <c r="O97"/>
  <c r="N97"/>
  <c r="L97"/>
  <c r="K97"/>
  <c r="I97"/>
  <c r="H97"/>
  <c r="F97"/>
  <c r="E97"/>
  <c r="AQ96"/>
  <c r="AN96"/>
  <c r="AK96"/>
  <c r="AH96"/>
  <c r="AE96"/>
  <c r="AB96"/>
  <c r="Y96"/>
  <c r="V96"/>
  <c r="S96"/>
  <c r="P96"/>
  <c r="M96"/>
  <c r="J96"/>
  <c r="F96"/>
  <c r="AQ95"/>
  <c r="AN95"/>
  <c r="AK95"/>
  <c r="AH95"/>
  <c r="AE95"/>
  <c r="AB95"/>
  <c r="Y95"/>
  <c r="V95"/>
  <c r="S95"/>
  <c r="P95"/>
  <c r="M95"/>
  <c r="I95"/>
  <c r="E95"/>
  <c r="F95"/>
  <c r="AP94"/>
  <c r="AO94"/>
  <c r="AM94"/>
  <c r="AJ94"/>
  <c r="AI94"/>
  <c r="AG94"/>
  <c r="AD94"/>
  <c r="AC94"/>
  <c r="AA94"/>
  <c r="Z94"/>
  <c r="X94"/>
  <c r="W94"/>
  <c r="U94"/>
  <c r="T94"/>
  <c r="R94"/>
  <c r="Q94"/>
  <c r="O94"/>
  <c r="N94"/>
  <c r="L94"/>
  <c r="K94"/>
  <c r="I94"/>
  <c r="F93"/>
  <c r="E93"/>
  <c r="F87"/>
  <c r="E87"/>
  <c r="F82"/>
  <c r="E82"/>
  <c r="F81"/>
  <c r="E81"/>
  <c r="F80"/>
  <c r="E80"/>
  <c r="F79"/>
  <c r="E79"/>
  <c r="AP78"/>
  <c r="AO78"/>
  <c r="AM78"/>
  <c r="AL78"/>
  <c r="AJ78"/>
  <c r="AI78"/>
  <c r="AG78"/>
  <c r="AF78"/>
  <c r="AD78"/>
  <c r="AC78"/>
  <c r="AA78"/>
  <c r="Z78"/>
  <c r="X78"/>
  <c r="W78"/>
  <c r="U78"/>
  <c r="T78"/>
  <c r="R78"/>
  <c r="Q78"/>
  <c r="O78"/>
  <c r="N78"/>
  <c r="L78"/>
  <c r="K78"/>
  <c r="I78"/>
  <c r="H78"/>
  <c r="F78"/>
  <c r="E78"/>
  <c r="F77"/>
  <c r="E77"/>
  <c r="F71"/>
  <c r="E71"/>
  <c r="F70"/>
  <c r="E70"/>
  <c r="AQ69"/>
  <c r="AN69"/>
  <c r="AK69"/>
  <c r="AH69"/>
  <c r="AE69"/>
  <c r="AB69"/>
  <c r="Y69"/>
  <c r="S69"/>
  <c r="M69"/>
  <c r="F69"/>
  <c r="E69"/>
  <c r="F68"/>
  <c r="E68"/>
  <c r="AP67"/>
  <c r="AO67"/>
  <c r="AQ67" s="1"/>
  <c r="AM67"/>
  <c r="AL67"/>
  <c r="AJ67"/>
  <c r="AI67"/>
  <c r="AK67" s="1"/>
  <c r="AG67"/>
  <c r="AF67"/>
  <c r="AD67"/>
  <c r="AC67"/>
  <c r="AA67"/>
  <c r="Z67"/>
  <c r="X67"/>
  <c r="W67"/>
  <c r="U67"/>
  <c r="T67"/>
  <c r="R67"/>
  <c r="Q67"/>
  <c r="O67"/>
  <c r="N67"/>
  <c r="L67"/>
  <c r="K67"/>
  <c r="I67"/>
  <c r="H67"/>
  <c r="F67"/>
  <c r="E67"/>
  <c r="F65"/>
  <c r="E65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L64"/>
  <c r="K64"/>
  <c r="J64"/>
  <c r="I64"/>
  <c r="H64"/>
  <c r="F64"/>
  <c r="E64"/>
  <c r="AP63"/>
  <c r="AO63"/>
  <c r="AN63"/>
  <c r="AM63"/>
  <c r="AL63"/>
  <c r="AJ63"/>
  <c r="AI63"/>
  <c r="AG63"/>
  <c r="AF63"/>
  <c r="AD63"/>
  <c r="AC63"/>
  <c r="AA63"/>
  <c r="Z63"/>
  <c r="X63"/>
  <c r="W63"/>
  <c r="U63"/>
  <c r="T63"/>
  <c r="R63"/>
  <c r="Q63"/>
  <c r="O63"/>
  <c r="N63"/>
  <c r="P63" s="1"/>
  <c r="L63"/>
  <c r="K63"/>
  <c r="I63"/>
  <c r="H63"/>
  <c r="F63"/>
  <c r="E63"/>
  <c r="AQ62"/>
  <c r="AP62"/>
  <c r="AO62"/>
  <c r="AN62"/>
  <c r="AM62"/>
  <c r="AL62"/>
  <c r="AK62"/>
  <c r="AJ62"/>
  <c r="AJ61" s="1"/>
  <c r="AI62"/>
  <c r="AH62"/>
  <c r="AG62"/>
  <c r="AF62"/>
  <c r="AF61" s="1"/>
  <c r="AE62"/>
  <c r="AD62"/>
  <c r="AD61" s="1"/>
  <c r="AC62"/>
  <c r="AB62"/>
  <c r="AA62"/>
  <c r="Z62"/>
  <c r="Y62"/>
  <c r="X62"/>
  <c r="W62"/>
  <c r="V62"/>
  <c r="U62"/>
  <c r="T62"/>
  <c r="T61" s="1"/>
  <c r="S62"/>
  <c r="R62"/>
  <c r="Q62"/>
  <c r="O62"/>
  <c r="N62"/>
  <c r="L62"/>
  <c r="K62"/>
  <c r="I62"/>
  <c r="H62"/>
  <c r="F62"/>
  <c r="E62"/>
  <c r="AP61"/>
  <c r="AO61"/>
  <c r="AM61"/>
  <c r="Z61"/>
  <c r="R61"/>
  <c r="N61"/>
  <c r="I61"/>
  <c r="F60"/>
  <c r="E60"/>
  <c r="F59"/>
  <c r="E59"/>
  <c r="F58"/>
  <c r="E58"/>
  <c r="F57"/>
  <c r="E57"/>
  <c r="AP56"/>
  <c r="AO56"/>
  <c r="AM56"/>
  <c r="AL56"/>
  <c r="AJ56"/>
  <c r="AI56"/>
  <c r="AG56"/>
  <c r="AF56"/>
  <c r="AD56"/>
  <c r="AC56"/>
  <c r="AA56"/>
  <c r="Z56"/>
  <c r="X56"/>
  <c r="W56"/>
  <c r="U56"/>
  <c r="T56"/>
  <c r="R56"/>
  <c r="Q56"/>
  <c r="O56"/>
  <c r="N56"/>
  <c r="L56"/>
  <c r="K56"/>
  <c r="I56"/>
  <c r="H56"/>
  <c r="F56"/>
  <c r="E56"/>
  <c r="F54"/>
  <c r="E54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R53"/>
  <c r="Q53"/>
  <c r="P53"/>
  <c r="O53"/>
  <c r="N53"/>
  <c r="L53"/>
  <c r="K53"/>
  <c r="I53"/>
  <c r="H53"/>
  <c r="F53"/>
  <c r="E53"/>
  <c r="AQ52"/>
  <c r="AP52"/>
  <c r="AO52"/>
  <c r="AO50" s="1"/>
  <c r="AN52"/>
  <c r="AM52"/>
  <c r="AL52"/>
  <c r="AK52"/>
  <c r="AJ52"/>
  <c r="AI52"/>
  <c r="AI50" s="1"/>
  <c r="AH52"/>
  <c r="AG52"/>
  <c r="AF52"/>
  <c r="AD52"/>
  <c r="AC52"/>
  <c r="AB52"/>
  <c r="AA52"/>
  <c r="Z52"/>
  <c r="Z50" s="1"/>
  <c r="Y52"/>
  <c r="X52"/>
  <c r="W52"/>
  <c r="V52"/>
  <c r="U52"/>
  <c r="T52"/>
  <c r="T50" s="1"/>
  <c r="R52"/>
  <c r="Q52"/>
  <c r="Q50" s="1"/>
  <c r="O52"/>
  <c r="N52"/>
  <c r="N50" s="1"/>
  <c r="L52"/>
  <c r="K52"/>
  <c r="K50" s="1"/>
  <c r="I52"/>
  <c r="H52"/>
  <c r="H50" s="1"/>
  <c r="F52"/>
  <c r="E52"/>
  <c r="AQ51"/>
  <c r="AP51"/>
  <c r="AO51"/>
  <c r="AN51"/>
  <c r="AM51"/>
  <c r="AL51"/>
  <c r="AL50" s="1"/>
  <c r="AK51"/>
  <c r="AJ51"/>
  <c r="AI51"/>
  <c r="AH51"/>
  <c r="AG51"/>
  <c r="AF51"/>
  <c r="AF50" s="1"/>
  <c r="AD51"/>
  <c r="AC51"/>
  <c r="AC50" s="1"/>
  <c r="AB51"/>
  <c r="AA51"/>
  <c r="Z51"/>
  <c r="Y51"/>
  <c r="X51"/>
  <c r="W51"/>
  <c r="W50" s="1"/>
  <c r="V51"/>
  <c r="U51"/>
  <c r="T51"/>
  <c r="R51"/>
  <c r="Q51"/>
  <c r="O51"/>
  <c r="N51"/>
  <c r="L51"/>
  <c r="K51"/>
  <c r="I51"/>
  <c r="H51"/>
  <c r="F51"/>
  <c r="E51"/>
  <c r="AP50"/>
  <c r="AM50"/>
  <c r="AJ50"/>
  <c r="AG50"/>
  <c r="AD50"/>
  <c r="AA50"/>
  <c r="X50"/>
  <c r="U50"/>
  <c r="R50"/>
  <c r="O50"/>
  <c r="L50"/>
  <c r="I50"/>
  <c r="F50"/>
  <c r="E50"/>
  <c r="F48"/>
  <c r="E48"/>
  <c r="F47"/>
  <c r="E47"/>
  <c r="F46"/>
  <c r="E46"/>
  <c r="F45"/>
  <c r="E45"/>
  <c r="AP44"/>
  <c r="AO44"/>
  <c r="AM44"/>
  <c r="AL44"/>
  <c r="AJ44"/>
  <c r="AI44"/>
  <c r="AG44"/>
  <c r="AF44"/>
  <c r="AD44"/>
  <c r="AC44"/>
  <c r="AA44"/>
  <c r="Z44"/>
  <c r="Y44"/>
  <c r="X44"/>
  <c r="W44"/>
  <c r="V44"/>
  <c r="U44"/>
  <c r="T44"/>
  <c r="R44"/>
  <c r="Q44"/>
  <c r="O44"/>
  <c r="N44"/>
  <c r="L44"/>
  <c r="K44"/>
  <c r="I44"/>
  <c r="H44"/>
  <c r="F44"/>
  <c r="E44"/>
  <c r="F43"/>
  <c r="E43"/>
  <c r="F42"/>
  <c r="E42"/>
  <c r="AK41"/>
  <c r="P41"/>
  <c r="F41"/>
  <c r="E41"/>
  <c r="AQ40"/>
  <c r="AK40"/>
  <c r="AE40"/>
  <c r="AB40"/>
  <c r="Y40"/>
  <c r="V40"/>
  <c r="N99"/>
  <c r="M40"/>
  <c r="J40"/>
  <c r="F40"/>
  <c r="F39"/>
  <c r="E39"/>
  <c r="AP38"/>
  <c r="AO38"/>
  <c r="AM38"/>
  <c r="AL38"/>
  <c r="AJ38"/>
  <c r="AI38"/>
  <c r="AG38"/>
  <c r="AD38"/>
  <c r="AC38"/>
  <c r="AA38"/>
  <c r="X38"/>
  <c r="U38"/>
  <c r="T38"/>
  <c r="R38"/>
  <c r="Q38"/>
  <c r="O38"/>
  <c r="N38"/>
  <c r="L38"/>
  <c r="K38"/>
  <c r="I38"/>
  <c r="H38"/>
  <c r="F37"/>
  <c r="E37"/>
  <c r="F36"/>
  <c r="E36"/>
  <c r="AN35"/>
  <c r="AK35"/>
  <c r="AH35"/>
  <c r="AE35"/>
  <c r="AB35"/>
  <c r="Y35"/>
  <c r="V35"/>
  <c r="S35"/>
  <c r="P35"/>
  <c r="M35"/>
  <c r="J35"/>
  <c r="F35"/>
  <c r="E35"/>
  <c r="AQ34"/>
  <c r="AN34"/>
  <c r="AK34"/>
  <c r="AH34"/>
  <c r="AE34"/>
  <c r="AB34"/>
  <c r="Y34"/>
  <c r="V34"/>
  <c r="S34"/>
  <c r="P34"/>
  <c r="F34"/>
  <c r="E34"/>
  <c r="AP33"/>
  <c r="AO33"/>
  <c r="AM33"/>
  <c r="AL33"/>
  <c r="AJ33"/>
  <c r="AI33"/>
  <c r="AG33"/>
  <c r="AF33"/>
  <c r="AD33"/>
  <c r="AC33"/>
  <c r="AA33"/>
  <c r="Z33"/>
  <c r="X33"/>
  <c r="W33"/>
  <c r="U33"/>
  <c r="T33"/>
  <c r="R33"/>
  <c r="Q33"/>
  <c r="O33"/>
  <c r="N33"/>
  <c r="L33"/>
  <c r="K33"/>
  <c r="I33"/>
  <c r="H33"/>
  <c r="F33"/>
  <c r="F32"/>
  <c r="E32"/>
  <c r="F31"/>
  <c r="E31"/>
  <c r="AQ30"/>
  <c r="AN30"/>
  <c r="AK30"/>
  <c r="AH30"/>
  <c r="AE30"/>
  <c r="AB30"/>
  <c r="Y30"/>
  <c r="V30"/>
  <c r="S30"/>
  <c r="P30"/>
  <c r="M30"/>
  <c r="J30"/>
  <c r="F30"/>
  <c r="E30"/>
  <c r="F29"/>
  <c r="E29"/>
  <c r="AP28"/>
  <c r="AO28"/>
  <c r="AM28"/>
  <c r="AL28"/>
  <c r="AJ28"/>
  <c r="AI28"/>
  <c r="AG28"/>
  <c r="AF28"/>
  <c r="AD28"/>
  <c r="AC28"/>
  <c r="AA28"/>
  <c r="Z28"/>
  <c r="X28"/>
  <c r="W28"/>
  <c r="U28"/>
  <c r="T28"/>
  <c r="R28"/>
  <c r="Q28"/>
  <c r="O28"/>
  <c r="N28"/>
  <c r="L28"/>
  <c r="K28"/>
  <c r="I28"/>
  <c r="H28"/>
  <c r="F28"/>
  <c r="F27"/>
  <c r="E27"/>
  <c r="F26"/>
  <c r="E26"/>
  <c r="AQ25"/>
  <c r="AN25"/>
  <c r="AK25"/>
  <c r="AH25"/>
  <c r="AE25"/>
  <c r="AB25"/>
  <c r="Y25"/>
  <c r="V25"/>
  <c r="S25"/>
  <c r="P25"/>
  <c r="M25"/>
  <c r="J25"/>
  <c r="F25"/>
  <c r="F24"/>
  <c r="E24"/>
  <c r="AP23"/>
  <c r="AO23"/>
  <c r="AM23"/>
  <c r="AL23"/>
  <c r="AJ23"/>
  <c r="AI23"/>
  <c r="AG23"/>
  <c r="AF23"/>
  <c r="AD23"/>
  <c r="AC23"/>
  <c r="AA23"/>
  <c r="Z23"/>
  <c r="X23"/>
  <c r="W23"/>
  <c r="U23"/>
  <c r="T23"/>
  <c r="R23"/>
  <c r="Q23"/>
  <c r="O23"/>
  <c r="N23"/>
  <c r="L23"/>
  <c r="K23"/>
  <c r="I23"/>
  <c r="H23"/>
  <c r="F22"/>
  <c r="E22"/>
  <c r="AQ21"/>
  <c r="AN21"/>
  <c r="AK21"/>
  <c r="AH21"/>
  <c r="AE21"/>
  <c r="AB21"/>
  <c r="Y21"/>
  <c r="V21"/>
  <c r="S21"/>
  <c r="P21"/>
  <c r="M21"/>
  <c r="F21"/>
  <c r="E21"/>
  <c r="AQ20"/>
  <c r="F20"/>
  <c r="E20"/>
  <c r="AQ19"/>
  <c r="AN19"/>
  <c r="AK19"/>
  <c r="AH19"/>
  <c r="AE19"/>
  <c r="AB19"/>
  <c r="Y19"/>
  <c r="V19"/>
  <c r="S19"/>
  <c r="P19"/>
  <c r="M19"/>
  <c r="J19"/>
  <c r="F19"/>
  <c r="E19"/>
  <c r="AQ18"/>
  <c r="AN18"/>
  <c r="AK18"/>
  <c r="AH18"/>
  <c r="AE18"/>
  <c r="AB18"/>
  <c r="Y18"/>
  <c r="V18"/>
  <c r="S18"/>
  <c r="P18"/>
  <c r="M18"/>
  <c r="J18"/>
  <c r="F18"/>
  <c r="AP17"/>
  <c r="AO17"/>
  <c r="AM17"/>
  <c r="AL17"/>
  <c r="AJ17"/>
  <c r="AI17"/>
  <c r="AG17"/>
  <c r="AF17"/>
  <c r="AD17"/>
  <c r="AC17"/>
  <c r="AA17"/>
  <c r="Z17"/>
  <c r="X17"/>
  <c r="W17"/>
  <c r="U17"/>
  <c r="T17"/>
  <c r="R17"/>
  <c r="Q17"/>
  <c r="O17"/>
  <c r="N17"/>
  <c r="L17"/>
  <c r="K17"/>
  <c r="I17"/>
  <c r="H17"/>
  <c r="F16"/>
  <c r="E16"/>
  <c r="AP15"/>
  <c r="AP76" s="1"/>
  <c r="AO15"/>
  <c r="AO76" s="1"/>
  <c r="AO86" s="1"/>
  <c r="AO92" s="1"/>
  <c r="AM15"/>
  <c r="AM76" s="1"/>
  <c r="AL15"/>
  <c r="AL76" s="1"/>
  <c r="AL86" s="1"/>
  <c r="AL92" s="1"/>
  <c r="AJ15"/>
  <c r="AJ76" s="1"/>
  <c r="AI15"/>
  <c r="AI76" s="1"/>
  <c r="AI86" s="1"/>
  <c r="AI92" s="1"/>
  <c r="AG15"/>
  <c r="AG76" s="1"/>
  <c r="AF15"/>
  <c r="AF76" s="1"/>
  <c r="AF86" s="1"/>
  <c r="AF92" s="1"/>
  <c r="AD15"/>
  <c r="AD76" s="1"/>
  <c r="AC15"/>
  <c r="AC76" s="1"/>
  <c r="AC86" s="1"/>
  <c r="AC92" s="1"/>
  <c r="AA15"/>
  <c r="AA76" s="1"/>
  <c r="Z15"/>
  <c r="Z76" s="1"/>
  <c r="Z86" s="1"/>
  <c r="Z92" s="1"/>
  <c r="X15"/>
  <c r="X76" s="1"/>
  <c r="W15"/>
  <c r="W76" s="1"/>
  <c r="W86" s="1"/>
  <c r="W92" s="1"/>
  <c r="U15"/>
  <c r="U76" s="1"/>
  <c r="T15"/>
  <c r="T76" s="1"/>
  <c r="T86" s="1"/>
  <c r="T92" s="1"/>
  <c r="R15"/>
  <c r="R76" s="1"/>
  <c r="Q15"/>
  <c r="Q76" s="1"/>
  <c r="Q86" s="1"/>
  <c r="Q92" s="1"/>
  <c r="O15"/>
  <c r="O76" s="1"/>
  <c r="N15"/>
  <c r="N76" s="1"/>
  <c r="N86" s="1"/>
  <c r="N92" s="1"/>
  <c r="L15"/>
  <c r="L76" s="1"/>
  <c r="K15"/>
  <c r="K76" s="1"/>
  <c r="K86" s="1"/>
  <c r="K92" s="1"/>
  <c r="I15"/>
  <c r="I76" s="1"/>
  <c r="H15"/>
  <c r="H76" s="1"/>
  <c r="H86" s="1"/>
  <c r="F15"/>
  <c r="E15"/>
  <c r="E76" s="1"/>
  <c r="AQ14"/>
  <c r="AP14"/>
  <c r="AP75" s="1"/>
  <c r="AO14"/>
  <c r="AO75" s="1"/>
  <c r="AN14"/>
  <c r="AN75" s="1"/>
  <c r="AM14"/>
  <c r="AM75" s="1"/>
  <c r="AL14"/>
  <c r="AL75" s="1"/>
  <c r="AJ14"/>
  <c r="AJ75" s="1"/>
  <c r="AI14"/>
  <c r="AI75" s="1"/>
  <c r="AH14"/>
  <c r="AH75" s="1"/>
  <c r="AG14"/>
  <c r="AG75" s="1"/>
  <c r="AF14"/>
  <c r="AF75" s="1"/>
  <c r="AE14"/>
  <c r="AE75" s="1"/>
  <c r="AD14"/>
  <c r="AD75" s="1"/>
  <c r="AC14"/>
  <c r="AC75" s="1"/>
  <c r="AB14"/>
  <c r="AB75" s="1"/>
  <c r="AA14"/>
  <c r="AA75" s="1"/>
  <c r="Z14"/>
  <c r="Z75" s="1"/>
  <c r="X14"/>
  <c r="X75" s="1"/>
  <c r="W14"/>
  <c r="W75" s="1"/>
  <c r="U14"/>
  <c r="U75" s="1"/>
  <c r="T14"/>
  <c r="T75" s="1"/>
  <c r="R14"/>
  <c r="R75" s="1"/>
  <c r="Q14"/>
  <c r="Q75" s="1"/>
  <c r="O14"/>
  <c r="O75" s="1"/>
  <c r="N14"/>
  <c r="N75" s="1"/>
  <c r="L14"/>
  <c r="L75" s="1"/>
  <c r="K14"/>
  <c r="K75" s="1"/>
  <c r="I14"/>
  <c r="I75" s="1"/>
  <c r="F75" s="1"/>
  <c r="H14"/>
  <c r="H75" s="1"/>
  <c r="AP13"/>
  <c r="AP74" s="1"/>
  <c r="AO13"/>
  <c r="AO74" s="1"/>
  <c r="AO85" s="1"/>
  <c r="AM13"/>
  <c r="AM74" s="1"/>
  <c r="AL13"/>
  <c r="AJ13"/>
  <c r="AJ74" s="1"/>
  <c r="AI13"/>
  <c r="AI74" s="1"/>
  <c r="AI85" s="1"/>
  <c r="AG13"/>
  <c r="AG74" s="1"/>
  <c r="AD13"/>
  <c r="AD74" s="1"/>
  <c r="AC13"/>
  <c r="AC74" s="1"/>
  <c r="AC85" s="1"/>
  <c r="AA13"/>
  <c r="AA74" s="1"/>
  <c r="Z13"/>
  <c r="Z74" s="1"/>
  <c r="Z85" s="1"/>
  <c r="W13"/>
  <c r="W74" s="1"/>
  <c r="W85" s="1"/>
  <c r="U13"/>
  <c r="U74" s="1"/>
  <c r="T13"/>
  <c r="T74" s="1"/>
  <c r="R13"/>
  <c r="R74" s="1"/>
  <c r="Q13"/>
  <c r="Q74" s="1"/>
  <c r="Q85" s="1"/>
  <c r="Q91" s="1"/>
  <c r="O13"/>
  <c r="N13"/>
  <c r="N74" s="1"/>
  <c r="N85" s="1"/>
  <c r="L13"/>
  <c r="K13"/>
  <c r="K74" s="1"/>
  <c r="K85" s="1"/>
  <c r="I13"/>
  <c r="I74" s="1"/>
  <c r="H13"/>
  <c r="H74" s="1"/>
  <c r="H85" s="1"/>
  <c r="AP12"/>
  <c r="AP73" s="1"/>
  <c r="AO12"/>
  <c r="AM12"/>
  <c r="AM73" s="1"/>
  <c r="AL12"/>
  <c r="AL73" s="1"/>
  <c r="AJ12"/>
  <c r="AJ73" s="1"/>
  <c r="AI12"/>
  <c r="AI73" s="1"/>
  <c r="AG12"/>
  <c r="AG73" s="1"/>
  <c r="AF12"/>
  <c r="AF73" s="1"/>
  <c r="AD12"/>
  <c r="AD73" s="1"/>
  <c r="AC12"/>
  <c r="AC73" s="1"/>
  <c r="AA12"/>
  <c r="AA73" s="1"/>
  <c r="Z12"/>
  <c r="Z73" s="1"/>
  <c r="X12"/>
  <c r="X73" s="1"/>
  <c r="X72" s="1"/>
  <c r="W12"/>
  <c r="W73" s="1"/>
  <c r="U12"/>
  <c r="U73" s="1"/>
  <c r="T12"/>
  <c r="T73" s="1"/>
  <c r="R12"/>
  <c r="R73" s="1"/>
  <c r="Q12"/>
  <c r="Q73" s="1"/>
  <c r="O12"/>
  <c r="O73" s="1"/>
  <c r="N12"/>
  <c r="N73" s="1"/>
  <c r="L12"/>
  <c r="L73" s="1"/>
  <c r="K12"/>
  <c r="K73" s="1"/>
  <c r="I12"/>
  <c r="I73" s="1"/>
  <c r="H12"/>
  <c r="H73" s="1"/>
  <c r="F12" l="1"/>
  <c r="F73" s="1"/>
  <c r="X61"/>
  <c r="Y67"/>
  <c r="S67"/>
  <c r="AK38"/>
  <c r="AQ38"/>
  <c r="AJ11"/>
  <c r="AK123"/>
  <c r="T91"/>
  <c r="T85"/>
  <c r="M94"/>
  <c r="AL74"/>
  <c r="AL85" s="1"/>
  <c r="AL91" s="1"/>
  <c r="J38"/>
  <c r="V23"/>
  <c r="AH23"/>
  <c r="AN23"/>
  <c r="F61"/>
  <c r="L61"/>
  <c r="O61"/>
  <c r="P61" s="1"/>
  <c r="P67"/>
  <c r="V118"/>
  <c r="O74"/>
  <c r="P74" s="1"/>
  <c r="L74"/>
  <c r="L85" s="1"/>
  <c r="M63"/>
  <c r="O11"/>
  <c r="F38"/>
  <c r="P118"/>
  <c r="AH113"/>
  <c r="M23"/>
  <c r="S23"/>
  <c r="Y23"/>
  <c r="AE23"/>
  <c r="AQ23"/>
  <c r="F23"/>
  <c r="Y28"/>
  <c r="AK28"/>
  <c r="AQ28"/>
  <c r="E28"/>
  <c r="G28" s="1"/>
  <c r="S38"/>
  <c r="AE38"/>
  <c r="U61"/>
  <c r="AA61"/>
  <c r="AG61"/>
  <c r="V67"/>
  <c r="AB67"/>
  <c r="AH67"/>
  <c r="V94"/>
  <c r="V103"/>
  <c r="AB108"/>
  <c r="S123"/>
  <c r="H61"/>
  <c r="Q61"/>
  <c r="S61" s="1"/>
  <c r="W61"/>
  <c r="Y61" s="1"/>
  <c r="AC61"/>
  <c r="AI61"/>
  <c r="AL61"/>
  <c r="AN61" s="1"/>
  <c r="Y103"/>
  <c r="V123"/>
  <c r="P123"/>
  <c r="J123"/>
  <c r="E33"/>
  <c r="G33" s="1"/>
  <c r="P23"/>
  <c r="J23"/>
  <c r="M118"/>
  <c r="AB94"/>
  <c r="P94"/>
  <c r="P38"/>
  <c r="AF13"/>
  <c r="AF74" s="1"/>
  <c r="AF85" s="1"/>
  <c r="E85" s="1"/>
  <c r="AF38"/>
  <c r="AH38" s="1"/>
  <c r="V38"/>
  <c r="AO11"/>
  <c r="W11"/>
  <c r="J28"/>
  <c r="P28"/>
  <c r="AN28"/>
  <c r="AB28"/>
  <c r="V28"/>
  <c r="AQ63"/>
  <c r="AQ94"/>
  <c r="AK94"/>
  <c r="AE94"/>
  <c r="Y94"/>
  <c r="S94"/>
  <c r="AQ103"/>
  <c r="AN103"/>
  <c r="AK103"/>
  <c r="AH103"/>
  <c r="AE103"/>
  <c r="AB103"/>
  <c r="G104"/>
  <c r="S103"/>
  <c r="AN108"/>
  <c r="AH108"/>
  <c r="E108"/>
  <c r="F113"/>
  <c r="AB113"/>
  <c r="E113"/>
  <c r="AN118"/>
  <c r="AK118"/>
  <c r="AH118"/>
  <c r="AB118"/>
  <c r="G119"/>
  <c r="F118"/>
  <c r="G120"/>
  <c r="E118"/>
  <c r="AQ123"/>
  <c r="AH123"/>
  <c r="AE123"/>
  <c r="Y123"/>
  <c r="M123"/>
  <c r="AE128"/>
  <c r="AH128"/>
  <c r="E128"/>
  <c r="AB128"/>
  <c r="E75"/>
  <c r="G41"/>
  <c r="AQ61"/>
  <c r="AN67"/>
  <c r="AK61"/>
  <c r="AK63"/>
  <c r="AH63"/>
  <c r="AH61"/>
  <c r="AE61"/>
  <c r="AE67"/>
  <c r="AE63"/>
  <c r="AB63"/>
  <c r="AB61"/>
  <c r="Y63"/>
  <c r="G63"/>
  <c r="V63"/>
  <c r="G67"/>
  <c r="V61"/>
  <c r="S63"/>
  <c r="K61"/>
  <c r="M67"/>
  <c r="M61"/>
  <c r="E61"/>
  <c r="G69"/>
  <c r="AN38"/>
  <c r="AB38"/>
  <c r="Y38"/>
  <c r="Q11"/>
  <c r="P99"/>
  <c r="N91"/>
  <c r="M38"/>
  <c r="K11"/>
  <c r="AQ33"/>
  <c r="AN33"/>
  <c r="AI11"/>
  <c r="AK11" s="1"/>
  <c r="AK33"/>
  <c r="AH33"/>
  <c r="AE33"/>
  <c r="AB33"/>
  <c r="Y33"/>
  <c r="V33"/>
  <c r="T11"/>
  <c r="G34"/>
  <c r="S33"/>
  <c r="P33"/>
  <c r="M33"/>
  <c r="J33"/>
  <c r="G35"/>
  <c r="AH28"/>
  <c r="G30"/>
  <c r="AE28"/>
  <c r="S28"/>
  <c r="M28"/>
  <c r="AL11"/>
  <c r="AK23"/>
  <c r="AB23"/>
  <c r="F13"/>
  <c r="F74" s="1"/>
  <c r="AK17"/>
  <c r="G21"/>
  <c r="H11"/>
  <c r="G15"/>
  <c r="F14"/>
  <c r="G20"/>
  <c r="N11"/>
  <c r="P11" s="1"/>
  <c r="L11"/>
  <c r="J17"/>
  <c r="Y17"/>
  <c r="Z11"/>
  <c r="AE17"/>
  <c r="AC11"/>
  <c r="F17"/>
  <c r="AN17"/>
  <c r="AQ17"/>
  <c r="G19"/>
  <c r="AP11"/>
  <c r="AQ12"/>
  <c r="AM11"/>
  <c r="AG11"/>
  <c r="AH17"/>
  <c r="AD11"/>
  <c r="AA11"/>
  <c r="AB17"/>
  <c r="X11"/>
  <c r="U11"/>
  <c r="V17"/>
  <c r="R11"/>
  <c r="S17"/>
  <c r="P17"/>
  <c r="M17"/>
  <c r="I11"/>
  <c r="K84"/>
  <c r="K72"/>
  <c r="N84"/>
  <c r="N72"/>
  <c r="Q84"/>
  <c r="Q72"/>
  <c r="W84"/>
  <c r="W72"/>
  <c r="Z84"/>
  <c r="Z72"/>
  <c r="AF84"/>
  <c r="AI84"/>
  <c r="AI72"/>
  <c r="M74"/>
  <c r="O85"/>
  <c r="R85"/>
  <c r="S74"/>
  <c r="X85"/>
  <c r="Y74"/>
  <c r="AA85"/>
  <c r="AB74"/>
  <c r="AG85"/>
  <c r="AJ85"/>
  <c r="AK74"/>
  <c r="AM85"/>
  <c r="AN74"/>
  <c r="AP85"/>
  <c r="AQ74"/>
  <c r="I86"/>
  <c r="O86"/>
  <c r="P76"/>
  <c r="U86"/>
  <c r="V76"/>
  <c r="X86"/>
  <c r="Y76"/>
  <c r="AD86"/>
  <c r="AE76"/>
  <c r="AG86"/>
  <c r="AH76"/>
  <c r="AJ86"/>
  <c r="AK76"/>
  <c r="AP86"/>
  <c r="AQ76"/>
  <c r="I84"/>
  <c r="J73"/>
  <c r="I72"/>
  <c r="L84"/>
  <c r="M73"/>
  <c r="O84"/>
  <c r="P73"/>
  <c r="R84"/>
  <c r="S73"/>
  <c r="R72"/>
  <c r="S72" s="1"/>
  <c r="U84"/>
  <c r="V73"/>
  <c r="U72"/>
  <c r="X84"/>
  <c r="Y73"/>
  <c r="Y72"/>
  <c r="AA84"/>
  <c r="AB73"/>
  <c r="AA72"/>
  <c r="AD84"/>
  <c r="AE73"/>
  <c r="AD72"/>
  <c r="AG84"/>
  <c r="AH73"/>
  <c r="AG72"/>
  <c r="AJ84"/>
  <c r="AK73"/>
  <c r="AJ72"/>
  <c r="AM84"/>
  <c r="AN73"/>
  <c r="AM72"/>
  <c r="AP84"/>
  <c r="AP72"/>
  <c r="E86"/>
  <c r="H92"/>
  <c r="E92" s="1"/>
  <c r="P75"/>
  <c r="H84"/>
  <c r="H90" s="1"/>
  <c r="H72"/>
  <c r="T84"/>
  <c r="T72"/>
  <c r="AC84"/>
  <c r="AC72"/>
  <c r="AL84"/>
  <c r="AL72"/>
  <c r="I85"/>
  <c r="J74"/>
  <c r="U85"/>
  <c r="V74"/>
  <c r="AD85"/>
  <c r="AE74"/>
  <c r="L86"/>
  <c r="M76"/>
  <c r="R86"/>
  <c r="S76"/>
  <c r="AA86"/>
  <c r="AB76"/>
  <c r="AM86"/>
  <c r="AN76"/>
  <c r="J12"/>
  <c r="P12"/>
  <c r="V12"/>
  <c r="AB12"/>
  <c r="AH12"/>
  <c r="AN12"/>
  <c r="M13"/>
  <c r="S13"/>
  <c r="Y13"/>
  <c r="AE13"/>
  <c r="AK13"/>
  <c r="AQ13"/>
  <c r="Y14"/>
  <c r="AK14"/>
  <c r="M15"/>
  <c r="S15"/>
  <c r="Y15"/>
  <c r="AE15"/>
  <c r="AK15"/>
  <c r="AQ15"/>
  <c r="E18"/>
  <c r="E25"/>
  <c r="G25" s="1"/>
  <c r="E40"/>
  <c r="E38" s="1"/>
  <c r="P40"/>
  <c r="S40"/>
  <c r="AN40"/>
  <c r="T99"/>
  <c r="V99" s="1"/>
  <c r="W91"/>
  <c r="AC91"/>
  <c r="AI91"/>
  <c r="AO73"/>
  <c r="F76"/>
  <c r="G76" s="1"/>
  <c r="P101"/>
  <c r="S101"/>
  <c r="Q99"/>
  <c r="S99" s="1"/>
  <c r="AN101"/>
  <c r="AL99"/>
  <c r="AN99" s="1"/>
  <c r="M12"/>
  <c r="S12"/>
  <c r="Y12"/>
  <c r="AE12"/>
  <c r="AK12"/>
  <c r="J13"/>
  <c r="P13"/>
  <c r="V13"/>
  <c r="AB13"/>
  <c r="AN13"/>
  <c r="E14"/>
  <c r="P14"/>
  <c r="P15"/>
  <c r="V15"/>
  <c r="AB15"/>
  <c r="AH15"/>
  <c r="AN15"/>
  <c r="V69"/>
  <c r="AQ101"/>
  <c r="G95"/>
  <c r="F94"/>
  <c r="H94"/>
  <c r="J94" s="1"/>
  <c r="AF94"/>
  <c r="AH94" s="1"/>
  <c r="AL94"/>
  <c r="AN94" s="1"/>
  <c r="E96"/>
  <c r="E94" s="1"/>
  <c r="AO99"/>
  <c r="AQ99" s="1"/>
  <c r="F101"/>
  <c r="E103"/>
  <c r="G103" s="1"/>
  <c r="AC113"/>
  <c r="AE113" s="1"/>
  <c r="Q118"/>
  <c r="S118" s="1"/>
  <c r="W118"/>
  <c r="Y118" s="1"/>
  <c r="AC118"/>
  <c r="AE118" s="1"/>
  <c r="AO118"/>
  <c r="AQ118" s="1"/>
  <c r="F123"/>
  <c r="Z123"/>
  <c r="AB123" s="1"/>
  <c r="AL123"/>
  <c r="AN123" s="1"/>
  <c r="E124"/>
  <c r="G124" s="1"/>
  <c r="E125"/>
  <c r="G125" s="1"/>
  <c r="G14" l="1"/>
  <c r="G38"/>
  <c r="O72"/>
  <c r="L72"/>
  <c r="G61"/>
  <c r="AF11"/>
  <c r="AH11" s="1"/>
  <c r="AQ11"/>
  <c r="Y11"/>
  <c r="AK72"/>
  <c r="AH13"/>
  <c r="AH74"/>
  <c r="AF72"/>
  <c r="AH72" s="1"/>
  <c r="S11"/>
  <c r="J11"/>
  <c r="AN11"/>
  <c r="AE11"/>
  <c r="G96"/>
  <c r="G118"/>
  <c r="M11"/>
  <c r="V11"/>
  <c r="AB11"/>
  <c r="F11"/>
  <c r="M72"/>
  <c r="AO84"/>
  <c r="E84" s="1"/>
  <c r="E83" s="1"/>
  <c r="AO72"/>
  <c r="AQ72" s="1"/>
  <c r="AH101"/>
  <c r="AF99"/>
  <c r="AH99" s="1"/>
  <c r="AB101"/>
  <c r="Z99"/>
  <c r="AB99" s="1"/>
  <c r="E17"/>
  <c r="G17" s="1"/>
  <c r="E12"/>
  <c r="AK84"/>
  <c r="AJ83"/>
  <c r="AJ90"/>
  <c r="AE84"/>
  <c r="AD83"/>
  <c r="AD90"/>
  <c r="M84"/>
  <c r="L90"/>
  <c r="L83"/>
  <c r="F99"/>
  <c r="E101"/>
  <c r="E99" s="1"/>
  <c r="H99"/>
  <c r="J99" s="1"/>
  <c r="AK101"/>
  <c r="AI99"/>
  <c r="AK99" s="1"/>
  <c r="AE101"/>
  <c r="AC99"/>
  <c r="AE99" s="1"/>
  <c r="Y101"/>
  <c r="W99"/>
  <c r="Y99" s="1"/>
  <c r="E23"/>
  <c r="G23" s="1"/>
  <c r="E13"/>
  <c r="AM92"/>
  <c r="AN92" s="1"/>
  <c r="AN86"/>
  <c r="AA92"/>
  <c r="AB92" s="1"/>
  <c r="AB86"/>
  <c r="R92"/>
  <c r="S92" s="1"/>
  <c r="S86"/>
  <c r="L92"/>
  <c r="M92" s="1"/>
  <c r="M86"/>
  <c r="AD91"/>
  <c r="AE91" s="1"/>
  <c r="AE85"/>
  <c r="V85"/>
  <c r="U91"/>
  <c r="U136" s="1"/>
  <c r="U134" s="1"/>
  <c r="J85"/>
  <c r="F85"/>
  <c r="G85" s="1"/>
  <c r="I91"/>
  <c r="AL83"/>
  <c r="AL90"/>
  <c r="AC90"/>
  <c r="AC83"/>
  <c r="T90"/>
  <c r="T83"/>
  <c r="H83"/>
  <c r="AM90"/>
  <c r="AN84"/>
  <c r="AM83"/>
  <c r="AG90"/>
  <c r="AH84"/>
  <c r="AG83"/>
  <c r="AA90"/>
  <c r="AB84"/>
  <c r="AA83"/>
  <c r="U90"/>
  <c r="V84"/>
  <c r="U83"/>
  <c r="O90"/>
  <c r="P84"/>
  <c r="O83"/>
  <c r="I90"/>
  <c r="J84"/>
  <c r="F84"/>
  <c r="I83"/>
  <c r="AP92"/>
  <c r="AQ92" s="1"/>
  <c r="AQ86"/>
  <c r="AJ92"/>
  <c r="AK92" s="1"/>
  <c r="AK86"/>
  <c r="AG92"/>
  <c r="AH92" s="1"/>
  <c r="AH86"/>
  <c r="AD92"/>
  <c r="AE92" s="1"/>
  <c r="AE86"/>
  <c r="X92"/>
  <c r="Y92" s="1"/>
  <c r="Y86"/>
  <c r="U92"/>
  <c r="V92" s="1"/>
  <c r="V86"/>
  <c r="O92"/>
  <c r="P92" s="1"/>
  <c r="P86"/>
  <c r="I92"/>
  <c r="F86"/>
  <c r="G86" s="1"/>
  <c r="AP91"/>
  <c r="AQ85"/>
  <c r="AN85"/>
  <c r="AM91"/>
  <c r="AN91" s="1"/>
  <c r="AJ91"/>
  <c r="AK91" s="1"/>
  <c r="AK85"/>
  <c r="AH85"/>
  <c r="AG91"/>
  <c r="AB85"/>
  <c r="AA91"/>
  <c r="X91"/>
  <c r="Y85"/>
  <c r="R91"/>
  <c r="S85"/>
  <c r="P85"/>
  <c r="O91"/>
  <c r="P91" s="1"/>
  <c r="L91"/>
  <c r="M85"/>
  <c r="AI90"/>
  <c r="AI83"/>
  <c r="AF83"/>
  <c r="AF90"/>
  <c r="Z83"/>
  <c r="Z90"/>
  <c r="W90"/>
  <c r="W83"/>
  <c r="Q90"/>
  <c r="Q83"/>
  <c r="N90"/>
  <c r="N83"/>
  <c r="K90"/>
  <c r="K83"/>
  <c r="E123"/>
  <c r="G123" s="1"/>
  <c r="G94"/>
  <c r="V101"/>
  <c r="J101"/>
  <c r="G40"/>
  <c r="G18"/>
  <c r="G75"/>
  <c r="AO91"/>
  <c r="AF91"/>
  <c r="Z91"/>
  <c r="H91"/>
  <c r="AQ73"/>
  <c r="AN72"/>
  <c r="AB72"/>
  <c r="V72"/>
  <c r="P72"/>
  <c r="J72"/>
  <c r="M101"/>
  <c r="K99"/>
  <c r="M99" s="1"/>
  <c r="AP83"/>
  <c r="AP90"/>
  <c r="Y84"/>
  <c r="X90"/>
  <c r="X83"/>
  <c r="S84"/>
  <c r="R90"/>
  <c r="R83"/>
  <c r="K91"/>
  <c r="AE72"/>
  <c r="F72"/>
  <c r="Y91" l="1"/>
  <c r="X136"/>
  <c r="X134" s="1"/>
  <c r="S91"/>
  <c r="R136"/>
  <c r="N89"/>
  <c r="Q89"/>
  <c r="W89"/>
  <c r="AI89"/>
  <c r="AL89"/>
  <c r="AC89"/>
  <c r="AQ84"/>
  <c r="Y83"/>
  <c r="F92"/>
  <c r="G92" s="1"/>
  <c r="AN83"/>
  <c r="S83"/>
  <c r="J83"/>
  <c r="Y90"/>
  <c r="X89"/>
  <c r="AP89"/>
  <c r="G84"/>
  <c r="F83"/>
  <c r="G83" s="1"/>
  <c r="J90"/>
  <c r="F90"/>
  <c r="I89"/>
  <c r="V90"/>
  <c r="U89"/>
  <c r="AH90"/>
  <c r="AG89"/>
  <c r="E74"/>
  <c r="G74" s="1"/>
  <c r="G13"/>
  <c r="AK90"/>
  <c r="AJ89"/>
  <c r="AK89" s="1"/>
  <c r="AO90"/>
  <c r="AO83"/>
  <c r="AQ83" s="1"/>
  <c r="E91"/>
  <c r="Z89"/>
  <c r="AF89"/>
  <c r="AB91"/>
  <c r="AH91"/>
  <c r="V83"/>
  <c r="AH83"/>
  <c r="T89"/>
  <c r="V91"/>
  <c r="G99"/>
  <c r="M83"/>
  <c r="AE83"/>
  <c r="S90"/>
  <c r="R89"/>
  <c r="P90"/>
  <c r="O89"/>
  <c r="AB90"/>
  <c r="AA89"/>
  <c r="AN90"/>
  <c r="AM89"/>
  <c r="H89"/>
  <c r="J91"/>
  <c r="F91"/>
  <c r="M90"/>
  <c r="L89"/>
  <c r="AE90"/>
  <c r="AD89"/>
  <c r="E11"/>
  <c r="G11" s="1"/>
  <c r="E73"/>
  <c r="G12"/>
  <c r="K89"/>
  <c r="M91"/>
  <c r="AQ91"/>
  <c r="P83"/>
  <c r="AB83"/>
  <c r="G101"/>
  <c r="AK83"/>
  <c r="R134" l="1"/>
  <c r="F136"/>
  <c r="F134" s="1"/>
  <c r="S89"/>
  <c r="AE89"/>
  <c r="Y89"/>
  <c r="AN89"/>
  <c r="P89"/>
  <c r="AO89"/>
  <c r="AQ89" s="1"/>
  <c r="E90"/>
  <c r="E89" s="1"/>
  <c r="AB89"/>
  <c r="G91"/>
  <c r="M89"/>
  <c r="E72"/>
  <c r="G72" s="1"/>
  <c r="G73"/>
  <c r="AH89"/>
  <c r="V89"/>
  <c r="J89"/>
  <c r="AQ90"/>
  <c r="F89"/>
  <c r="G90" l="1"/>
  <c r="G89"/>
  <c r="D7" i="2" l="1"/>
  <c r="D6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19" i="8" l="1"/>
  <c r="D19" s="1"/>
  <c r="C5"/>
  <c r="C8"/>
  <c r="D8" s="1"/>
  <c r="C11"/>
  <c r="D11" s="1"/>
  <c r="C14"/>
  <c r="D14" s="1"/>
  <c r="D5"/>
  <c r="D24" l="1"/>
  <c r="C24"/>
  <c r="D3" i="2"/>
</calcChain>
</file>

<file path=xl/sharedStrings.xml><?xml version="1.0" encoding="utf-8"?>
<sst xmlns="http://schemas.openxmlformats.org/spreadsheetml/2006/main" count="837" uniqueCount="344">
  <si>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</si>
  <si>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</si>
  <si>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</si>
  <si>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</si>
  <si>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</si>
  <si>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</si>
  <si>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</si>
  <si>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</si>
  <si>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</si>
  <si>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</si>
  <si>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</si>
  <si>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</si>
  <si>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</si>
  <si>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</si>
  <si>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</si>
  <si>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</si>
  <si>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</si>
  <si>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</si>
  <si>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</si>
  <si>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</si>
  <si>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</si>
  <si>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</si>
  <si>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</si>
  <si>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</si>
  <si>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</si>
  <si>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</si>
  <si>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</si>
  <si>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</si>
  <si>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</si>
  <si>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</si>
  <si>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</si>
  <si>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</si>
  <si>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</si>
  <si>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</si>
  <si>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</si>
  <si>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</si>
  <si>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</si>
  <si>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</si>
  <si>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</si>
  <si>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</si>
  <si>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</si>
  <si>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</si>
  <si>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</si>
  <si>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</si>
  <si>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</si>
  <si>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</si>
  <si>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</si>
  <si>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</si>
  <si>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</si>
  <si>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</si>
  <si>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</si>
  <si>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</si>
  <si>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</si>
  <si>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</si>
  <si>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</si>
  <si>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</si>
  <si>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</si>
  <si>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</si>
  <si>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</si>
  <si>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</si>
  <si>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</si>
  <si>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</si>
  <si>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</si>
  <si>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</si>
  <si>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</si>
  <si>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</si>
  <si>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</si>
  <si>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</si>
  <si>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</si>
  <si>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</si>
  <si>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</si>
  <si>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</si>
  <si>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</si>
  <si>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</si>
  <si>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</si>
  <si>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</si>
  <si>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</si>
  <si>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</si>
  <si>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</si>
  <si>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</si>
  <si>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</si>
  <si>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</si>
  <si>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</si>
  <si>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</si>
  <si>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</si>
  <si>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</si>
  <si>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</si>
  <si>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</si>
  <si>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</si>
  <si>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</si>
  <si>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</si>
  <si>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</si>
  <si>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</si>
  <si>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</si>
  <si>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</si>
  <si>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</si>
  <si>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</si>
  <si>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</si>
  <si>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</si>
  <si>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</si>
  <si>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</si>
  <si>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</si>
  <si>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</si>
  <si>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</si>
  <si>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</si>
  <si>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</si>
  <si>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</si>
  <si>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</si>
  <si>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</si>
  <si>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</si>
  <si>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</si>
  <si>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</si>
  <si>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</si>
  <si>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</si>
  <si>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</si>
  <si>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</si>
  <si>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</si>
  <si>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</si>
  <si>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</si>
  <si>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</si>
  <si>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</si>
  <si>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</si>
  <si>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</si>
  <si>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</si>
  <si>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</si>
  <si>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</si>
  <si>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</si>
  <si>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</si>
  <si>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</si>
  <si>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</si>
  <si>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</si>
  <si>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</si>
  <si>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</si>
  <si>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</si>
  <si>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</si>
  <si>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</si>
  <si>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</si>
  <si>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</si>
  <si>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</si>
  <si>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</si>
  <si>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</si>
  <si>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</si>
  <si>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</si>
  <si>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</si>
  <si>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</si>
  <si>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</si>
  <si>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</si>
  <si>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</si>
  <si>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</si>
  <si>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</si>
  <si>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</si>
  <si>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</si>
  <si>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</si>
  <si>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</si>
  <si>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</si>
  <si>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</si>
  <si>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</si>
  <si>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</si>
  <si>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</si>
  <si>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</si>
  <si>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</si>
  <si>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</si>
  <si>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</si>
  <si>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</si>
  <si>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</si>
  <si>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</si>
  <si>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</si>
  <si>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</si>
  <si>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</si>
  <si>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</si>
  <si>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</si>
  <si>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</si>
  <si>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</si>
  <si>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</si>
  <si>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</si>
  <si>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</si>
  <si>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</si>
  <si>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</si>
  <si>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</si>
  <si>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</si>
  <si>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</si>
  <si>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</si>
  <si>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</si>
  <si>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</si>
  <si>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</si>
  <si>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</si>
  <si>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</si>
  <si>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</si>
  <si>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</si>
  <si>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</si>
  <si>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</si>
  <si>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</si>
  <si>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</si>
  <si>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</si>
  <si>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</si>
  <si>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</si>
  <si>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</si>
  <si>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</si>
  <si>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</si>
  <si>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</si>
  <si>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</si>
  <si>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</si>
  <si>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</si>
  <si>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</si>
  <si>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</si>
  <si>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</si>
  <si>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</si>
  <si>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</si>
  <si>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</si>
  <si>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</si>
  <si>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</si>
  <si>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</si>
  <si>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</si>
  <si>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</si>
  <si>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</si>
  <si>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</si>
  <si>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</si>
  <si>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</si>
  <si>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</si>
  <si>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</si>
  <si>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</si>
  <si>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</si>
  <si>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</si>
  <si>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</si>
  <si>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</si>
  <si>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</si>
  <si>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</si>
  <si>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</si>
  <si>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</si>
  <si>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</si>
  <si>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</si>
  <si>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</si>
  <si>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</si>
  <si>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</si>
  <si>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</si>
  <si>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</si>
  <si>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</si>
  <si>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</si>
  <si>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</si>
  <si>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</si>
  <si>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</si>
  <si>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</si>
  <si>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</si>
  <si>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</si>
  <si>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</si>
  <si>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</si>
  <si>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</si>
  <si>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</si>
  <si>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</si>
  <si>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</si>
  <si>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</si>
  <si>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</si>
  <si>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</si>
  <si>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</si>
  <si>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</si>
  <si>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Федеральный бюджет</t>
  </si>
  <si>
    <t>План</t>
  </si>
  <si>
    <t>Факт</t>
  </si>
  <si>
    <t>Исполнение, %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</si>
  <si>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</si>
  <si>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</si>
  <si>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-</t>
  </si>
  <si>
    <t>Ответственный исполнитель (соисполнитель)</t>
  </si>
  <si>
    <t>Согласовано:</t>
  </si>
  <si>
    <t xml:space="preserve">муниципальной программы </t>
  </si>
  <si>
    <t>Комитет по финансам администрации города Урай</t>
  </si>
  <si>
    <t>Начальник сводно-аналитического отдела администрации города Урай Назарова Ирина Николаевна</t>
  </si>
  <si>
    <t xml:space="preserve">Бюджет Ханты-Мансийского автономного округа - Югры </t>
  </si>
  <si>
    <t>Без финансирования</t>
  </si>
  <si>
    <t>Всего:</t>
  </si>
  <si>
    <t>ИТОГО по  программе:</t>
  </si>
  <si>
    <t>Подпрограмма 1 «Создание условий для совершенствования системы муниципального управления»</t>
  </si>
  <si>
    <t>Подпрограмма 2 «Предоставление государственных и муниципальных услуг»</t>
  </si>
  <si>
    <t>Подпрограмма 3 «Развитие муниципальной службы и резерва управленческих кадров»</t>
  </si>
  <si>
    <t>ОТЧЕТ</t>
  </si>
  <si>
    <t>Таблица 1</t>
  </si>
  <si>
    <t>Приложение к Порядку принятия решения о разработке муниципальных</t>
  </si>
  <si>
    <t>программ муниципального образования городской округ город Урай, их</t>
  </si>
  <si>
    <t>формирования, утверждения, корректировки и реализации</t>
  </si>
  <si>
    <t xml:space="preserve">Местный бюджет </t>
  </si>
  <si>
    <t>Местный бюджет</t>
  </si>
  <si>
    <t>1.</t>
  </si>
  <si>
    <t>1.3</t>
  </si>
  <si>
    <t>1.7.</t>
  </si>
  <si>
    <t>2.</t>
  </si>
  <si>
    <t>Иные источники финансирования</t>
  </si>
  <si>
    <t>Реализация полномочий 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 (1, 2)</t>
  </si>
  <si>
    <t>Обеспечение исполнения гарантий, предоставляемых  муниципальным служащим по выплате пенсии за выслугу лет (4)</t>
  </si>
  <si>
    <t xml:space="preserve">Содействие улучшению положения на рынке труда не занятых трудовой деятельностью и безработных граждан (3)
</t>
  </si>
  <si>
    <t>Управление и распоряжение муниципальным имуществом (5)</t>
  </si>
  <si>
    <t xml:space="preserve">Реализация Федерального проекта «Содействие занятости женщин - создание условий дошкольного образования для детей в возрасте до трех лет» (1)
</t>
  </si>
  <si>
    <t>Информирование и консультирование в сфере защиты прав потребителей (1)</t>
  </si>
  <si>
    <t>Предоставление муниципальных услуг и государственных услуг при осуществлении отдельных государственных полномочий, переданных федеральными законами и законами  Ханты-Мансийского автономного округа – Югры (6, 7, 8)</t>
  </si>
  <si>
    <t>Организация предоставления государственных и муниципальных услуг в МАУ МФЦ (9)</t>
  </si>
  <si>
    <t>3.</t>
  </si>
  <si>
    <t>3.3.</t>
  </si>
  <si>
    <t>Формирование резерва кадров  должностей муниципальной службы высшей, главной и ведущей группы, учрежденных для выполнения функции «руководитель» (10)</t>
  </si>
  <si>
    <t>Инвестиции в объекты муниципальной собственности</t>
  </si>
  <si>
    <t>Прочие расходы</t>
  </si>
  <si>
    <t>Соисполнитель 1 (Муниципальное казенное учреждение  «Управление материально-технического обеспечения города Урай»)</t>
  </si>
  <si>
    <t>Соисполнитель 4 (Муниципальное казенное учреждение «Управление градостроительства, землепользования и природопользования города Урай»)</t>
  </si>
  <si>
    <t>Соисполнитель 5 (Муниципальное казенное учреждение «Управление капитального строительства города Урай»)</t>
  </si>
  <si>
    <t>Соисполнитель 6 (Муниципальное казенное учреждение «Управление жилищно-коммунального хозяйства города Урай»)</t>
  </si>
  <si>
    <t>МКУ «УМТО города Урай», МКУ «ЦБУгорода Урай»</t>
  </si>
  <si>
    <t>сводно-аналитический отдел администрации города Урай</t>
  </si>
  <si>
    <t>Соисполнитель 7 (Муниципальное казенное учреждение «Центр бухгалтерского учета города Урай»)</t>
  </si>
  <si>
    <t>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  (1)</t>
  </si>
  <si>
    <t>Основные мероприятия муниципальной программы
(их взаимосвязь с целевыми показателями муниципальной программы)</t>
  </si>
  <si>
    <t xml:space="preserve">Ответственный исполнитель/соисполнитель </t>
  </si>
  <si>
    <t>Финансовые затраты на реализацию 
(тыс. рублей)</t>
  </si>
  <si>
    <t xml:space="preserve">№ </t>
  </si>
  <si>
    <t>Ответственный исполнитель - сводно-аналитический отдел администрации города Урай</t>
  </si>
  <si>
    <t xml:space="preserve">сводно-аналитический отдел администрации города Урай, МКУ «УЖКХ города Урай»,  МКУ «УМТО города Урай»,  органы администрации города Урай: отдел опеки и попечительства администрации города Урай
</t>
  </si>
  <si>
    <t>МКУ «УКС города Урай», МКУ «УГЗиП города Урай»,  МКУ «УЖКХ города Урай», органы администрации города Урай:   управление по учету и распределению муниципального жилого фонда администрации города Урай, комитет по управлению муниципальным имуществом администрации города Урай</t>
  </si>
  <si>
    <t>органы администрации города Урай: правовое управление администрации города Урай</t>
  </si>
  <si>
    <t>органы администрации города Урай, предоставляющие муниципальные услуги, МКУ «УГЗиП  города Урай»</t>
  </si>
  <si>
    <t>сводно-аналитический отдел администрации города Урай,  органы администрации города Урай: управление экономического развития администрации города Урай</t>
  </si>
  <si>
    <t>органы администрации города Урай: управление по развитию местного самоуправления администрации города Урай</t>
  </si>
  <si>
    <t xml:space="preserve">сводно-аналитический отдел администрации города Урай, Комитет по финансам администрации города Урай, органы администрации города Урай: управление по развитию местного самоуправления администрации города Урай
</t>
  </si>
  <si>
    <t>Соисполнитель 2 (Органы администрации города Урай - комитет по управлению муниципальным имуществом администрации города Урай,  управление по развитию местного самоуправления администрации города Урай, управление по учету и распределению муниципального жилого фонда администрации города Урай, управление экономического развития администрации города Урай, отдел опеки и попечительства администрации города Урай, правовое управление администрации города Урай,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 управление внутренней  политики администрации города Урай,  пресс-служба администрации города Урай)</t>
  </si>
  <si>
    <t>Соисполнитель 8 (Муниципальное казенное учреждение «Единая дежурно-диспетчерская служба города Урай»)</t>
  </si>
  <si>
    <t>кроме того, местный бюджет, за счёт остатков прошлых лет</t>
  </si>
  <si>
    <t>Организация повышения профессионального уровня муниципальных служащих органов местного самоуправления, председателя контрольно-счетной палаты и депутатов Думы города Урай, замещающих муниципальные должности, главы города Урай (12)</t>
  </si>
  <si>
    <t>Соисполнитель 3   (Управление образования  администрации города Урай)</t>
  </si>
  <si>
    <t>сводно-аналитический отдел администрации города Урай, Управление образования администрации города Урай,  МКУ «УМТО города Урай», МКУ «ЕДДС города Урай», МКУ «УЖКХ города Урай», МКУ «УКС города Урай», МКУ «УГЗиП города Урай»</t>
  </si>
  <si>
    <t>Управление образования  администрации города Урай</t>
  </si>
  <si>
    <r>
      <t xml:space="preserve">"______"_________________2023 </t>
    </r>
    <r>
      <rPr>
        <sz val="9"/>
        <rFont val="Times New Roman"/>
        <family val="1"/>
        <charset val="204"/>
      </rPr>
      <t>подпись</t>
    </r>
    <r>
      <rPr>
        <sz val="12"/>
        <rFont val="Times New Roman"/>
        <family val="1"/>
        <charset val="204"/>
      </rPr>
      <t xml:space="preserve"> _____________________________</t>
    </r>
  </si>
  <si>
    <t>Исполнение мероприятия в 2023 году не предусмотрено</t>
  </si>
  <si>
    <t xml:space="preserve">В отчетном периоде по итогам конкурсных отборов был сформирован кадровый резев для замещения вакантных должностей муниципальной службы  высшей, главной и ведущей групп, учрежденных для выполнения функции «руководитель» на 2 должности муниципальной службы. В кадровый резерв включено 2 человека. Назначено на вакантные должности из кадрового резерва 2 человека. </t>
  </si>
  <si>
    <t>В рамках данного мероприятия заключаются договора на трудоустройство граждан, в том числе подростков в целях реализации  государственной программы Ханты-Мансийского автономного округа - Югры "Поддержка занятости населения".</t>
  </si>
  <si>
    <t>Финансирование мероприятий по содействию трудоустройству граждан осуществляется в соответствии с реестром получателей средств бюджета автономного округа и заключенными договорами. Оплата производится за фактически отработанное время.</t>
  </si>
  <si>
    <t>о ходе исполнения комплексного плана (сетевого графика) реализации  муниципальной программы "Совершенствование и развитие муниципального управления в г.Урай" на 2018-2030 годы       на 01.07.2023 года</t>
  </si>
  <si>
    <t>ПРОВЕРКА</t>
  </si>
  <si>
    <t xml:space="preserve">За отчетный период комитетом по управлению муниципальным имуществом администрации города Урай  зарегистрировано  3 объекта - 1) сеть теплоснабжения мкр.А,Г, переданные от ООО СК "НОЙ", 2) сеть газоснабжения мкр. Южный, 3) сеть водоснабжения мкр. Южный.                                                                                                                                                                                                                                                                                За  1 полугодие 2023 года  в хозяйственный оборот вовлечено 59 земельных участка: 1)17 земельных участков переданных в аренду без проведения торгов; 2)7 земельных участков переданных с аукциона на право заключения договора аренды; 3) реализовано 35 земельных участка, переданных переданных муниципальным казенным учреждением "Управление градостроительства, землепользования и природопользования города Урай".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1 июля  2023 года городской округ Урай  ХМАО-Югры  является учредителем 4 хозяйственных обществ. Во всех хозяйственных обществах единственным акционером, имеющим в собственности 100% акций является городской округ Урай.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состоялось 3 заседания Совета директоров, проведены 2 ревезионные проверки финансово-хозяйственной деятельности в хозяйственных обществах ООО "Ритуальных услуг", АО "Центр красоты и здоровья". Результаты проверок направлены в органы управления Обществ.                                                                                                                                                                                                                                                  </t>
  </si>
  <si>
    <t>В рамках данного мероприятия осуществляется финансирование содержания нежилых помещений, транспортных средств, рекламных конструкций, объектов муниципальной казны, необходимых для деятельности и осуществления полномочий органов местного самоуправления. 
В рамках данной деятельности за 1 полугодие 2023 года заключены муниципальные контракты и договора в количестве 87 единиц, в том числе на содержание объектов муниципальной казны:  техническое обслуживание и содержание объектов – 55 муниципальных контрактов и договоров (содержание нежилых помещений в многоквартирных домах, приобретение строй., хоз. материалов, поставка огнетушителей, оказание услуг связи и т.д.); на содержание и ремонт транспортных средств – 32 муниципальных контрактов и договоров (ремонт, техническое обслуживание, приобретение запасных частей, горюче-смазочных материалов).  Организована бесперебойная работа всех служб учреждения для поддержания хозяйственно-технической деятельности.                                                                                                                           Осуществлено ведение бухгалтерского (бюджетного), налогового и статистического учета органов местного самоуправления и муниципальных учреждений города Урай. Сформированы и направлены отчеты (в том числе консолидированные отчеты) по результатам работы за 2022 год, 1 квартал 2023 года по главному распорядителю бюджетных средств, в ПФР, в ФСС, в ИФНС, в Росстат</t>
  </si>
  <si>
    <t>В отчетном периоде проводилось повышение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Урай.  Обучено 34 муниципальных служащих администрации и органов администрации города Урай</t>
  </si>
  <si>
    <t xml:space="preserve">В отчетном периоде в отдел по защите прав потребителей поступило 115 обращения (68 обратившихся лично и 47 - по электронной почте и телефону).  В основном граждане обращались по вопросам  торговли (всего 77 человек) - в основном это: купля – продажа  технически сложных товаров бытового назначения,  самое большое количество обращений - это жалобы на качество сотовых телефонов –  14 обращений, далее бытовая радиоэлектронная аппаратура  –12  обращений,  электробытовые машины, приборы и инструменты - 4 обращения, одежда, обувь и головные уборы  - 7 обращений, мебель и мебельные гарнитуры - 2 обращения, жилищно-коммунальные услуги -15 обращений и др. Ведется и индивидуальная работа с предпринимателями, консультации частных предпринимателей  представителей хозяйствующих субъектов, работающих на территории города (12 консультаций), по  вопросам законодательства РФ о защите прав потребителей.    
Содействие потребителям в реализации их права на судебную защиту, установленную в ст. 17 Закона РФ «О защите прав потребителей». За 1 полугодие 2023 года составлено и направлено в суд 5 исковых заявления от имени потребителей. Сумма исковых требований составила - 187,5 тыс.рублей. Кроме составления искового заявления потребителю оказывается помощь в сборе различных документов, доказательств, необходимых для судебного разбирательства. Также дается полная юридическая консультация по вопросам процессуального характера, разъяснение нормативных актов по защите прав потребителей.
Уделяется внимание в работе службы профилактической и информационно – разъяснительной работе среди населения города основных положений законодательства о защите прав потребителей, посредством:  опубликования в городской газете «Знамя» и на официальном сайте администрации г.Урай материалов, где затрагиваются различные аспекты законодательства РФ о защите прав потребителей. Материал дается в доступной форме, понятной читателю. 
 На официальном сайте органов местного самоуправления города Урай в информационно-телекоммуникационной сети «Интернет» в разделе «Информация для граждан» - «Защита прав потребителей» размещено 3 материала. </t>
  </si>
  <si>
    <t>За отчетный период пенсия за выслугу лет лицам, замещающим муниципальные должности и должности муниципальной службы в городе Урай выплачена 54 пенсионерам</t>
  </si>
  <si>
    <t xml:space="preserve">Неисполнение обусловлено наличием листов нетрудоспособности, с переносом льготного проезда, экономией средств, сложившейся в результате проведения конкурсных процедур, с задержкой документов на оплату счетов на оказание услуг по заключенным контрактам, а также экономией энергоресурсов на электроэнергию. </t>
  </si>
  <si>
    <t>Неисполнение обусловлено переносом сроков проведения курсов повышения квалификации по причине отсутствия достаточного количества слушателей</t>
  </si>
  <si>
    <t>Финансирование мероприятия осуществляется по фактически произведенным затратам. Кроме этого, сложилась экономия средств по результатам проведения конкурсных процедур на выполнение кадастровых работ и оценке объектов оценки. Также длительность согласования цены сделки при выкупе гаражей</t>
  </si>
  <si>
    <t>Неисполнение связано с  длительными больничными листами, наличием вакансий,  с экономией средств, сложившейся в результате проведения конкурсной процедуры на поставку бумаги к офисной технике,на поставку картириджей и модулей архивного хранения, с переносом срока выхода сотрудника из декретного отпуска, переносом сроков ежегодного отпуска, с предоставлением авансового отчета на оплату компенсации стоимости санаторно-курортного лечения, командировочные расходы на меньшую сумму, чем планировалось,  с оплатой услуг по фактически произведенным затратам, выплатой премии по итогам работы за год за фактически отработанное время</t>
  </si>
  <si>
    <t xml:space="preserve">Органами администрации оказываются 55 муниципальных услуг, 10 услуг, предоставляемых муниципальными учреждениями и 2 государственные услуги при осуществлении отдельных государственных полномочий, переданных федеральными законами и законами  Ханты-Мансийского автономного округа – Югры (правовое управление, отдел ЗАГС).
За 1 полугодие  2023 года всего оказано услуг –677 746, из них: 
муниципальных услуг –1 097,
услуг учреждений –674 723,                                                                                                                                                                                                                                                                                                                                                                                                                                                                                                                     государственных услуг – 1 926.
За  отчетный период всего оказано услуг в электронном виде  673 452 (99%),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том числе:
оказанных ОМСУ   в электронном виде -373, что составляет 34%,
оказанных учреждениями –  672 196,  что составляет 99%,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переданным государственным полномочиям - 883,  что составляет 45%. </t>
  </si>
  <si>
    <t xml:space="preserve">В отчетном периоде в действующие муниципальные нормативные правовые акты администрации города Урай внесено 172 изменений и дополнений, принято 10 новых муниципальных нормативных правовых актов администрации города Урай, 9 муниципальных нормативных правовых актов администрации города Урай о признании утратившим силу ранее принятого акта, 15 муниципальных нормативных правовых актов администрации города Урай взамен отмененных.
За  1 полугодие 2023 года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 в эфире ТРК «Спектр+» было подготовлен 157 материала. Официальная информация о ходе социально-экономических преобразований и политических событий в городе Урай размещается в газете «Знамя».  За отчетный период в печатной газете «Знамя» было опубликовано 131 материала о деятельности органов местного самоуправления города Урай, реализации муниципальных программ и социально-экономических преобразованиях в муниципалитете, дополнительно аналогичные публикации выходили в электронной версии газеты - на сайте www.infoflag.ru. В разделе «Новости» на официальном сайте органов местного самоуправления  размещено 114 пресс-релиза о деятельности органов местного самоуправления и 27 о важнейших событиях в жизни муниципалитета. Продолжено активное ведение официальных страниц муниципалитета в социальных сетях.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 мониторинг состояний и условий охраны труда в 102 организациях города. Общая численность работников организаций предоставивших информацию составила 10 399 человек. Подготовлено 5 правовых акта по охране труда, разработано 7 методическое пособие по охране труда.  Организовано и проведено 10 семинаров (вебинаров) по охране труда, 1 заседание Межведомственной комиссии по охране труда города Урай, на котором рассмотрено 3 вопроса. На сайте органов местного самоуправления города Урай, на информационной площадке профессионального сообщества по охране труда в мессенждере "Viber" опубликовано 68 информационных, справочных материала. Рассмотрено 70 устных обращений. Распространено 1 285 экземпляра методической, справочной литературы, нормативно-правовых актов. 
Отделом ЗАГС зарегистрировано 617 записи актов гражданского состояния, из них 158 о рождении, 99 о заключении брака, 175 о смерти, 118 о расторжении брака, 37 об установлении отцовства, 27 о перемене имени и 3 записи об усыновлении.  За отчетный период оказано населению 1 811 государственных услуг, из них 883 в электронном виде. За 1 полугодие 2023 года было вручено 156 подарка "Расту в Югре".  19 марта 1963 года, 60 лет назад, была оформлена первая запись акта. Запись оформлена о рождении ребенка. С 1 по 14 апреля 2023 года в выставочном зале КИЦ города Урай работала выставка "Свадебный переполох". 1 июня в честь Дня защиты детей, сотрудниками отдела ЗАГС подготовлен и проведен праздник "Я - гражданин России", на котором в торжественной обстановке были вручены свидетельства о рождении новорожденным урайцам и паспорта юным жителям города.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отчетном периоде Архивной службой  подготовлено 705 архивных справок на социально-правовые, тематические запросы; поступило в службу 753 запроса; изготовлено 291 единицы копий с архивных документов на 1 236 листах, оцифровано 45 единиц хранения на 9 254 листах.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</si>
</sst>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</numFmts>
  <fonts count="2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7" fillId="0" borderId="0"/>
    <xf numFmtId="164" fontId="13" fillId="0" borderId="0" applyFont="0" applyFill="0" applyBorder="0" applyAlignment="0" applyProtection="0"/>
    <xf numFmtId="0" fontId="21" fillId="0" borderId="0"/>
  </cellStyleXfs>
  <cellXfs count="283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5" fontId="15" fillId="0" borderId="1" xfId="0" applyNumberFormat="1" applyFont="1" applyBorder="1" applyAlignment="1" applyProtection="1">
      <alignment horizontal="center" vertical="top" wrapText="1"/>
      <protection hidden="1"/>
    </xf>
    <xf numFmtId="165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0" xfId="0" applyNumberFormat="1" applyFont="1" applyAlignment="1" applyProtection="1">
      <alignment vertical="center"/>
      <protection hidden="1"/>
    </xf>
    <xf numFmtId="165" fontId="15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5" fillId="0" borderId="2" xfId="0" applyNumberFormat="1" applyFont="1" applyBorder="1" applyAlignment="1" applyProtection="1">
      <alignment vertical="center"/>
      <protection hidden="1"/>
    </xf>
    <xf numFmtId="165" fontId="15" fillId="0" borderId="3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5" fontId="18" fillId="4" borderId="1" xfId="2" applyNumberFormat="1" applyFont="1" applyFill="1" applyBorder="1" applyAlignment="1">
      <alignment horizontal="center" vertical="center" wrapText="1"/>
    </xf>
    <xf numFmtId="167" fontId="18" fillId="4" borderId="1" xfId="2" applyNumberFormat="1" applyFont="1" applyFill="1" applyBorder="1" applyAlignment="1">
      <alignment horizontal="center" vertical="center" wrapText="1"/>
    </xf>
    <xf numFmtId="167" fontId="18" fillId="4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left" vertical="center" wrapText="1"/>
      <protection locked="0"/>
    </xf>
    <xf numFmtId="167" fontId="20" fillId="4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165" fontId="20" fillId="4" borderId="1" xfId="0" applyNumberFormat="1" applyFont="1" applyFill="1" applyBorder="1" applyAlignment="1">
      <alignment horizontal="left" vertical="center" wrapText="1"/>
    </xf>
    <xf numFmtId="0" fontId="20" fillId="4" borderId="1" xfId="0" applyFont="1" applyFill="1" applyBorder="1" applyAlignment="1" applyProtection="1">
      <alignment horizontal="left" vertical="center" wrapText="1"/>
      <protection locked="0"/>
    </xf>
    <xf numFmtId="165" fontId="18" fillId="4" borderId="1" xfId="0" applyNumberFormat="1" applyFont="1" applyFill="1" applyBorder="1" applyAlignment="1">
      <alignment horizontal="left" vertical="center" wrapText="1"/>
    </xf>
    <xf numFmtId="166" fontId="18" fillId="4" borderId="1" xfId="2" applyNumberFormat="1" applyFont="1" applyFill="1" applyBorder="1" applyAlignment="1">
      <alignment horizontal="center" vertical="center" wrapText="1"/>
    </xf>
    <xf numFmtId="4" fontId="18" fillId="4" borderId="1" xfId="2" applyNumberFormat="1" applyFont="1" applyFill="1" applyBorder="1" applyAlignment="1">
      <alignment horizontal="center" vertical="center" wrapText="1"/>
    </xf>
    <xf numFmtId="165" fontId="18" fillId="4" borderId="1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/>
    </xf>
    <xf numFmtId="165" fontId="20" fillId="4" borderId="1" xfId="2" applyNumberFormat="1" applyFont="1" applyFill="1" applyBorder="1" applyAlignment="1">
      <alignment horizontal="center" vertical="center" wrapText="1"/>
    </xf>
    <xf numFmtId="167" fontId="20" fillId="4" borderId="4" xfId="2" applyNumberFormat="1" applyFont="1" applyFill="1" applyBorder="1" applyAlignment="1">
      <alignment horizontal="center" vertical="center" wrapText="1"/>
    </xf>
    <xf numFmtId="167" fontId="18" fillId="4" borderId="4" xfId="2" applyNumberFormat="1" applyFont="1" applyFill="1" applyBorder="1" applyAlignment="1">
      <alignment horizontal="center" vertical="center" wrapText="1"/>
    </xf>
    <xf numFmtId="167" fontId="3" fillId="4" borderId="0" xfId="0" applyNumberFormat="1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165" fontId="3" fillId="4" borderId="0" xfId="0" applyNumberFormat="1" applyFont="1" applyFill="1" applyBorder="1" applyAlignment="1">
      <alignment vertical="center" wrapText="1"/>
    </xf>
    <xf numFmtId="167" fontId="1" fillId="4" borderId="0" xfId="0" applyNumberFormat="1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right" vertical="center"/>
    </xf>
    <xf numFmtId="166" fontId="3" fillId="4" borderId="0" xfId="0" applyNumberFormat="1" applyFont="1" applyFill="1" applyAlignment="1">
      <alignment vertical="center"/>
    </xf>
    <xf numFmtId="0" fontId="6" fillId="4" borderId="0" xfId="0" applyFont="1" applyFill="1"/>
    <xf numFmtId="0" fontId="6" fillId="4" borderId="0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167" fontId="20" fillId="4" borderId="1" xfId="0" applyNumberFormat="1" applyFont="1" applyFill="1" applyBorder="1" applyAlignment="1">
      <alignment horizontal="center" vertical="center"/>
    </xf>
    <xf numFmtId="0" fontId="23" fillId="4" borderId="0" xfId="0" applyFont="1" applyFill="1"/>
    <xf numFmtId="0" fontId="23" fillId="4" borderId="0" xfId="0" applyFont="1" applyFill="1" applyBorder="1"/>
    <xf numFmtId="0" fontId="19" fillId="4" borderId="0" xfId="0" applyFont="1" applyFill="1" applyAlignment="1"/>
    <xf numFmtId="0" fontId="19" fillId="4" borderId="0" xfId="0" applyFont="1" applyFill="1" applyAlignment="1">
      <alignment horizontal="left" readingOrder="1"/>
    </xf>
    <xf numFmtId="167" fontId="6" fillId="4" borderId="0" xfId="0" applyNumberFormat="1" applyFont="1" applyFill="1"/>
    <xf numFmtId="166" fontId="6" fillId="4" borderId="0" xfId="0" applyNumberFormat="1" applyFont="1" applyFill="1"/>
    <xf numFmtId="0" fontId="18" fillId="4" borderId="0" xfId="0" applyFont="1" applyFill="1" applyBorder="1" applyAlignment="1" applyProtection="1">
      <alignment horizontal="left" vertical="center" wrapText="1"/>
      <protection locked="0"/>
    </xf>
    <xf numFmtId="167" fontId="18" fillId="4" borderId="0" xfId="2" applyNumberFormat="1" applyFont="1" applyFill="1" applyBorder="1" applyAlignment="1">
      <alignment horizontal="center" vertical="center" wrapText="1"/>
    </xf>
    <xf numFmtId="165" fontId="24" fillId="4" borderId="1" xfId="0" applyNumberFormat="1" applyFont="1" applyFill="1" applyBorder="1" applyAlignment="1">
      <alignment horizontal="left" vertical="center" wrapText="1"/>
    </xf>
    <xf numFmtId="167" fontId="24" fillId="4" borderId="1" xfId="2" applyNumberFormat="1" applyFont="1" applyFill="1" applyBorder="1" applyAlignment="1">
      <alignment horizontal="center" vertical="center" wrapText="1"/>
    </xf>
    <xf numFmtId="166" fontId="24" fillId="4" borderId="1" xfId="2" applyNumberFormat="1" applyFont="1" applyFill="1" applyBorder="1" applyAlignment="1">
      <alignment horizontal="center" vertical="center" wrapText="1"/>
    </xf>
    <xf numFmtId="165" fontId="24" fillId="4" borderId="1" xfId="2" applyNumberFormat="1" applyFont="1" applyFill="1" applyBorder="1" applyAlignment="1">
      <alignment horizontal="center" vertical="center" wrapText="1"/>
    </xf>
    <xf numFmtId="4" fontId="24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18" fillId="4" borderId="6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167" fontId="3" fillId="4" borderId="1" xfId="0" applyNumberFormat="1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23" fillId="0" borderId="0" xfId="0" applyFont="1" applyFill="1"/>
    <xf numFmtId="167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18" fillId="4" borderId="1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vertical="center" wrapText="1"/>
    </xf>
    <xf numFmtId="0" fontId="18" fillId="4" borderId="1" xfId="0" applyNumberFormat="1" applyFont="1" applyFill="1" applyBorder="1" applyAlignment="1">
      <alignment horizontal="left" vertical="center" wrapText="1"/>
    </xf>
    <xf numFmtId="0" fontId="3" fillId="4" borderId="0" xfId="0" applyFont="1" applyFill="1"/>
    <xf numFmtId="0" fontId="6" fillId="4" borderId="0" xfId="0" applyFont="1" applyFill="1" applyBorder="1" applyAlignment="1">
      <alignment horizontal="center" vertical="center" wrapText="1"/>
    </xf>
    <xf numFmtId="165" fontId="15" fillId="0" borderId="4" xfId="0" applyNumberFormat="1" applyFont="1" applyBorder="1" applyAlignment="1" applyProtection="1">
      <alignment horizontal="center" vertical="top" wrapText="1"/>
      <protection hidden="1"/>
    </xf>
    <xf numFmtId="165" fontId="15" fillId="0" borderId="5" xfId="0" applyNumberFormat="1" applyFont="1" applyBorder="1" applyAlignment="1" applyProtection="1">
      <alignment horizontal="center" vertical="top" wrapText="1"/>
      <protection hidden="1"/>
    </xf>
    <xf numFmtId="165" fontId="15" fillId="0" borderId="2" xfId="0" applyNumberFormat="1" applyFont="1" applyBorder="1" applyAlignment="1" applyProtection="1">
      <alignment horizontal="center" vertical="top" wrapText="1"/>
      <protection hidden="1"/>
    </xf>
    <xf numFmtId="165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5" fillId="2" borderId="5" xfId="0" applyNumberFormat="1" applyFont="1" applyFill="1" applyBorder="1" applyAlignment="1" applyProtection="1">
      <alignment horizontal="center" vertical="top" wrapText="1"/>
      <protection hidden="1"/>
    </xf>
    <xf numFmtId="165" fontId="15" fillId="0" borderId="1" xfId="0" applyNumberFormat="1" applyFont="1" applyBorder="1" applyAlignment="1" applyProtection="1">
      <alignment vertical="center"/>
      <protection hidden="1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 applyProtection="1">
      <alignment vertical="center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/>
    </xf>
    <xf numFmtId="167" fontId="1" fillId="0" borderId="8" xfId="0" applyNumberFormat="1" applyFont="1" applyFill="1" applyBorder="1" applyAlignment="1">
      <alignment horizontal="center" vertical="center"/>
    </xf>
    <xf numFmtId="167" fontId="1" fillId="0" borderId="6" xfId="0" applyNumberFormat="1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4" borderId="10" xfId="0" applyFont="1" applyFill="1" applyBorder="1" applyAlignment="1">
      <alignment horizontal="left" vertical="center" wrapText="1"/>
    </xf>
    <xf numFmtId="0" fontId="18" fillId="4" borderId="8" xfId="0" applyFont="1" applyFill="1" applyBorder="1" applyAlignment="1">
      <alignment horizontal="left" vertical="center" wrapText="1"/>
    </xf>
    <xf numFmtId="0" fontId="18" fillId="4" borderId="6" xfId="0" applyFont="1" applyFill="1" applyBorder="1" applyAlignment="1">
      <alignment horizontal="left" vertical="center" wrapText="1"/>
    </xf>
    <xf numFmtId="166" fontId="3" fillId="4" borderId="0" xfId="0" applyNumberFormat="1" applyFont="1" applyFill="1" applyBorder="1" applyAlignment="1">
      <alignment horizontal="left" vertical="center" wrapText="1"/>
    </xf>
    <xf numFmtId="166" fontId="3" fillId="4" borderId="0" xfId="0" applyNumberFormat="1" applyFont="1" applyFill="1" applyBorder="1" applyAlignment="1">
      <alignment horizontal="left" vertical="center"/>
    </xf>
    <xf numFmtId="0" fontId="22" fillId="4" borderId="0" xfId="0" applyFont="1" applyFill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20" fillId="4" borderId="10" xfId="0" applyNumberFormat="1" applyFont="1" applyFill="1" applyBorder="1" applyAlignment="1">
      <alignment horizontal="center" vertical="center" wrapText="1"/>
    </xf>
    <xf numFmtId="165" fontId="20" fillId="4" borderId="8" xfId="0" applyNumberFormat="1" applyFont="1" applyFill="1" applyBorder="1" applyAlignment="1">
      <alignment horizontal="center" vertical="center" wrapText="1"/>
    </xf>
    <xf numFmtId="165" fontId="20" fillId="4" borderId="6" xfId="0" applyNumberFormat="1" applyFont="1" applyFill="1" applyBorder="1" applyAlignment="1">
      <alignment horizontal="center" vertical="center" wrapText="1"/>
    </xf>
    <xf numFmtId="165" fontId="20" fillId="4" borderId="11" xfId="0" applyNumberFormat="1" applyFont="1" applyFill="1" applyBorder="1" applyAlignment="1">
      <alignment horizontal="center" vertical="center" wrapText="1"/>
    </xf>
    <xf numFmtId="165" fontId="20" fillId="4" borderId="13" xfId="0" applyNumberFormat="1" applyFont="1" applyFill="1" applyBorder="1" applyAlignment="1">
      <alignment horizontal="center" vertical="center" wrapText="1"/>
    </xf>
    <xf numFmtId="165" fontId="20" fillId="4" borderId="9" xfId="0" applyNumberFormat="1" applyFont="1" applyFill="1" applyBorder="1" applyAlignment="1">
      <alignment horizontal="center" vertical="center" wrapText="1"/>
    </xf>
    <xf numFmtId="165" fontId="20" fillId="4" borderId="14" xfId="0" applyNumberFormat="1" applyFont="1" applyFill="1" applyBorder="1" applyAlignment="1">
      <alignment horizontal="center" vertical="center" wrapText="1"/>
    </xf>
    <xf numFmtId="165" fontId="20" fillId="4" borderId="15" xfId="0" applyNumberFormat="1" applyFont="1" applyFill="1" applyBorder="1" applyAlignment="1">
      <alignment horizontal="center" vertical="center" wrapText="1"/>
    </xf>
    <xf numFmtId="165" fontId="20" fillId="4" borderId="3" xfId="0" applyNumberFormat="1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9" fontId="18" fillId="4" borderId="10" xfId="0" applyNumberFormat="1" applyFont="1" applyFill="1" applyBorder="1" applyAlignment="1">
      <alignment horizontal="center" vertical="center" wrapText="1"/>
    </xf>
    <xf numFmtId="49" fontId="18" fillId="4" borderId="8" xfId="0" applyNumberFormat="1" applyFont="1" applyFill="1" applyBorder="1" applyAlignment="1">
      <alignment horizontal="center" vertical="center" wrapText="1"/>
    </xf>
    <xf numFmtId="49" fontId="18" fillId="4" borderId="6" xfId="0" applyNumberFormat="1" applyFont="1" applyFill="1" applyBorder="1" applyAlignment="1">
      <alignment horizontal="center" vertical="center" wrapText="1"/>
    </xf>
    <xf numFmtId="0" fontId="18" fillId="4" borderId="10" xfId="0" applyFont="1" applyFill="1" applyBorder="1" applyAlignment="1" applyProtection="1">
      <alignment horizontal="left" vertical="center" wrapText="1"/>
      <protection locked="0"/>
    </xf>
    <xf numFmtId="0" fontId="18" fillId="4" borderId="8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0" fontId="18" fillId="4" borderId="10" xfId="0" applyFont="1" applyFill="1" applyBorder="1" applyAlignment="1" applyProtection="1">
      <alignment horizontal="center" vertical="center" wrapText="1"/>
      <protection locked="0"/>
    </xf>
    <xf numFmtId="0" fontId="18" fillId="4" borderId="8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 vertical="center" wrapText="1"/>
    </xf>
    <xf numFmtId="49" fontId="20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8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11" xfId="0" applyFont="1" applyFill="1" applyBorder="1" applyAlignment="1" applyProtection="1">
      <alignment horizontal="center" vertical="center" wrapText="1"/>
      <protection locked="0"/>
    </xf>
    <xf numFmtId="0" fontId="20" fillId="4" borderId="13" xfId="0" applyFont="1" applyFill="1" applyBorder="1" applyAlignment="1" applyProtection="1">
      <alignment horizontal="center" vertical="center" wrapText="1"/>
      <protection locked="0"/>
    </xf>
    <xf numFmtId="0" fontId="20" fillId="4" borderId="9" xfId="0" applyFont="1" applyFill="1" applyBorder="1" applyAlignment="1" applyProtection="1">
      <alignment horizontal="center" vertical="center" wrapText="1"/>
      <protection locked="0"/>
    </xf>
    <xf numFmtId="0" fontId="20" fillId="4" borderId="14" xfId="0" applyFont="1" applyFill="1" applyBorder="1" applyAlignment="1" applyProtection="1">
      <alignment horizontal="center" vertical="center" wrapText="1"/>
      <protection locked="0"/>
    </xf>
    <xf numFmtId="0" fontId="20" fillId="4" borderId="15" xfId="0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 applyProtection="1">
      <alignment horizontal="center" vertical="center" wrapText="1"/>
      <protection locked="0"/>
    </xf>
    <xf numFmtId="165" fontId="18" fillId="4" borderId="10" xfId="0" applyNumberFormat="1" applyFont="1" applyFill="1" applyBorder="1" applyAlignment="1">
      <alignment horizontal="center" vertical="center" wrapText="1"/>
    </xf>
    <xf numFmtId="165" fontId="18" fillId="4" borderId="8" xfId="0" applyNumberFormat="1" applyFont="1" applyFill="1" applyBorder="1" applyAlignment="1">
      <alignment horizontal="center" vertical="center" wrapText="1"/>
    </xf>
    <xf numFmtId="165" fontId="18" fillId="4" borderId="6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165" fontId="3" fillId="4" borderId="11" xfId="0" applyNumberFormat="1" applyFont="1" applyFill="1" applyBorder="1" applyAlignment="1">
      <alignment horizontal="center" vertical="center" wrapText="1"/>
    </xf>
    <xf numFmtId="165" fontId="3" fillId="4" borderId="12" xfId="0" applyNumberFormat="1" applyFont="1" applyFill="1" applyBorder="1" applyAlignment="1">
      <alignment horizontal="center" vertical="center" wrapText="1"/>
    </xf>
    <xf numFmtId="165" fontId="3" fillId="4" borderId="13" xfId="0" applyNumberFormat="1" applyFont="1" applyFill="1" applyBorder="1" applyAlignment="1">
      <alignment horizontal="center" vertical="center" wrapText="1"/>
    </xf>
    <xf numFmtId="165" fontId="3" fillId="4" borderId="9" xfId="0" applyNumberFormat="1" applyFont="1" applyFill="1" applyBorder="1" applyAlignment="1">
      <alignment horizontal="center" vertical="center" wrapText="1"/>
    </xf>
    <xf numFmtId="165" fontId="3" fillId="4" borderId="0" xfId="0" applyNumberFormat="1" applyFont="1" applyFill="1" applyBorder="1" applyAlignment="1">
      <alignment horizontal="center" vertical="center" wrapText="1"/>
    </xf>
    <xf numFmtId="165" fontId="3" fillId="4" borderId="14" xfId="0" applyNumberFormat="1" applyFont="1" applyFill="1" applyBorder="1" applyAlignment="1">
      <alignment horizontal="center" vertical="center" wrapText="1"/>
    </xf>
    <xf numFmtId="165" fontId="3" fillId="4" borderId="15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3" xfId="0" applyNumberFormat="1" applyFont="1" applyFill="1" applyBorder="1" applyAlignment="1">
      <alignment horizontal="center" vertical="center" wrapText="1"/>
    </xf>
    <xf numFmtId="165" fontId="3" fillId="0" borderId="9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2 2" xfId="3"/>
    <cellStyle name="Финансовый" xfId="2" builtinId="3"/>
  </cellStyles>
  <dxfs count="2"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535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495800" y="36890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533775" y="56835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533775" y="58378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533775" y="60569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3533775" y="625697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3533775" y="64112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3533775" y="66560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3533775" y="6810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3533775" y="696468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3533775" y="71189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184731" cy="239809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184731" cy="239809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3533775" y="727329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3533775" y="74656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3533775" y="744664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4495800" y="180022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3533775" y="26269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3533775" y="27813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3533775" y="29546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3533775" y="31089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3533775" y="32632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3533775" y="34099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3533775" y="35642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3533775" y="37185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3533775" y="38728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3533775" y="402717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3533775" y="45853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3533775" y="41814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3533775" y="435483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3533775" y="65198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3533775" y="644271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3533775" y="664368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3533775" y="656653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39809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3533775" y="57511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184731" cy="239809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3533775" y="58912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3533775" y="63436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3533775" y="65551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3533775" y="66503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3533775" y="67456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90</xdr:row>
      <xdr:rowOff>0</xdr:rowOff>
    </xdr:from>
    <xdr:ext cx="184731" cy="239809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3533775" y="575119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184731" cy="239809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3533775" y="58912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113</xdr:row>
      <xdr:rowOff>0</xdr:rowOff>
    </xdr:from>
    <xdr:ext cx="184731" cy="239809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3533775" y="634365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118</xdr:row>
      <xdr:rowOff>0</xdr:rowOff>
    </xdr:from>
    <xdr:ext cx="184731" cy="239809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3533775" y="65551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184731" cy="239809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3533775" y="665035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128</xdr:row>
      <xdr:rowOff>0</xdr:rowOff>
    </xdr:from>
    <xdr:ext cx="184731" cy="239809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3533775" y="67456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3533775" y="70094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156</xdr:row>
      <xdr:rowOff>0</xdr:rowOff>
    </xdr:from>
    <xdr:ext cx="184731" cy="239809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3533775" y="70094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163</xdr:row>
      <xdr:rowOff>0</xdr:rowOff>
    </xdr:from>
    <xdr:ext cx="184731" cy="239809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3533775" y="71427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162</xdr:row>
      <xdr:rowOff>0</xdr:rowOff>
    </xdr:from>
    <xdr:ext cx="184731" cy="239809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3533775" y="71237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0</xdr:row>
      <xdr:rowOff>0</xdr:rowOff>
    </xdr:from>
    <xdr:ext cx="184731" cy="239809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4495800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184731" cy="239809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3533775" y="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4495800" y="39176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3533775" y="59074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3533775" y="60474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3533775" y="63750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3533775" y="6666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3533775" y="6806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58</xdr:row>
      <xdr:rowOff>0</xdr:rowOff>
    </xdr:from>
    <xdr:ext cx="184731" cy="239809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4495800" y="391763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184731" cy="239809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3533775" y="590740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101</xdr:row>
      <xdr:rowOff>0</xdr:rowOff>
    </xdr:from>
    <xdr:ext cx="184731" cy="239809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3533775" y="604742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108</xdr:row>
      <xdr:rowOff>0</xdr:rowOff>
    </xdr:from>
    <xdr:ext cx="184731" cy="239809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3533775" y="624840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114</xdr:row>
      <xdr:rowOff>0</xdr:rowOff>
    </xdr:from>
    <xdr:ext cx="184731" cy="239809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3533775" y="637508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184731" cy="239809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3533775" y="65712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184731" cy="239809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3533775" y="66665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129</xdr:row>
      <xdr:rowOff>0</xdr:rowOff>
    </xdr:from>
    <xdr:ext cx="184731" cy="239809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3533775" y="680656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184731" cy="239809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3533775" y="69599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154</xdr:row>
      <xdr:rowOff>0</xdr:rowOff>
    </xdr:from>
    <xdr:ext cx="184731" cy="239809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3533775" y="69599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161</xdr:row>
      <xdr:rowOff>0</xdr:rowOff>
    </xdr:from>
    <xdr:ext cx="184731" cy="239809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3533775" y="710469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184731" cy="239809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3533775" y="708564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3533775" y="4905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3533775" y="53540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3533775" y="56740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3533775" y="58140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3533775" y="59540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3533775" y="623220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3533775" y="63274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3533775" y="651033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962025</xdr:colOff>
      <xdr:row>55</xdr:row>
      <xdr:rowOff>0</xdr:rowOff>
    </xdr:from>
    <xdr:ext cx="184731" cy="239809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4495800" y="374999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184731" cy="239809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3533775" y="490537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184731" cy="239809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3533775" y="53540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88</xdr:row>
      <xdr:rowOff>0</xdr:rowOff>
    </xdr:from>
    <xdr:ext cx="184731" cy="239809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3533775" y="567404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93</xdr:row>
      <xdr:rowOff>0</xdr:rowOff>
    </xdr:from>
    <xdr:ext cx="184731" cy="239809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3533775" y="5814060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98</xdr:row>
      <xdr:rowOff>0</xdr:rowOff>
    </xdr:from>
    <xdr:ext cx="184731" cy="239809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3533775" y="595407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102</xdr:row>
      <xdr:rowOff>0</xdr:rowOff>
    </xdr:from>
    <xdr:ext cx="184731" cy="239809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3533775" y="607790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84731" cy="239809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3533775" y="623220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112</xdr:row>
      <xdr:rowOff>0</xdr:rowOff>
    </xdr:from>
    <xdr:ext cx="184731" cy="239809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3533775" y="632745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117</xdr:row>
      <xdr:rowOff>0</xdr:rowOff>
    </xdr:from>
    <xdr:ext cx="184731" cy="239809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3533775" y="651033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3533775" y="66341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184731" cy="239809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3533775" y="663416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3533775" y="67294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127</xdr:row>
      <xdr:rowOff>0</xdr:rowOff>
    </xdr:from>
    <xdr:ext cx="184731" cy="239809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3533775" y="6729412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152</xdr:row>
      <xdr:rowOff>0</xdr:rowOff>
    </xdr:from>
    <xdr:ext cx="184731" cy="239809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3533775" y="692181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3533775" y="6902767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3541568" y="6896965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3541568" y="6896965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3541568" y="69575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3541568" y="68805136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3541568" y="5922818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151</xdr:row>
      <xdr:rowOff>0</xdr:rowOff>
    </xdr:from>
    <xdr:ext cx="184731" cy="239809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3541568" y="57825409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3541568" y="60431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134</xdr:row>
      <xdr:rowOff>0</xdr:rowOff>
    </xdr:from>
    <xdr:ext cx="184731" cy="239809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3541568" y="60431795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184731" cy="239809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3541568" y="61037932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3</xdr:col>
      <xdr:colOff>0</xdr:colOff>
      <xdr:row>133</xdr:row>
      <xdr:rowOff>0</xdr:rowOff>
    </xdr:from>
    <xdr:ext cx="184731" cy="239809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3541568" y="60267273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ru-RU" sz="1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40625"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65" t="s">
        <v>40</v>
      </c>
      <c r="B1" s="166"/>
      <c r="C1" s="167" t="s">
        <v>41</v>
      </c>
      <c r="D1" s="159" t="s">
        <v>44</v>
      </c>
      <c r="E1" s="160"/>
      <c r="F1" s="161"/>
      <c r="G1" s="159" t="s">
        <v>18</v>
      </c>
      <c r="H1" s="160"/>
      <c r="I1" s="161"/>
      <c r="J1" s="159" t="s">
        <v>19</v>
      </c>
      <c r="K1" s="160"/>
      <c r="L1" s="161"/>
      <c r="M1" s="159" t="s">
        <v>23</v>
      </c>
      <c r="N1" s="160"/>
      <c r="O1" s="161"/>
      <c r="P1" s="162" t="s">
        <v>24</v>
      </c>
      <c r="Q1" s="163"/>
      <c r="R1" s="159" t="s">
        <v>25</v>
      </c>
      <c r="S1" s="160"/>
      <c r="T1" s="161"/>
      <c r="U1" s="159" t="s">
        <v>26</v>
      </c>
      <c r="V1" s="160"/>
      <c r="W1" s="161"/>
      <c r="X1" s="162" t="s">
        <v>27</v>
      </c>
      <c r="Y1" s="164"/>
      <c r="Z1" s="163"/>
      <c r="AA1" s="162" t="s">
        <v>28</v>
      </c>
      <c r="AB1" s="163"/>
      <c r="AC1" s="159" t="s">
        <v>29</v>
      </c>
      <c r="AD1" s="160"/>
      <c r="AE1" s="161"/>
      <c r="AF1" s="159" t="s">
        <v>30</v>
      </c>
      <c r="AG1" s="160"/>
      <c r="AH1" s="161"/>
      <c r="AI1" s="159" t="s">
        <v>31</v>
      </c>
      <c r="AJ1" s="160"/>
      <c r="AK1" s="161"/>
      <c r="AL1" s="162" t="s">
        <v>32</v>
      </c>
      <c r="AM1" s="163"/>
      <c r="AN1" s="159" t="s">
        <v>33</v>
      </c>
      <c r="AO1" s="160"/>
      <c r="AP1" s="161"/>
      <c r="AQ1" s="159" t="s">
        <v>34</v>
      </c>
      <c r="AR1" s="160"/>
      <c r="AS1" s="161"/>
      <c r="AT1" s="159" t="s">
        <v>35</v>
      </c>
      <c r="AU1" s="160"/>
      <c r="AV1" s="161"/>
    </row>
    <row r="2" spans="1:48" ht="39" customHeight="1">
      <c r="A2" s="166"/>
      <c r="B2" s="166"/>
      <c r="C2" s="167"/>
      <c r="D2" s="10" t="s">
        <v>47</v>
      </c>
      <c r="E2" s="10" t="s">
        <v>48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167" t="s">
        <v>82</v>
      </c>
      <c r="B3" s="167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167"/>
      <c r="B4" s="167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67"/>
      <c r="B5" s="167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67"/>
      <c r="B6" s="167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67"/>
      <c r="B7" s="167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67"/>
      <c r="B8" s="167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67"/>
      <c r="B9" s="167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169" t="s">
        <v>57</v>
      </c>
      <c r="B1" s="169"/>
      <c r="C1" s="169"/>
      <c r="D1" s="169"/>
      <c r="E1" s="169"/>
    </row>
    <row r="2" spans="1:5">
      <c r="A2" s="12"/>
      <c r="B2" s="12"/>
      <c r="C2" s="12"/>
      <c r="D2" s="12"/>
      <c r="E2" s="12"/>
    </row>
    <row r="3" spans="1:5">
      <c r="A3" s="170" t="s">
        <v>129</v>
      </c>
      <c r="B3" s="170"/>
      <c r="C3" s="170"/>
      <c r="D3" s="170"/>
      <c r="E3" s="170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>
      <c r="A25" s="28"/>
      <c r="B25" s="28"/>
      <c r="C25" s="28"/>
      <c r="D25" s="28"/>
      <c r="E25" s="28"/>
    </row>
    <row r="26" spans="1:5">
      <c r="A26" s="168" t="s">
        <v>78</v>
      </c>
      <c r="B26" s="168"/>
      <c r="C26" s="168"/>
      <c r="D26" s="168"/>
      <c r="E26" s="168"/>
    </row>
    <row r="27" spans="1:5">
      <c r="A27" s="28"/>
      <c r="B27" s="28"/>
      <c r="C27" s="28"/>
      <c r="D27" s="28"/>
      <c r="E27" s="28"/>
    </row>
    <row r="28" spans="1:5">
      <c r="A28" s="168" t="s">
        <v>79</v>
      </c>
      <c r="B28" s="168"/>
      <c r="C28" s="168"/>
      <c r="D28" s="168"/>
      <c r="E28" s="168"/>
    </row>
    <row r="29" spans="1:5">
      <c r="A29" s="168"/>
      <c r="B29" s="168"/>
      <c r="C29" s="168"/>
      <c r="D29" s="168"/>
      <c r="E29" s="168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40625" defaultRowHeight="12.75"/>
  <cols>
    <col min="1" max="1" width="4.5703125" style="44" customWidth="1"/>
    <col min="2" max="2" width="42.5703125" style="44" customWidth="1"/>
    <col min="3" max="3" width="6.85546875" style="44" customWidth="1"/>
    <col min="4" max="15" width="9.5703125" style="44" customWidth="1"/>
    <col min="16" max="17" width="10.5703125" style="44" customWidth="1"/>
    <col min="18" max="29" width="0" style="45" hidden="1" customWidth="1"/>
    <col min="30" max="16384" width="9.140625" style="45"/>
  </cols>
  <sheetData>
    <row r="1" spans="1:256">
      <c r="Q1" s="35" t="s">
        <v>50</v>
      </c>
    </row>
    <row r="2" spans="1:256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>
      <c r="A3" s="37" t="s">
        <v>0</v>
      </c>
      <c r="B3" s="194" t="s">
        <v>45</v>
      </c>
      <c r="C3" s="194"/>
      <c r="D3" s="37" t="s">
        <v>18</v>
      </c>
      <c r="E3" s="48" t="s">
        <v>19</v>
      </c>
      <c r="F3" s="37" t="s">
        <v>23</v>
      </c>
      <c r="G3" s="48" t="s">
        <v>25</v>
      </c>
      <c r="H3" s="37" t="s">
        <v>26</v>
      </c>
      <c r="I3" s="48" t="s">
        <v>27</v>
      </c>
      <c r="J3" s="37" t="s">
        <v>29</v>
      </c>
      <c r="K3" s="48" t="s">
        <v>30</v>
      </c>
      <c r="L3" s="37" t="s">
        <v>31</v>
      </c>
      <c r="M3" s="48" t="s">
        <v>33</v>
      </c>
      <c r="N3" s="37" t="s">
        <v>34</v>
      </c>
      <c r="O3" s="48" t="s">
        <v>35</v>
      </c>
      <c r="P3" s="37" t="s">
        <v>80</v>
      </c>
      <c r="Q3" s="37" t="s">
        <v>49</v>
      </c>
      <c r="R3" s="36" t="s">
        <v>18</v>
      </c>
      <c r="S3" s="30" t="s">
        <v>19</v>
      </c>
      <c r="T3" s="36" t="s">
        <v>23</v>
      </c>
      <c r="U3" s="30" t="s">
        <v>25</v>
      </c>
      <c r="V3" s="36" t="s">
        <v>26</v>
      </c>
      <c r="W3" s="30" t="s">
        <v>27</v>
      </c>
      <c r="X3" s="36" t="s">
        <v>29</v>
      </c>
      <c r="Y3" s="30" t="s">
        <v>30</v>
      </c>
      <c r="Z3" s="36" t="s">
        <v>31</v>
      </c>
      <c r="AA3" s="30" t="s">
        <v>33</v>
      </c>
      <c r="AB3" s="36" t="s">
        <v>34</v>
      </c>
      <c r="AC3" s="30" t="s">
        <v>35</v>
      </c>
    </row>
    <row r="4" spans="1:256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>
      <c r="A5" s="188" t="s">
        <v>2</v>
      </c>
      <c r="B5" s="176" t="s">
        <v>84</v>
      </c>
      <c r="C5" s="53" t="s">
        <v>21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5.75" customHeight="1">
      <c r="A6" s="188"/>
      <c r="B6" s="176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>
      <c r="A7" s="188"/>
      <c r="B7" s="176"/>
      <c r="C7" s="53" t="s">
        <v>22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>
      <c r="A8" s="188" t="s">
        <v>4</v>
      </c>
      <c r="B8" s="176" t="s">
        <v>85</v>
      </c>
      <c r="C8" s="53" t="s">
        <v>21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80" t="s">
        <v>204</v>
      </c>
      <c r="N8" s="181"/>
      <c r="O8" s="182"/>
      <c r="P8" s="56"/>
      <c r="Q8" s="56"/>
    </row>
    <row r="9" spans="1:256" ht="33.75" customHeight="1">
      <c r="A9" s="188"/>
      <c r="B9" s="176"/>
      <c r="C9" s="53" t="s">
        <v>22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>
      <c r="A10" s="188" t="s">
        <v>5</v>
      </c>
      <c r="B10" s="176" t="s">
        <v>86</v>
      </c>
      <c r="C10" s="53" t="s">
        <v>21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>
      <c r="A11" s="188"/>
      <c r="B11" s="176"/>
      <c r="C11" s="53" t="s">
        <v>22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>
      <c r="A12" s="188" t="s">
        <v>6</v>
      </c>
      <c r="B12" s="176" t="s">
        <v>227</v>
      </c>
      <c r="C12" s="53" t="s">
        <v>21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>
      <c r="A13" s="188"/>
      <c r="B13" s="176"/>
      <c r="C13" s="53" t="s">
        <v>22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>
      <c r="A14" s="188" t="s">
        <v>10</v>
      </c>
      <c r="B14" s="176" t="s">
        <v>87</v>
      </c>
      <c r="C14" s="53" t="s">
        <v>21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>
      <c r="A15" s="188"/>
      <c r="B15" s="176"/>
      <c r="C15" s="53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87"/>
      <c r="AJ16" s="187"/>
      <c r="AK16" s="187"/>
      <c r="AZ16" s="187"/>
      <c r="BA16" s="187"/>
      <c r="BB16" s="187"/>
      <c r="BQ16" s="187"/>
      <c r="BR16" s="187"/>
      <c r="BS16" s="187"/>
      <c r="CH16" s="187"/>
      <c r="CI16" s="187"/>
      <c r="CJ16" s="187"/>
      <c r="CY16" s="187"/>
      <c r="CZ16" s="187"/>
      <c r="DA16" s="187"/>
      <c r="DP16" s="187"/>
      <c r="DQ16" s="187"/>
      <c r="DR16" s="187"/>
      <c r="EG16" s="187"/>
      <c r="EH16" s="187"/>
      <c r="EI16" s="187"/>
      <c r="EX16" s="187"/>
      <c r="EY16" s="187"/>
      <c r="EZ16" s="187"/>
      <c r="FO16" s="187"/>
      <c r="FP16" s="187"/>
      <c r="FQ16" s="187"/>
      <c r="GF16" s="187"/>
      <c r="GG16" s="187"/>
      <c r="GH16" s="187"/>
      <c r="GW16" s="187"/>
      <c r="GX16" s="187"/>
      <c r="GY16" s="187"/>
      <c r="HN16" s="187"/>
      <c r="HO16" s="187"/>
      <c r="HP16" s="187"/>
      <c r="IE16" s="187"/>
      <c r="IF16" s="187"/>
      <c r="IG16" s="187"/>
      <c r="IV16" s="187"/>
    </row>
    <row r="17" spans="1:17" ht="320.25" customHeight="1">
      <c r="A17" s="188" t="s">
        <v>7</v>
      </c>
      <c r="B17" s="176" t="s">
        <v>89</v>
      </c>
      <c r="C17" s="53" t="s">
        <v>21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50000000000003" customHeight="1">
      <c r="A18" s="188"/>
      <c r="B18" s="176"/>
      <c r="C18" s="53" t="s">
        <v>22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88" t="s">
        <v>8</v>
      </c>
      <c r="B19" s="176" t="s">
        <v>225</v>
      </c>
      <c r="C19" s="53" t="s">
        <v>21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50000000000003" customHeight="1">
      <c r="A20" s="188"/>
      <c r="B20" s="176"/>
      <c r="C20" s="53" t="s">
        <v>22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88" t="s">
        <v>9</v>
      </c>
      <c r="B21" s="176" t="s">
        <v>228</v>
      </c>
      <c r="C21" s="53" t="s">
        <v>21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88"/>
      <c r="B22" s="176"/>
      <c r="C22" s="53" t="s">
        <v>22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83" t="s">
        <v>15</v>
      </c>
      <c r="B23" s="186" t="s">
        <v>229</v>
      </c>
      <c r="C23" s="68" t="s">
        <v>21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50000000000003" customHeight="1">
      <c r="A24" s="185"/>
      <c r="B24" s="186"/>
      <c r="C24" s="68" t="s">
        <v>22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91" t="s">
        <v>16</v>
      </c>
      <c r="B25" s="186" t="s">
        <v>230</v>
      </c>
      <c r="C25" s="68" t="s">
        <v>21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50000000000003" customHeight="1">
      <c r="A26" s="191"/>
      <c r="B26" s="186"/>
      <c r="C26" s="68" t="s">
        <v>22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17</v>
      </c>
      <c r="B28" s="54" t="s">
        <v>231</v>
      </c>
      <c r="C28" s="53" t="s">
        <v>21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50000000000003" customHeight="1">
      <c r="A29" s="53"/>
      <c r="B29" s="54"/>
      <c r="C29" s="53" t="s">
        <v>22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88" t="s">
        <v>93</v>
      </c>
      <c r="B31" s="176" t="s">
        <v>92</v>
      </c>
      <c r="C31" s="53" t="s">
        <v>21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88"/>
      <c r="B32" s="176"/>
      <c r="C32" s="53" t="s">
        <v>22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88" t="s">
        <v>95</v>
      </c>
      <c r="B34" s="176" t="s">
        <v>96</v>
      </c>
      <c r="C34" s="53" t="s">
        <v>21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88"/>
      <c r="B35" s="176"/>
      <c r="C35" s="53" t="s">
        <v>22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50000000000003" customHeight="1">
      <c r="A36" s="189" t="s">
        <v>97</v>
      </c>
      <c r="B36" s="177" t="s">
        <v>128</v>
      </c>
      <c r="C36" s="53" t="s">
        <v>21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50000000000003" customHeight="1">
      <c r="A37" s="190"/>
      <c r="B37" s="178"/>
      <c r="C37" s="53" t="s">
        <v>22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88" t="s">
        <v>99</v>
      </c>
      <c r="B39" s="176" t="s">
        <v>226</v>
      </c>
      <c r="C39" s="53" t="s">
        <v>21</v>
      </c>
      <c r="D39" s="92"/>
      <c r="E39" s="92" t="s">
        <v>245</v>
      </c>
      <c r="F39" s="92" t="s">
        <v>244</v>
      </c>
      <c r="G39" s="92" t="s">
        <v>233</v>
      </c>
      <c r="H39" s="195" t="s">
        <v>246</v>
      </c>
      <c r="I39" s="196"/>
      <c r="J39" s="196"/>
      <c r="K39" s="196"/>
      <c r="L39" s="196"/>
      <c r="M39" s="196"/>
      <c r="N39" s="196"/>
      <c r="O39" s="197"/>
      <c r="P39" s="55" t="s">
        <v>188</v>
      </c>
      <c r="Q39" s="56"/>
    </row>
    <row r="40" spans="1:17" ht="39.950000000000003" customHeight="1">
      <c r="A40" s="188" t="s">
        <v>11</v>
      </c>
      <c r="B40" s="176" t="s">
        <v>12</v>
      </c>
      <c r="C40" s="53" t="s">
        <v>22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88" t="s">
        <v>100</v>
      </c>
      <c r="B41" s="176" t="s">
        <v>101</v>
      </c>
      <c r="C41" s="53" t="s">
        <v>21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50000000000003" customHeight="1">
      <c r="A42" s="188"/>
      <c r="B42" s="176"/>
      <c r="C42" s="53" t="s">
        <v>22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88" t="s">
        <v>102</v>
      </c>
      <c r="B43" s="176" t="s">
        <v>103</v>
      </c>
      <c r="C43" s="53" t="s">
        <v>21</v>
      </c>
      <c r="D43" s="57" t="s">
        <v>199</v>
      </c>
      <c r="E43" s="57" t="s">
        <v>200</v>
      </c>
      <c r="F43" s="57" t="s">
        <v>203</v>
      </c>
      <c r="G43" s="173" t="s">
        <v>191</v>
      </c>
      <c r="H43" s="174"/>
      <c r="I43" s="174"/>
      <c r="J43" s="174"/>
      <c r="K43" s="174"/>
      <c r="L43" s="174"/>
      <c r="M43" s="174"/>
      <c r="N43" s="174"/>
      <c r="O43" s="175"/>
      <c r="P43" s="56"/>
      <c r="Q43" s="56"/>
    </row>
    <row r="44" spans="1:17" ht="39.950000000000003" customHeight="1">
      <c r="A44" s="188"/>
      <c r="B44" s="176"/>
      <c r="C44" s="53" t="s">
        <v>22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88" t="s">
        <v>104</v>
      </c>
      <c r="B45" s="176" t="s">
        <v>105</v>
      </c>
      <c r="C45" s="53" t="s">
        <v>21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50000000000003" customHeight="1">
      <c r="A46" s="188" t="s">
        <v>13</v>
      </c>
      <c r="B46" s="176" t="s">
        <v>14</v>
      </c>
      <c r="C46" s="53" t="s">
        <v>22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50000000000003" customHeight="1">
      <c r="A47" s="192" t="s">
        <v>107</v>
      </c>
      <c r="B47" s="177" t="s">
        <v>106</v>
      </c>
      <c r="C47" s="53" t="s">
        <v>21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50000000000003" customHeight="1">
      <c r="A48" s="193"/>
      <c r="B48" s="178"/>
      <c r="C48" s="53" t="s">
        <v>22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92" t="s">
        <v>108</v>
      </c>
      <c r="B49" s="177" t="s">
        <v>109</v>
      </c>
      <c r="C49" s="84" t="s">
        <v>21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50000000000003" customHeight="1">
      <c r="A50" s="193"/>
      <c r="B50" s="178"/>
      <c r="C50" s="53" t="s">
        <v>22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88" t="s">
        <v>110</v>
      </c>
      <c r="B51" s="176" t="s">
        <v>111</v>
      </c>
      <c r="C51" s="68" t="s">
        <v>21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50000000000003" customHeight="1">
      <c r="A52" s="188"/>
      <c r="B52" s="176"/>
      <c r="C52" s="53" t="s">
        <v>22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88" t="s">
        <v>113</v>
      </c>
      <c r="B53" s="176" t="s">
        <v>112</v>
      </c>
      <c r="C53" s="53" t="s">
        <v>21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88"/>
      <c r="B54" s="176"/>
      <c r="C54" s="53" t="s">
        <v>22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88" t="s">
        <v>114</v>
      </c>
      <c r="B55" s="176" t="s">
        <v>115</v>
      </c>
      <c r="C55" s="53" t="s">
        <v>21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88"/>
      <c r="B56" s="176"/>
      <c r="C56" s="53" t="s">
        <v>22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88" t="s">
        <v>116</v>
      </c>
      <c r="B57" s="176" t="s">
        <v>117</v>
      </c>
      <c r="C57" s="53" t="s">
        <v>21</v>
      </c>
      <c r="D57" s="93" t="s">
        <v>234</v>
      </c>
      <c r="E57" s="92"/>
      <c r="F57" s="92" t="s">
        <v>235</v>
      </c>
      <c r="G57" s="179" t="s">
        <v>232</v>
      </c>
      <c r="H57" s="179"/>
      <c r="I57" s="92" t="s">
        <v>236</v>
      </c>
      <c r="J57" s="92" t="s">
        <v>237</v>
      </c>
      <c r="K57" s="180" t="s">
        <v>238</v>
      </c>
      <c r="L57" s="181"/>
      <c r="M57" s="181"/>
      <c r="N57" s="181"/>
      <c r="O57" s="182"/>
      <c r="P57" s="88" t="s">
        <v>198</v>
      </c>
      <c r="Q57" s="56"/>
    </row>
    <row r="58" spans="1:17" ht="39.950000000000003" customHeight="1">
      <c r="A58" s="188"/>
      <c r="B58" s="176"/>
      <c r="C58" s="53" t="s">
        <v>22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83" t="s">
        <v>119</v>
      </c>
      <c r="B59" s="183" t="s">
        <v>118</v>
      </c>
      <c r="C59" s="183" t="s">
        <v>21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84"/>
      <c r="B60" s="184"/>
      <c r="C60" s="184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84"/>
      <c r="B61" s="184"/>
      <c r="C61" s="185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50000000000003" customHeight="1">
      <c r="A62" s="185"/>
      <c r="B62" s="185"/>
      <c r="C62" s="68" t="s">
        <v>22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50000000000003" customHeight="1">
      <c r="A63" s="188" t="s">
        <v>120</v>
      </c>
      <c r="B63" s="176" t="s">
        <v>121</v>
      </c>
      <c r="C63" s="53" t="s">
        <v>21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50000000000003" customHeight="1">
      <c r="A64" s="188"/>
      <c r="B64" s="176"/>
      <c r="C64" s="53" t="s">
        <v>22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>
      <c r="A65" s="191" t="s">
        <v>122</v>
      </c>
      <c r="B65" s="186" t="s">
        <v>123</v>
      </c>
      <c r="C65" s="68" t="s">
        <v>21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50000000000003" customHeight="1">
      <c r="A66" s="191"/>
      <c r="B66" s="186"/>
      <c r="C66" s="68" t="s">
        <v>22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50000000000003" customHeight="1">
      <c r="A67" s="188" t="s">
        <v>124</v>
      </c>
      <c r="B67" s="176" t="s">
        <v>125</v>
      </c>
      <c r="C67" s="53" t="s">
        <v>21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50000000000003" customHeight="1">
      <c r="A68" s="188"/>
      <c r="B68" s="176"/>
      <c r="C68" s="53" t="s">
        <v>22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>
      <c r="A69" s="192" t="s">
        <v>126</v>
      </c>
      <c r="B69" s="177" t="s">
        <v>127</v>
      </c>
      <c r="C69" s="53" t="s">
        <v>21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50000000000003" customHeight="1">
      <c r="A70" s="193"/>
      <c r="B70" s="178"/>
      <c r="C70" s="53" t="s">
        <v>22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>
      <c r="B73" s="171" t="s">
        <v>254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</row>
    <row r="74" spans="1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>
      <c r="B79" s="172" t="s">
        <v>215</v>
      </c>
      <c r="C79" s="172"/>
      <c r="D79" s="172"/>
      <c r="E79" s="172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IV16"/>
    <mergeCell ref="EX16:EZ16"/>
    <mergeCell ref="FO16:FQ16"/>
    <mergeCell ref="GF16:GH16"/>
    <mergeCell ref="GW16:GY16"/>
    <mergeCell ref="HN16:HP16"/>
    <mergeCell ref="IE16:IG16"/>
    <mergeCell ref="EG16:EI16"/>
    <mergeCell ref="DP16:DR16"/>
    <mergeCell ref="CH16:CJ16"/>
    <mergeCell ref="CY16:DA16"/>
    <mergeCell ref="BQ16:BS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</mergeCells>
  <phoneticPr fontId="16" type="noConversion"/>
  <conditionalFormatting sqref="R5:AN6 R7:AC70">
    <cfRule type="expression" dxfId="1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77"/>
  <sheetViews>
    <sheetView tabSelected="1" zoomScale="110" zoomScaleNormal="110" workbookViewId="0">
      <pane xSplit="3" ySplit="10" topLeftCell="AF17" activePane="bottomRight" state="frozen"/>
      <selection pane="topRight" activeCell="D1" sqref="D1"/>
      <selection pane="bottomLeft" activeCell="A11" sqref="A11"/>
      <selection pane="bottomRight" activeCell="AR17" sqref="AR17:AR22"/>
    </sheetView>
  </sheetViews>
  <sheetFormatPr defaultColWidth="9.140625" defaultRowHeight="15"/>
  <cols>
    <col min="1" max="1" width="5.5703125" style="130" customWidth="1"/>
    <col min="2" max="3" width="23.7109375" style="130" customWidth="1"/>
    <col min="4" max="4" width="16.42578125" style="130" customWidth="1"/>
    <col min="5" max="5" width="10.85546875" style="130" customWidth="1"/>
    <col min="6" max="6" width="10.7109375" style="130" customWidth="1"/>
    <col min="7" max="10" width="9.140625" style="130" customWidth="1"/>
    <col min="11" max="11" width="8.85546875" style="130" customWidth="1"/>
    <col min="12" max="12" width="9.140625" style="130" customWidth="1"/>
    <col min="13" max="13" width="10.42578125" style="130" customWidth="1"/>
    <col min="14" max="15" width="9.140625" style="130" customWidth="1"/>
    <col min="16" max="16" width="11.140625" style="130" customWidth="1"/>
    <col min="17" max="17" width="9.42578125" style="130" customWidth="1"/>
    <col min="18" max="18" width="10.5703125" style="130" customWidth="1"/>
    <col min="19" max="19" width="11.140625" style="130" customWidth="1"/>
    <col min="20" max="21" width="9.140625" style="130" customWidth="1"/>
    <col min="22" max="22" width="10.85546875" style="130" customWidth="1"/>
    <col min="23" max="24" width="9.140625" style="130" customWidth="1"/>
    <col min="25" max="25" width="10.28515625" style="130" customWidth="1"/>
    <col min="26" max="26" width="10.42578125" style="130" customWidth="1"/>
    <col min="27" max="28" width="10.42578125" style="130" hidden="1" customWidth="1"/>
    <col min="29" max="29" width="10.42578125" style="130" customWidth="1"/>
    <col min="30" max="30" width="11" style="130" hidden="1" customWidth="1"/>
    <col min="31" max="31" width="9.85546875" style="130" hidden="1" customWidth="1"/>
    <col min="32" max="32" width="9.140625" style="130" customWidth="1"/>
    <col min="33" max="33" width="11.140625" style="130" hidden="1" customWidth="1"/>
    <col min="34" max="34" width="10.85546875" style="130" hidden="1" customWidth="1"/>
    <col min="35" max="35" width="9.42578125" style="130" customWidth="1"/>
    <col min="36" max="36" width="9.140625" style="130" hidden="1" customWidth="1"/>
    <col min="37" max="37" width="10.5703125" style="130" hidden="1" customWidth="1"/>
    <col min="38" max="38" width="9.140625" style="130" customWidth="1"/>
    <col min="39" max="39" width="9.140625" style="130" hidden="1" customWidth="1"/>
    <col min="40" max="40" width="10.5703125" style="130" hidden="1" customWidth="1"/>
    <col min="41" max="41" width="9.140625" style="131" customWidth="1"/>
    <col min="42" max="42" width="10.42578125" style="130" hidden="1" customWidth="1"/>
    <col min="43" max="43" width="9.140625" style="130" hidden="1" customWidth="1"/>
    <col min="44" max="44" width="65.28515625" style="126" customWidth="1"/>
    <col min="45" max="45" width="44.7109375" style="151" customWidth="1"/>
    <col min="46" max="49" width="9.140625" style="130" customWidth="1"/>
    <col min="50" max="16384" width="9.140625" style="130"/>
  </cols>
  <sheetData>
    <row r="1" spans="1:47" s="126" customFormat="1">
      <c r="I1" s="134"/>
      <c r="J1" s="134"/>
      <c r="K1" s="134"/>
      <c r="Y1" s="135"/>
      <c r="AI1" s="134"/>
      <c r="AO1" s="127"/>
      <c r="AS1" s="150" t="s">
        <v>276</v>
      </c>
    </row>
    <row r="2" spans="1:47" s="126" customFormat="1">
      <c r="F2" s="134"/>
      <c r="H2" s="134"/>
      <c r="I2" s="134"/>
      <c r="J2" s="134"/>
      <c r="Q2" s="134"/>
      <c r="AB2" s="134"/>
      <c r="AH2" s="135"/>
      <c r="AO2" s="127"/>
      <c r="AS2" s="150" t="s">
        <v>277</v>
      </c>
    </row>
    <row r="3" spans="1:47" s="126" customFormat="1" ht="15.75" customHeight="1">
      <c r="AO3" s="127"/>
      <c r="AS3" s="150" t="s">
        <v>278</v>
      </c>
    </row>
    <row r="4" spans="1:47" s="126" customFormat="1">
      <c r="AO4" s="127"/>
      <c r="AS4" s="149"/>
    </row>
    <row r="5" spans="1:47" s="126" customFormat="1">
      <c r="AO5" s="127"/>
      <c r="AS5" s="150" t="s">
        <v>275</v>
      </c>
    </row>
    <row r="6" spans="1:47" s="120" customFormat="1" ht="16.5" customHeight="1">
      <c r="A6" s="219" t="s">
        <v>274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</row>
    <row r="7" spans="1:47" s="120" customFormat="1" ht="39.75" customHeight="1">
      <c r="A7" s="219" t="s">
        <v>331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</row>
    <row r="8" spans="1:47" s="119" customFormat="1" ht="12.75">
      <c r="A8" s="104"/>
      <c r="B8" s="102"/>
      <c r="C8" s="102"/>
      <c r="D8" s="103"/>
      <c r="E8" s="103"/>
      <c r="F8" s="103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5"/>
      <c r="AP8" s="105"/>
      <c r="AQ8" s="105"/>
      <c r="AR8" s="105"/>
      <c r="AS8" s="29"/>
    </row>
    <row r="9" spans="1:47" s="119" customFormat="1" ht="27.75" customHeight="1">
      <c r="A9" s="220" t="s">
        <v>310</v>
      </c>
      <c r="B9" s="220" t="s">
        <v>307</v>
      </c>
      <c r="C9" s="221" t="s">
        <v>308</v>
      </c>
      <c r="D9" s="220" t="s">
        <v>1</v>
      </c>
      <c r="E9" s="220" t="s">
        <v>309</v>
      </c>
      <c r="F9" s="220"/>
      <c r="G9" s="220"/>
      <c r="H9" s="220" t="s">
        <v>18</v>
      </c>
      <c r="I9" s="220"/>
      <c r="J9" s="220"/>
      <c r="K9" s="220" t="s">
        <v>19</v>
      </c>
      <c r="L9" s="220"/>
      <c r="M9" s="220"/>
      <c r="N9" s="220" t="s">
        <v>23</v>
      </c>
      <c r="O9" s="220"/>
      <c r="P9" s="220"/>
      <c r="Q9" s="220" t="s">
        <v>25</v>
      </c>
      <c r="R9" s="220"/>
      <c r="S9" s="220"/>
      <c r="T9" s="220" t="s">
        <v>26</v>
      </c>
      <c r="U9" s="220"/>
      <c r="V9" s="220"/>
      <c r="W9" s="220" t="s">
        <v>27</v>
      </c>
      <c r="X9" s="220"/>
      <c r="Y9" s="220"/>
      <c r="Z9" s="220" t="s">
        <v>29</v>
      </c>
      <c r="AA9" s="220"/>
      <c r="AB9" s="220"/>
      <c r="AC9" s="220" t="s">
        <v>30</v>
      </c>
      <c r="AD9" s="220"/>
      <c r="AE9" s="220"/>
      <c r="AF9" s="220" t="s">
        <v>31</v>
      </c>
      <c r="AG9" s="220"/>
      <c r="AH9" s="220"/>
      <c r="AI9" s="220" t="s">
        <v>33</v>
      </c>
      <c r="AJ9" s="220"/>
      <c r="AK9" s="220"/>
      <c r="AL9" s="220" t="s">
        <v>34</v>
      </c>
      <c r="AM9" s="220"/>
      <c r="AN9" s="220"/>
      <c r="AO9" s="220" t="s">
        <v>35</v>
      </c>
      <c r="AP9" s="220"/>
      <c r="AQ9" s="220"/>
      <c r="AR9" s="223" t="s">
        <v>259</v>
      </c>
      <c r="AS9" s="198" t="s">
        <v>260</v>
      </c>
      <c r="AT9" s="121"/>
      <c r="AU9" s="121"/>
    </row>
    <row r="10" spans="1:47" s="119" customFormat="1" ht="37.5" customHeight="1">
      <c r="A10" s="220"/>
      <c r="B10" s="220"/>
      <c r="C10" s="222"/>
      <c r="D10" s="220"/>
      <c r="E10" s="143" t="s">
        <v>256</v>
      </c>
      <c r="F10" s="143" t="s">
        <v>257</v>
      </c>
      <c r="G10" s="128" t="s">
        <v>258</v>
      </c>
      <c r="H10" s="143" t="s">
        <v>256</v>
      </c>
      <c r="I10" s="143" t="s">
        <v>257</v>
      </c>
      <c r="J10" s="128" t="s">
        <v>258</v>
      </c>
      <c r="K10" s="143" t="s">
        <v>256</v>
      </c>
      <c r="L10" s="143" t="s">
        <v>257</v>
      </c>
      <c r="M10" s="128" t="s">
        <v>258</v>
      </c>
      <c r="N10" s="143" t="s">
        <v>256</v>
      </c>
      <c r="O10" s="143" t="s">
        <v>257</v>
      </c>
      <c r="P10" s="128" t="s">
        <v>258</v>
      </c>
      <c r="Q10" s="143" t="s">
        <v>256</v>
      </c>
      <c r="R10" s="143" t="s">
        <v>257</v>
      </c>
      <c r="S10" s="128" t="s">
        <v>258</v>
      </c>
      <c r="T10" s="143" t="s">
        <v>256</v>
      </c>
      <c r="U10" s="143" t="s">
        <v>257</v>
      </c>
      <c r="V10" s="128" t="s">
        <v>258</v>
      </c>
      <c r="W10" s="143" t="s">
        <v>256</v>
      </c>
      <c r="X10" s="143" t="s">
        <v>257</v>
      </c>
      <c r="Y10" s="128" t="s">
        <v>258</v>
      </c>
      <c r="Z10" s="143" t="s">
        <v>256</v>
      </c>
      <c r="AA10" s="143" t="s">
        <v>257</v>
      </c>
      <c r="AB10" s="128" t="s">
        <v>258</v>
      </c>
      <c r="AC10" s="143" t="s">
        <v>256</v>
      </c>
      <c r="AD10" s="143" t="s">
        <v>257</v>
      </c>
      <c r="AE10" s="128" t="s">
        <v>258</v>
      </c>
      <c r="AF10" s="143" t="s">
        <v>256</v>
      </c>
      <c r="AG10" s="143" t="s">
        <v>257</v>
      </c>
      <c r="AH10" s="128" t="s">
        <v>258</v>
      </c>
      <c r="AI10" s="143" t="s">
        <v>256</v>
      </c>
      <c r="AJ10" s="143" t="s">
        <v>257</v>
      </c>
      <c r="AK10" s="128" t="s">
        <v>258</v>
      </c>
      <c r="AL10" s="143" t="s">
        <v>256</v>
      </c>
      <c r="AM10" s="143" t="s">
        <v>257</v>
      </c>
      <c r="AN10" s="128" t="s">
        <v>258</v>
      </c>
      <c r="AO10" s="143" t="s">
        <v>256</v>
      </c>
      <c r="AP10" s="143" t="s">
        <v>257</v>
      </c>
      <c r="AQ10" s="128" t="s">
        <v>258</v>
      </c>
      <c r="AR10" s="223"/>
      <c r="AS10" s="198"/>
    </row>
    <row r="11" spans="1:47" s="123" customFormat="1" ht="12.75" customHeight="1">
      <c r="A11" s="224" t="s">
        <v>281</v>
      </c>
      <c r="B11" s="227" t="s">
        <v>271</v>
      </c>
      <c r="C11" s="228"/>
      <c r="D11" s="106" t="s">
        <v>269</v>
      </c>
      <c r="E11" s="100">
        <f>E12+E13+E15</f>
        <v>452521.99999999994</v>
      </c>
      <c r="F11" s="100">
        <f>F12+F13+F15</f>
        <v>200012.10000000003</v>
      </c>
      <c r="G11" s="100">
        <f t="shared" ref="G11:G23" si="0">F11/E11*100</f>
        <v>44.199420138689405</v>
      </c>
      <c r="H11" s="100">
        <f>H12+H13+H15</f>
        <v>6558.8999999999987</v>
      </c>
      <c r="I11" s="100">
        <f>I12+I13+I15</f>
        <v>6503.1999999999989</v>
      </c>
      <c r="J11" s="100">
        <f>I11/H11*100</f>
        <v>99.150772233148857</v>
      </c>
      <c r="K11" s="100">
        <f>K12+K13+K15</f>
        <v>48139.100000000006</v>
      </c>
      <c r="L11" s="100">
        <f>L12+L13+L15</f>
        <v>47084.600000000006</v>
      </c>
      <c r="M11" s="100">
        <f>L11/K11*100</f>
        <v>97.809472964804073</v>
      </c>
      <c r="N11" s="100">
        <f>N12+N13+N15</f>
        <v>37418.899999999994</v>
      </c>
      <c r="O11" s="100">
        <f>O12+O13+O15</f>
        <v>34438.800000000003</v>
      </c>
      <c r="P11" s="100">
        <f>O11/N11*100</f>
        <v>92.035842849469134</v>
      </c>
      <c r="Q11" s="100">
        <f>Q12+Q13+Q15</f>
        <v>34877.999999999993</v>
      </c>
      <c r="R11" s="100">
        <f>R12+R13+R15</f>
        <v>32822.1</v>
      </c>
      <c r="S11" s="100">
        <f>R11/Q11*100</f>
        <v>94.105453294340293</v>
      </c>
      <c r="T11" s="100">
        <f>T12+T13+T15</f>
        <v>38912.999999999993</v>
      </c>
      <c r="U11" s="100">
        <f>U12+U13+U15</f>
        <v>37963.5</v>
      </c>
      <c r="V11" s="100">
        <f>U11/T11*100</f>
        <v>97.559941407755773</v>
      </c>
      <c r="W11" s="100">
        <f>W12+W13+W15</f>
        <v>46004.3</v>
      </c>
      <c r="X11" s="100">
        <f>X12+X13+X15</f>
        <v>41199.9</v>
      </c>
      <c r="Y11" s="100">
        <f>X11/W11*100</f>
        <v>89.556628402127629</v>
      </c>
      <c r="Z11" s="100">
        <f>Z12+Z13+Z15</f>
        <v>38545.5</v>
      </c>
      <c r="AA11" s="100">
        <f>AA12+AA13+AA15</f>
        <v>0</v>
      </c>
      <c r="AB11" s="100">
        <f t="shared" ref="AB11:AB21" si="1">AA11/Z11*100</f>
        <v>0</v>
      </c>
      <c r="AC11" s="100">
        <f>AC12+AC13+AC15</f>
        <v>33264.1</v>
      </c>
      <c r="AD11" s="100">
        <f>AD12+AD13+AD15</f>
        <v>0</v>
      </c>
      <c r="AE11" s="100">
        <f>AD11/AC11*100</f>
        <v>0</v>
      </c>
      <c r="AF11" s="100">
        <f>AF12+AF13+AF15</f>
        <v>31784.1</v>
      </c>
      <c r="AG11" s="100">
        <f>AG12+AG13+AG15</f>
        <v>0</v>
      </c>
      <c r="AH11" s="100">
        <f>AG11/AF11*100</f>
        <v>0</v>
      </c>
      <c r="AI11" s="100">
        <f>AI12+AI13+AI15</f>
        <v>32335.200000000004</v>
      </c>
      <c r="AJ11" s="100">
        <f>AJ12+AJ13+AJ15</f>
        <v>0</v>
      </c>
      <c r="AK11" s="100">
        <f t="shared" ref="AK11:AK14" si="2">AJ11/AI11*100</f>
        <v>0</v>
      </c>
      <c r="AL11" s="100">
        <f>AL12+AL13+AL15</f>
        <v>38152.299999999996</v>
      </c>
      <c r="AM11" s="100">
        <f>AM12+AM13+AM15</f>
        <v>0</v>
      </c>
      <c r="AN11" s="100">
        <f t="shared" ref="AN11:AN13" si="3">AM11/AL11*100</f>
        <v>0</v>
      </c>
      <c r="AO11" s="100">
        <f>AO12+AO13+AO15</f>
        <v>66528.599999999991</v>
      </c>
      <c r="AP11" s="100">
        <f>AP12+AP13+AP15</f>
        <v>0</v>
      </c>
      <c r="AQ11" s="100" t="e">
        <f t="shared" ref="AQ11:AQ13" si="4">AO11/AP11*100</f>
        <v>#DIV/0!</v>
      </c>
      <c r="AR11" s="233"/>
      <c r="AS11" s="201"/>
      <c r="AT11" s="122"/>
    </row>
    <row r="12" spans="1:47" s="123" customFormat="1" ht="48">
      <c r="A12" s="225"/>
      <c r="B12" s="229"/>
      <c r="C12" s="230"/>
      <c r="D12" s="107" t="s">
        <v>267</v>
      </c>
      <c r="E12" s="100">
        <f>E18+E24+E29+E34+E39+E45</f>
        <v>14139.900000000001</v>
      </c>
      <c r="F12" s="100">
        <f>F18+F24+F29+F34+F39+F45</f>
        <v>3590</v>
      </c>
      <c r="G12" s="100">
        <f t="shared" si="0"/>
        <v>25.389147023670606</v>
      </c>
      <c r="H12" s="100">
        <f>H18+H24+H29+H34+H39+H45</f>
        <v>75.600000000000023</v>
      </c>
      <c r="I12" s="100">
        <f>I18+I24+I29+I34+I39+I45</f>
        <v>75.599999999999994</v>
      </c>
      <c r="J12" s="100">
        <f t="shared" ref="J12:J13" si="5">I12/H12*100</f>
        <v>99.999999999999972</v>
      </c>
      <c r="K12" s="100">
        <f>K18+K24+K29+K34+K39+K45</f>
        <v>571.79999999999995</v>
      </c>
      <c r="L12" s="100">
        <f>L18+L24+L29+L34+L39+L45</f>
        <v>537.9</v>
      </c>
      <c r="M12" s="100">
        <f t="shared" ref="M12:M15" si="6">L12/K12*100</f>
        <v>94.071353620146908</v>
      </c>
      <c r="N12" s="100">
        <f>N18+N24+N29+N34+N39+N45</f>
        <v>729.2</v>
      </c>
      <c r="O12" s="100">
        <f>O18+O24+O29+O34+O39+O45</f>
        <v>507</v>
      </c>
      <c r="P12" s="100">
        <f t="shared" ref="P12:P15" si="7">O12/N12*100</f>
        <v>69.528250137136581</v>
      </c>
      <c r="Q12" s="100">
        <f>Q18+Q24+Q29+Q34+Q39+Q45</f>
        <v>752.59999999999991</v>
      </c>
      <c r="R12" s="100">
        <f>R18+R24+R29+R34+R39+R45</f>
        <v>504.7</v>
      </c>
      <c r="S12" s="100">
        <f t="shared" ref="S12:S15" si="8">R12/Q12*100</f>
        <v>67.060855700239173</v>
      </c>
      <c r="T12" s="100">
        <f>T18+T24+T29+T34+T39+T45</f>
        <v>1149.8</v>
      </c>
      <c r="U12" s="100">
        <f>U18+U24+U29+U34+U39+U45</f>
        <v>970.09999999999991</v>
      </c>
      <c r="V12" s="100">
        <f>U12/T12*100</f>
        <v>84.371194990433125</v>
      </c>
      <c r="W12" s="100">
        <f>W18+W24+W29+W34+W39+W45</f>
        <v>1504.5</v>
      </c>
      <c r="X12" s="100">
        <f>X18+X24+X29+X34+X39+X45</f>
        <v>994.7</v>
      </c>
      <c r="Y12" s="100">
        <f t="shared" ref="Y12:Y15" si="9">X12/W12*100</f>
        <v>66.114988368228651</v>
      </c>
      <c r="Z12" s="100">
        <f>Z18+Z24+Z29+Z34+Z39+Z45</f>
        <v>1961.6999999999998</v>
      </c>
      <c r="AA12" s="100">
        <f>AA18+AA24+AA29+AA34+AA39+AA45</f>
        <v>0</v>
      </c>
      <c r="AB12" s="100">
        <f t="shared" si="1"/>
        <v>0</v>
      </c>
      <c r="AC12" s="100">
        <f>AC18+AC24+AC29+AC34+AC39+AC45</f>
        <v>2088.1</v>
      </c>
      <c r="AD12" s="100">
        <f>AD18+AD24+AD29+AD34+AD39+AD45</f>
        <v>0</v>
      </c>
      <c r="AE12" s="100">
        <f t="shared" ref="AE12:AE35" si="10">AD12/AC12*100</f>
        <v>0</v>
      </c>
      <c r="AF12" s="100">
        <f>AF18+AF24+AF29+AF34+AF39+AF45</f>
        <v>1683.8</v>
      </c>
      <c r="AG12" s="100">
        <f>AG18+AG24+AG29+AG34+AG39+AG45</f>
        <v>0</v>
      </c>
      <c r="AH12" s="100">
        <f>AG12/AF12*100</f>
        <v>0</v>
      </c>
      <c r="AI12" s="100">
        <f>AI18+AI24+AI29+AI34+AI39+AI45</f>
        <v>1334.6999999999998</v>
      </c>
      <c r="AJ12" s="100">
        <f>AJ18+AJ24+AJ29+AJ34+AJ39+AJ45</f>
        <v>0</v>
      </c>
      <c r="AK12" s="100">
        <f t="shared" si="2"/>
        <v>0</v>
      </c>
      <c r="AL12" s="100">
        <f>AL18+AL24+AL29+AL34+AL39+AL45</f>
        <v>1488.1999999999998</v>
      </c>
      <c r="AM12" s="100">
        <f>AM18+AM24+AM29+AM34+AM39+AM45</f>
        <v>0</v>
      </c>
      <c r="AN12" s="100">
        <f t="shared" si="3"/>
        <v>0</v>
      </c>
      <c r="AO12" s="100">
        <f>AO18+AO24+AO29+AO34+AO39+AO45</f>
        <v>799.9</v>
      </c>
      <c r="AP12" s="100">
        <f>AP18+AP24+AP29+AP34+AP39+AP45</f>
        <v>0</v>
      </c>
      <c r="AQ12" s="100" t="e">
        <f t="shared" si="4"/>
        <v>#DIV/0!</v>
      </c>
      <c r="AR12" s="234"/>
      <c r="AS12" s="202"/>
      <c r="AT12" s="122"/>
      <c r="AU12" s="122"/>
    </row>
    <row r="13" spans="1:47" s="123" customFormat="1" ht="12.75" customHeight="1">
      <c r="A13" s="225"/>
      <c r="B13" s="229"/>
      <c r="C13" s="230"/>
      <c r="D13" s="107" t="s">
        <v>280</v>
      </c>
      <c r="E13" s="100">
        <f>E19+E25+E30+E35+E40</f>
        <v>432971.99999999994</v>
      </c>
      <c r="F13" s="100">
        <f>F19+F25+F30+F35+F40</f>
        <v>194330.10000000003</v>
      </c>
      <c r="G13" s="100">
        <f t="shared" si="0"/>
        <v>44.882833070036874</v>
      </c>
      <c r="H13" s="100">
        <f>H19+H25+H30+H35+H40</f>
        <v>6483.2999999999984</v>
      </c>
      <c r="I13" s="100">
        <f>I19+I25+I30+I35+I40</f>
        <v>6427.5999999999985</v>
      </c>
      <c r="J13" s="100">
        <f t="shared" si="5"/>
        <v>99.14086961886693</v>
      </c>
      <c r="K13" s="100">
        <f>K19+K25+K30+K35+K40</f>
        <v>47452.100000000006</v>
      </c>
      <c r="L13" s="100">
        <f>L19+L25+L30+L35+L40</f>
        <v>46421.500000000007</v>
      </c>
      <c r="M13" s="100">
        <f t="shared" si="6"/>
        <v>97.828125625630904</v>
      </c>
      <c r="N13" s="100">
        <f>N19+N25+N30+N35+N40</f>
        <v>36020.5</v>
      </c>
      <c r="O13" s="100">
        <f>O19+O25+O30+O35+O40</f>
        <v>33295.700000000004</v>
      </c>
      <c r="P13" s="100">
        <f t="shared" si="7"/>
        <v>92.435418719895623</v>
      </c>
      <c r="Q13" s="100">
        <f>Q19+Q25+Q30+Q35+Q40</f>
        <v>33672.299999999996</v>
      </c>
      <c r="R13" s="100">
        <f>R19+R25+R30+R35+R40</f>
        <v>31979.499999999996</v>
      </c>
      <c r="S13" s="100">
        <f t="shared" si="8"/>
        <v>94.972722386056191</v>
      </c>
      <c r="T13" s="100">
        <f>T19+T25+T30+T35+T40</f>
        <v>37140.099999999991</v>
      </c>
      <c r="U13" s="100">
        <f>U19+U25+U30+U35+U40</f>
        <v>36545.599999999999</v>
      </c>
      <c r="V13" s="100">
        <f t="shared" ref="V13:V15" si="11">U13/T13*100</f>
        <v>98.399304256046719</v>
      </c>
      <c r="W13" s="100">
        <f>W19+W25+W30+W35+W40</f>
        <v>43895.3</v>
      </c>
      <c r="X13" s="100">
        <f>X19+X25+X30+X35+X40</f>
        <v>39660.200000000004</v>
      </c>
      <c r="Y13" s="100">
        <f t="shared" si="9"/>
        <v>90.351814431157777</v>
      </c>
      <c r="Z13" s="100">
        <f>Z19+Z25+Z30+Z35+Z40</f>
        <v>36028.200000000004</v>
      </c>
      <c r="AA13" s="100">
        <f>AA19+AA25+AA30+AA35+AA40</f>
        <v>0</v>
      </c>
      <c r="AB13" s="100">
        <f t="shared" si="1"/>
        <v>0</v>
      </c>
      <c r="AC13" s="100">
        <f>AC19+AC25+AC30+AC35+AC40</f>
        <v>30424.1</v>
      </c>
      <c r="AD13" s="100">
        <f>AD19+AD25+AD30+AD35+AD40</f>
        <v>0</v>
      </c>
      <c r="AE13" s="100">
        <f t="shared" si="10"/>
        <v>0</v>
      </c>
      <c r="AF13" s="100">
        <f>AF19+AF25+AF30+AF35+AF40</f>
        <v>29819.5</v>
      </c>
      <c r="AG13" s="100">
        <f>AG19+AG25+AG30+AG35+AG40</f>
        <v>0</v>
      </c>
      <c r="AH13" s="100">
        <f>AG13/AF13*100</f>
        <v>0</v>
      </c>
      <c r="AI13" s="100">
        <f>AI19+AI25+AI30+AI35+AI40</f>
        <v>30547.200000000004</v>
      </c>
      <c r="AJ13" s="100">
        <f>AJ19+AJ25+AJ30+AJ35+AJ40</f>
        <v>0</v>
      </c>
      <c r="AK13" s="100">
        <f t="shared" si="2"/>
        <v>0</v>
      </c>
      <c r="AL13" s="100">
        <f>AL19+AL25+AL30+AL35+AL40</f>
        <v>36314.400000000001</v>
      </c>
      <c r="AM13" s="100">
        <f>AM19+AM25+AM30+AM35+AM40</f>
        <v>0</v>
      </c>
      <c r="AN13" s="100">
        <f t="shared" si="3"/>
        <v>0</v>
      </c>
      <c r="AO13" s="100">
        <f>AO19+AO25+AO30+AO35+AO40</f>
        <v>65175</v>
      </c>
      <c r="AP13" s="100">
        <f>AP19+AP25+AP30+AP35+AP40</f>
        <v>0</v>
      </c>
      <c r="AQ13" s="100" t="e">
        <f t="shared" si="4"/>
        <v>#DIV/0!</v>
      </c>
      <c r="AR13" s="234"/>
      <c r="AS13" s="202"/>
      <c r="AT13" s="122"/>
      <c r="AU13" s="122"/>
    </row>
    <row r="14" spans="1:47" s="123" customFormat="1" ht="58.5" customHeight="1">
      <c r="A14" s="225"/>
      <c r="B14" s="229"/>
      <c r="C14" s="230"/>
      <c r="D14" s="138" t="s">
        <v>321</v>
      </c>
      <c r="E14" s="139">
        <f>H14+K14+N14+Q14+T14+W14+Z14+AC14+AF14+AI14+AL14+AO14</f>
        <v>66.2</v>
      </c>
      <c r="F14" s="139">
        <f t="shared" ref="F14" si="12">I14+L14+O14+R14+U14+X14+AA14+AD14+AG14+AJ14+AM14+AP14</f>
        <v>66.2</v>
      </c>
      <c r="G14" s="139">
        <f>F14/E14*100</f>
        <v>100</v>
      </c>
      <c r="H14" s="139">
        <f>H20+H41</f>
        <v>0</v>
      </c>
      <c r="I14" s="139">
        <f>I20+I41</f>
        <v>0</v>
      </c>
      <c r="J14" s="139">
        <v>0</v>
      </c>
      <c r="K14" s="139">
        <f>K20+K41</f>
        <v>0</v>
      </c>
      <c r="L14" s="139">
        <f>L20+L41</f>
        <v>0</v>
      </c>
      <c r="M14" s="139">
        <v>0</v>
      </c>
      <c r="N14" s="139">
        <f>N20+N41</f>
        <v>66.2</v>
      </c>
      <c r="O14" s="139">
        <f>O20+O41</f>
        <v>0</v>
      </c>
      <c r="P14" s="139">
        <f>O14/N14*100</f>
        <v>0</v>
      </c>
      <c r="Q14" s="139">
        <f t="shared" ref="Q14:AQ14" si="13">Q20+Q41</f>
        <v>0</v>
      </c>
      <c r="R14" s="139">
        <f t="shared" si="13"/>
        <v>0</v>
      </c>
      <c r="S14" s="139">
        <v>0</v>
      </c>
      <c r="T14" s="139">
        <f t="shared" si="13"/>
        <v>0</v>
      </c>
      <c r="U14" s="139">
        <f t="shared" si="13"/>
        <v>0</v>
      </c>
      <c r="V14" s="139">
        <v>0</v>
      </c>
      <c r="W14" s="139">
        <f t="shared" si="13"/>
        <v>0</v>
      </c>
      <c r="X14" s="139">
        <f t="shared" si="13"/>
        <v>66.2</v>
      </c>
      <c r="Y14" s="139" t="e">
        <f t="shared" si="9"/>
        <v>#DIV/0!</v>
      </c>
      <c r="Z14" s="139">
        <f t="shared" si="13"/>
        <v>0</v>
      </c>
      <c r="AA14" s="139">
        <f t="shared" si="13"/>
        <v>0</v>
      </c>
      <c r="AB14" s="139">
        <f t="shared" si="13"/>
        <v>0</v>
      </c>
      <c r="AC14" s="139">
        <f t="shared" si="13"/>
        <v>0</v>
      </c>
      <c r="AD14" s="139">
        <f t="shared" si="13"/>
        <v>0</v>
      </c>
      <c r="AE14" s="139">
        <f t="shared" si="13"/>
        <v>0</v>
      </c>
      <c r="AF14" s="139">
        <f t="shared" si="13"/>
        <v>0</v>
      </c>
      <c r="AG14" s="139">
        <f t="shared" si="13"/>
        <v>0</v>
      </c>
      <c r="AH14" s="139">
        <f t="shared" si="13"/>
        <v>0</v>
      </c>
      <c r="AI14" s="139">
        <f t="shared" si="13"/>
        <v>0</v>
      </c>
      <c r="AJ14" s="139">
        <f t="shared" si="13"/>
        <v>0</v>
      </c>
      <c r="AK14" s="100" t="e">
        <f t="shared" si="2"/>
        <v>#DIV/0!</v>
      </c>
      <c r="AL14" s="139">
        <f t="shared" si="13"/>
        <v>0</v>
      </c>
      <c r="AM14" s="139">
        <f t="shared" si="13"/>
        <v>0</v>
      </c>
      <c r="AN14" s="139">
        <f t="shared" si="13"/>
        <v>0</v>
      </c>
      <c r="AO14" s="139">
        <f t="shared" si="13"/>
        <v>0</v>
      </c>
      <c r="AP14" s="139">
        <f t="shared" si="13"/>
        <v>0</v>
      </c>
      <c r="AQ14" s="139" t="e">
        <f t="shared" si="13"/>
        <v>#DIV/0!</v>
      </c>
      <c r="AR14" s="234"/>
      <c r="AS14" s="202"/>
      <c r="AT14" s="122"/>
      <c r="AU14" s="122"/>
    </row>
    <row r="15" spans="1:47" s="123" customFormat="1" ht="24">
      <c r="A15" s="225"/>
      <c r="B15" s="229"/>
      <c r="C15" s="230"/>
      <c r="D15" s="108" t="s">
        <v>255</v>
      </c>
      <c r="E15" s="100">
        <f>E21+E26+E36+E47</f>
        <v>5410.0999999999995</v>
      </c>
      <c r="F15" s="100">
        <f>F21+F26+F36+F47</f>
        <v>2092</v>
      </c>
      <c r="G15" s="100">
        <f>F15/E15*100</f>
        <v>38.668416480286879</v>
      </c>
      <c r="H15" s="100">
        <f>H21+H26+H36+H47</f>
        <v>0</v>
      </c>
      <c r="I15" s="100">
        <f>I21+I26+I36+I47</f>
        <v>0</v>
      </c>
      <c r="J15" s="100">
        <v>0</v>
      </c>
      <c r="K15" s="100">
        <f>K21+K26+K36+K47</f>
        <v>115.2</v>
      </c>
      <c r="L15" s="100">
        <f>L21+L26+L36+L47</f>
        <v>125.2</v>
      </c>
      <c r="M15" s="100">
        <f t="shared" si="6"/>
        <v>108.68055555555556</v>
      </c>
      <c r="N15" s="100">
        <f>N21+N26+N36+N47</f>
        <v>669.2</v>
      </c>
      <c r="O15" s="100">
        <f>O21+O26+O36+O47</f>
        <v>636.1</v>
      </c>
      <c r="P15" s="100">
        <f t="shared" si="7"/>
        <v>95.053795576808128</v>
      </c>
      <c r="Q15" s="100">
        <f>Q21+Q26+Q36+Q47</f>
        <v>453.1</v>
      </c>
      <c r="R15" s="100">
        <f>R21+R26+R36+R47</f>
        <v>337.9</v>
      </c>
      <c r="S15" s="100">
        <f t="shared" si="8"/>
        <v>74.575148973736475</v>
      </c>
      <c r="T15" s="100">
        <f>T21+T26+T36+T47</f>
        <v>623.1</v>
      </c>
      <c r="U15" s="100">
        <f>U21+U26+U36+U47</f>
        <v>447.8</v>
      </c>
      <c r="V15" s="100">
        <f t="shared" si="11"/>
        <v>71.86647408120686</v>
      </c>
      <c r="W15" s="100">
        <f>W21+W26+W36+W47</f>
        <v>604.5</v>
      </c>
      <c r="X15" s="100">
        <f>X21+X26+X36+X47</f>
        <v>545</v>
      </c>
      <c r="Y15" s="100">
        <f t="shared" si="9"/>
        <v>90.157154673283699</v>
      </c>
      <c r="Z15" s="100">
        <f>Z21+Z26+Z36+Z47</f>
        <v>555.6</v>
      </c>
      <c r="AA15" s="100">
        <f>AA21+AA26+AA36+AA47</f>
        <v>0</v>
      </c>
      <c r="AB15" s="100">
        <f t="shared" si="1"/>
        <v>0</v>
      </c>
      <c r="AC15" s="100">
        <f>AC21+AC26+AC36+AC47</f>
        <v>751.90000000000009</v>
      </c>
      <c r="AD15" s="100">
        <f>AD21+AD26+AD36+AD47</f>
        <v>0</v>
      </c>
      <c r="AE15" s="100">
        <f t="shared" si="10"/>
        <v>0</v>
      </c>
      <c r="AF15" s="100">
        <f>AF21+AF26+AF36+AF47</f>
        <v>280.8</v>
      </c>
      <c r="AG15" s="100">
        <f>AG21+AG26+AG36+AG47</f>
        <v>0</v>
      </c>
      <c r="AH15" s="100">
        <f>AG15/AF15*100</f>
        <v>0</v>
      </c>
      <c r="AI15" s="100">
        <f>AI21+AI26+AI36+AI47</f>
        <v>453.3</v>
      </c>
      <c r="AJ15" s="100">
        <f>AJ21+AJ26+AJ36+AJ47</f>
        <v>0</v>
      </c>
      <c r="AK15" s="100">
        <f>AJ15/AI15*100</f>
        <v>0</v>
      </c>
      <c r="AL15" s="100">
        <f>AL21+AL26+AL36+AL47</f>
        <v>349.7</v>
      </c>
      <c r="AM15" s="100">
        <f>AM21+AM26+AM36+AM47</f>
        <v>0</v>
      </c>
      <c r="AN15" s="100">
        <f>AM15/AL15*100</f>
        <v>0</v>
      </c>
      <c r="AO15" s="100">
        <f>AO21+AO26+AO36+AO47</f>
        <v>553.70000000000005</v>
      </c>
      <c r="AP15" s="100">
        <f>AP21+AP26+AP36+AP47</f>
        <v>0</v>
      </c>
      <c r="AQ15" s="100" t="e">
        <f>AO15/AP15*100</f>
        <v>#DIV/0!</v>
      </c>
      <c r="AR15" s="234"/>
      <c r="AS15" s="202"/>
      <c r="AT15" s="122"/>
      <c r="AU15" s="122"/>
    </row>
    <row r="16" spans="1:47" s="123" customFormat="1" ht="24">
      <c r="A16" s="226"/>
      <c r="B16" s="231"/>
      <c r="C16" s="232"/>
      <c r="D16" s="108" t="s">
        <v>285</v>
      </c>
      <c r="E16" s="100">
        <f>H16+K16+N16+Q16+T16+W16+Z16+AC16+AF16+AI16+AL16+AO16</f>
        <v>0</v>
      </c>
      <c r="F16" s="100">
        <f>I16+L16+O16+R16+U16+X16+AA16+AD16+AG16+AJ16+AM16+AP16</f>
        <v>0</v>
      </c>
      <c r="G16" s="100">
        <v>0</v>
      </c>
      <c r="H16" s="100">
        <v>0</v>
      </c>
      <c r="I16" s="100">
        <v>0</v>
      </c>
      <c r="J16" s="100">
        <v>0</v>
      </c>
      <c r="K16" s="129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14">
        <v>0</v>
      </c>
      <c r="U16" s="114">
        <v>0</v>
      </c>
      <c r="V16" s="100">
        <v>0</v>
      </c>
      <c r="W16" s="114">
        <v>0</v>
      </c>
      <c r="X16" s="114">
        <v>0</v>
      </c>
      <c r="Y16" s="114">
        <v>0</v>
      </c>
      <c r="Z16" s="114">
        <v>0</v>
      </c>
      <c r="AA16" s="114">
        <v>0</v>
      </c>
      <c r="AB16" s="114">
        <v>0</v>
      </c>
      <c r="AC16" s="114">
        <v>0</v>
      </c>
      <c r="AD16" s="114">
        <v>0</v>
      </c>
      <c r="AE16" s="114">
        <v>0</v>
      </c>
      <c r="AF16" s="114">
        <v>0</v>
      </c>
      <c r="AG16" s="114">
        <v>0</v>
      </c>
      <c r="AH16" s="100">
        <v>0</v>
      </c>
      <c r="AI16" s="100">
        <v>0</v>
      </c>
      <c r="AJ16" s="100">
        <v>0</v>
      </c>
      <c r="AK16" s="100">
        <v>0</v>
      </c>
      <c r="AL16" s="114">
        <v>0</v>
      </c>
      <c r="AM16" s="114">
        <v>0</v>
      </c>
      <c r="AN16" s="114">
        <v>0</v>
      </c>
      <c r="AO16" s="100">
        <v>0</v>
      </c>
      <c r="AP16" s="100">
        <v>0</v>
      </c>
      <c r="AQ16" s="100">
        <v>0</v>
      </c>
      <c r="AR16" s="235"/>
      <c r="AS16" s="203"/>
      <c r="AT16" s="122"/>
    </row>
    <row r="17" spans="1:50" s="119" customFormat="1" ht="46.5" customHeight="1">
      <c r="A17" s="236" t="s">
        <v>2</v>
      </c>
      <c r="B17" s="239" t="s">
        <v>286</v>
      </c>
      <c r="C17" s="242" t="s">
        <v>312</v>
      </c>
      <c r="D17" s="148" t="s">
        <v>269</v>
      </c>
      <c r="E17" s="96">
        <f>E18+E19+E21</f>
        <v>268902.7</v>
      </c>
      <c r="F17" s="96">
        <f>F18+F19+F21</f>
        <v>122111.80000000002</v>
      </c>
      <c r="G17" s="96">
        <f t="shared" si="0"/>
        <v>45.411146857208948</v>
      </c>
      <c r="H17" s="96">
        <f t="shared" ref="H17:I17" si="14">H18+H19+H21</f>
        <v>3772.7999999999988</v>
      </c>
      <c r="I17" s="96">
        <f t="shared" si="14"/>
        <v>3772.7999999999997</v>
      </c>
      <c r="J17" s="96">
        <f>I17/H17*100</f>
        <v>100.00000000000003</v>
      </c>
      <c r="K17" s="96">
        <f t="shared" ref="K17:L17" si="15">K18+K19+K21</f>
        <v>34473.4</v>
      </c>
      <c r="L17" s="96">
        <f t="shared" si="15"/>
        <v>33978.400000000001</v>
      </c>
      <c r="M17" s="96">
        <f>L17/K17*100</f>
        <v>98.564110299535287</v>
      </c>
      <c r="N17" s="96">
        <f t="shared" ref="N17:O17" si="16">N18+N19+N21</f>
        <v>21680</v>
      </c>
      <c r="O17" s="96">
        <f t="shared" si="16"/>
        <v>20292.099999999999</v>
      </c>
      <c r="P17" s="96">
        <f>O17/N17*100</f>
        <v>93.598247232472318</v>
      </c>
      <c r="Q17" s="96">
        <f t="shared" ref="Q17:AP17" si="17">Q18+Q19+Q21</f>
        <v>20576.899999999998</v>
      </c>
      <c r="R17" s="96">
        <f t="shared" si="17"/>
        <v>19953.2</v>
      </c>
      <c r="S17" s="96">
        <f>R17/Q17*100</f>
        <v>96.968931180109749</v>
      </c>
      <c r="T17" s="96">
        <f t="shared" si="17"/>
        <v>22468.1</v>
      </c>
      <c r="U17" s="96">
        <f t="shared" si="17"/>
        <v>22134.399999999998</v>
      </c>
      <c r="V17" s="96">
        <f>U17/T17*100</f>
        <v>98.514783181488426</v>
      </c>
      <c r="W17" s="96">
        <f t="shared" si="17"/>
        <v>22167.800000000003</v>
      </c>
      <c r="X17" s="96">
        <f t="shared" si="17"/>
        <v>21980.9</v>
      </c>
      <c r="Y17" s="139">
        <f>X17/W17*100</f>
        <v>99.156885211883889</v>
      </c>
      <c r="Z17" s="96">
        <f t="shared" si="17"/>
        <v>17743.899999999998</v>
      </c>
      <c r="AA17" s="96">
        <f t="shared" si="17"/>
        <v>0</v>
      </c>
      <c r="AB17" s="100">
        <f>AA17/Z17*100</f>
        <v>0</v>
      </c>
      <c r="AC17" s="96">
        <f t="shared" si="17"/>
        <v>16964</v>
      </c>
      <c r="AD17" s="96">
        <f t="shared" si="17"/>
        <v>0</v>
      </c>
      <c r="AE17" s="100">
        <f>AD17/AC17*100</f>
        <v>0</v>
      </c>
      <c r="AF17" s="96">
        <f t="shared" si="17"/>
        <v>16085.099999999997</v>
      </c>
      <c r="AG17" s="96">
        <f t="shared" si="17"/>
        <v>0</v>
      </c>
      <c r="AH17" s="100">
        <f>AG17/AF17*100</f>
        <v>0</v>
      </c>
      <c r="AI17" s="96">
        <f t="shared" si="17"/>
        <v>18886.400000000001</v>
      </c>
      <c r="AJ17" s="96">
        <f t="shared" si="17"/>
        <v>0</v>
      </c>
      <c r="AK17" s="100">
        <f>AJ17/AI17*100</f>
        <v>0</v>
      </c>
      <c r="AL17" s="96">
        <f t="shared" si="17"/>
        <v>25343.800000000003</v>
      </c>
      <c r="AM17" s="96">
        <f t="shared" si="17"/>
        <v>0</v>
      </c>
      <c r="AN17" s="100">
        <f>AM17/AL17*100</f>
        <v>0</v>
      </c>
      <c r="AO17" s="96">
        <f t="shared" si="17"/>
        <v>48740.5</v>
      </c>
      <c r="AP17" s="96">
        <f t="shared" si="17"/>
        <v>0</v>
      </c>
      <c r="AQ17" s="100">
        <f>AP17/AO17*100</f>
        <v>0</v>
      </c>
      <c r="AR17" s="214" t="s">
        <v>343</v>
      </c>
      <c r="AS17" s="208" t="s">
        <v>341</v>
      </c>
      <c r="AT17" s="117"/>
      <c r="AU17" s="117"/>
      <c r="AV17" s="118"/>
      <c r="AX17" s="117"/>
    </row>
    <row r="18" spans="1:50" s="119" customFormat="1" ht="51" customHeight="1">
      <c r="A18" s="237"/>
      <c r="B18" s="240"/>
      <c r="C18" s="243"/>
      <c r="D18" s="109" t="s">
        <v>267</v>
      </c>
      <c r="E18" s="96">
        <f>H18+K18+N18+Q18+T18+W18+Z18+AC18+AF18+AI18+AL18+AO18</f>
        <v>5489.0999999999995</v>
      </c>
      <c r="F18" s="96">
        <f>I18+L18+O18+R18+U18+X18+AA18+AD18+AG18+AJ18+AM18+AP18</f>
        <v>1858.1</v>
      </c>
      <c r="G18" s="96">
        <f t="shared" si="0"/>
        <v>33.850722340638725</v>
      </c>
      <c r="H18" s="96">
        <f>262.8+53.1-240.3</f>
        <v>75.600000000000023</v>
      </c>
      <c r="I18" s="96">
        <v>75.599999999999994</v>
      </c>
      <c r="J18" s="96">
        <f>I18/H18*100</f>
        <v>99.999999999999972</v>
      </c>
      <c r="K18" s="96">
        <f>72+402.8+97</f>
        <v>571.79999999999995</v>
      </c>
      <c r="L18" s="96">
        <v>537.9</v>
      </c>
      <c r="M18" s="96">
        <f>L18/K18*100</f>
        <v>94.071353620146908</v>
      </c>
      <c r="N18" s="96">
        <f>72.1+8.3+97.1+273.7</f>
        <v>451.2</v>
      </c>
      <c r="O18" s="96">
        <v>375.1</v>
      </c>
      <c r="P18" s="96">
        <f>O18/N18*100</f>
        <v>83.133865248226954</v>
      </c>
      <c r="Q18" s="96">
        <f>67+103.1+5.2+271.9</f>
        <v>447.19999999999993</v>
      </c>
      <c r="R18" s="96">
        <v>296.2</v>
      </c>
      <c r="S18" s="96">
        <f>R18/Q18*100</f>
        <v>66.234347048300549</v>
      </c>
      <c r="T18" s="110">
        <f>62.1+6.5+271.9+98.9</f>
        <v>439.4</v>
      </c>
      <c r="U18" s="110">
        <v>365.3</v>
      </c>
      <c r="V18" s="95">
        <f>U18/T18*100</f>
        <v>83.136094674556219</v>
      </c>
      <c r="W18" s="96">
        <f>57.1+6.5+271.9-0.1</f>
        <v>335.4</v>
      </c>
      <c r="X18" s="96">
        <v>208</v>
      </c>
      <c r="Y18" s="95">
        <f t="shared" ref="Y18:Y21" si="18">X18/W18*100</f>
        <v>62.015503875968989</v>
      </c>
      <c r="Z18" s="96">
        <f>57+6.5+88.6+300</f>
        <v>452.1</v>
      </c>
      <c r="AA18" s="96">
        <v>0</v>
      </c>
      <c r="AB18" s="95">
        <f t="shared" si="1"/>
        <v>0</v>
      </c>
      <c r="AC18" s="110">
        <f>57.1+21.9+88.6-0.1+310.6</f>
        <v>478.1</v>
      </c>
      <c r="AD18" s="110">
        <v>0</v>
      </c>
      <c r="AE18" s="95">
        <f t="shared" si="10"/>
        <v>0</v>
      </c>
      <c r="AF18" s="110">
        <f>57.1+6.5+88.7</f>
        <v>152.30000000000001</v>
      </c>
      <c r="AG18" s="111">
        <v>0</v>
      </c>
      <c r="AH18" s="96">
        <f t="shared" ref="AH18:AH21" si="19">AG18/AF18*100</f>
        <v>0</v>
      </c>
      <c r="AI18" s="110">
        <f>67+5.2+164.2+500</f>
        <v>736.4</v>
      </c>
      <c r="AJ18" s="110">
        <v>0</v>
      </c>
      <c r="AK18" s="110">
        <f>AJ18/AI18*100</f>
        <v>0</v>
      </c>
      <c r="AL18" s="110">
        <f>72.1+5.2+164.2+652.9</f>
        <v>894.4</v>
      </c>
      <c r="AM18" s="110">
        <v>0</v>
      </c>
      <c r="AN18" s="110">
        <f>AM18/AL18*100</f>
        <v>0</v>
      </c>
      <c r="AO18" s="110">
        <f>131.1+4.1+24.8+328.4+0.2-33.4</f>
        <v>455.2</v>
      </c>
      <c r="AP18" s="96">
        <v>0</v>
      </c>
      <c r="AQ18" s="96">
        <f>AP18/AO18*100</f>
        <v>0</v>
      </c>
      <c r="AR18" s="215"/>
      <c r="AS18" s="209"/>
      <c r="AT18" s="117"/>
      <c r="AU18" s="117"/>
      <c r="AV18" s="117"/>
      <c r="AX18" s="117"/>
    </row>
    <row r="19" spans="1:50" s="119" customFormat="1" ht="39.75" customHeight="1">
      <c r="A19" s="237"/>
      <c r="B19" s="240"/>
      <c r="C19" s="243"/>
      <c r="D19" s="109" t="s">
        <v>279</v>
      </c>
      <c r="E19" s="96">
        <f t="shared" ref="E19:F21" si="20">H19+K19+N19+Q19+T19+W19+Z19+AC19+AF19+AI19+AL19+AO19</f>
        <v>258003.50000000003</v>
      </c>
      <c r="F19" s="96">
        <f t="shared" si="20"/>
        <v>118161.70000000001</v>
      </c>
      <c r="G19" s="96">
        <f t="shared" si="0"/>
        <v>45.798487229824403</v>
      </c>
      <c r="H19" s="96">
        <f>15635.8-11938.6</f>
        <v>3697.1999999999989</v>
      </c>
      <c r="I19" s="96">
        <v>3697.2</v>
      </c>
      <c r="J19" s="96">
        <f>I19/H19*100</f>
        <v>100.00000000000003</v>
      </c>
      <c r="K19" s="96">
        <f>20847.8+12938.6</f>
        <v>33786.400000000001</v>
      </c>
      <c r="L19" s="96">
        <v>33315.300000000003</v>
      </c>
      <c r="M19" s="96">
        <f>L19/K19*100</f>
        <v>98.605651978310803</v>
      </c>
      <c r="N19" s="96">
        <f>15635.9+4923.7</f>
        <v>20559.599999999999</v>
      </c>
      <c r="O19" s="96">
        <v>19280.900000000001</v>
      </c>
      <c r="P19" s="96">
        <f>O19/N19*100</f>
        <v>93.780521021809776</v>
      </c>
      <c r="Q19" s="96">
        <f>30+18000+1646.6</f>
        <v>19676.599999999999</v>
      </c>
      <c r="R19" s="96">
        <v>19319.099999999999</v>
      </c>
      <c r="S19" s="96">
        <f>R19/Q19*100</f>
        <v>98.183121067664132</v>
      </c>
      <c r="T19" s="110">
        <f>0+15000+6405.6</f>
        <v>21405.599999999999</v>
      </c>
      <c r="U19" s="110">
        <v>21321.3</v>
      </c>
      <c r="V19" s="95">
        <f t="shared" ref="V19:V21" si="21">U19/T19*100</f>
        <v>99.606177822625867</v>
      </c>
      <c r="W19" s="96">
        <f>23178.5-304-1646.6</f>
        <v>21227.9</v>
      </c>
      <c r="X19" s="96">
        <v>21227.9</v>
      </c>
      <c r="Y19" s="95">
        <f t="shared" si="18"/>
        <v>100</v>
      </c>
      <c r="Z19" s="96">
        <v>16736.2</v>
      </c>
      <c r="AA19" s="96">
        <v>0</v>
      </c>
      <c r="AB19" s="95">
        <f t="shared" si="1"/>
        <v>0</v>
      </c>
      <c r="AC19" s="110">
        <f>16734-1000</f>
        <v>15734</v>
      </c>
      <c r="AD19" s="110">
        <v>0</v>
      </c>
      <c r="AE19" s="95">
        <f t="shared" si="10"/>
        <v>0</v>
      </c>
      <c r="AF19" s="110">
        <f>16734-64.9-1017.1</f>
        <v>15651.999999999998</v>
      </c>
      <c r="AG19" s="111">
        <v>0</v>
      </c>
      <c r="AH19" s="96">
        <f t="shared" si="19"/>
        <v>0</v>
      </c>
      <c r="AI19" s="110">
        <f>3+17693.7</f>
        <v>17696.7</v>
      </c>
      <c r="AJ19" s="110">
        <v>0</v>
      </c>
      <c r="AK19" s="110">
        <f>AJ19/AI19*100</f>
        <v>0</v>
      </c>
      <c r="AL19" s="110">
        <f>17693.7+6406</f>
        <v>24099.7</v>
      </c>
      <c r="AM19" s="110">
        <v>0</v>
      </c>
      <c r="AN19" s="110">
        <f>AM19/AL19*100</f>
        <v>0</v>
      </c>
      <c r="AO19" s="110">
        <f>17693.7*2+12344.2</f>
        <v>47731.600000000006</v>
      </c>
      <c r="AP19" s="96">
        <v>0</v>
      </c>
      <c r="AQ19" s="96">
        <f>AP19/AO19*100</f>
        <v>0</v>
      </c>
      <c r="AR19" s="215"/>
      <c r="AS19" s="209"/>
      <c r="AT19" s="117"/>
      <c r="AU19" s="117"/>
      <c r="AV19" s="117"/>
      <c r="AX19" s="117"/>
    </row>
    <row r="20" spans="1:50" s="119" customFormat="1" ht="49.5" customHeight="1">
      <c r="A20" s="237"/>
      <c r="B20" s="240"/>
      <c r="C20" s="243"/>
      <c r="D20" s="138" t="s">
        <v>321</v>
      </c>
      <c r="E20" s="139">
        <f t="shared" si="20"/>
        <v>25.1</v>
      </c>
      <c r="F20" s="139">
        <f t="shared" si="20"/>
        <v>25.1</v>
      </c>
      <c r="G20" s="139">
        <f>F20/E20*100</f>
        <v>100</v>
      </c>
      <c r="H20" s="139">
        <v>0</v>
      </c>
      <c r="I20" s="139">
        <v>0</v>
      </c>
      <c r="J20" s="139">
        <v>0</v>
      </c>
      <c r="K20" s="139">
        <v>0</v>
      </c>
      <c r="L20" s="139">
        <v>0</v>
      </c>
      <c r="M20" s="139">
        <v>0</v>
      </c>
      <c r="N20" s="139">
        <v>25.1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40">
        <v>0</v>
      </c>
      <c r="U20" s="140">
        <v>0</v>
      </c>
      <c r="V20" s="139">
        <v>0</v>
      </c>
      <c r="W20" s="141">
        <v>0</v>
      </c>
      <c r="X20" s="141">
        <v>25.1</v>
      </c>
      <c r="Y20" s="141">
        <v>0</v>
      </c>
      <c r="Z20" s="139">
        <v>0</v>
      </c>
      <c r="AA20" s="139">
        <v>0</v>
      </c>
      <c r="AB20" s="141">
        <v>0</v>
      </c>
      <c r="AC20" s="140">
        <v>0</v>
      </c>
      <c r="AD20" s="140">
        <v>0</v>
      </c>
      <c r="AE20" s="141">
        <v>0</v>
      </c>
      <c r="AF20" s="140">
        <v>0</v>
      </c>
      <c r="AG20" s="142">
        <v>0</v>
      </c>
      <c r="AH20" s="139">
        <v>0</v>
      </c>
      <c r="AI20" s="140">
        <v>0</v>
      </c>
      <c r="AJ20" s="140">
        <v>0</v>
      </c>
      <c r="AK20" s="140">
        <v>0</v>
      </c>
      <c r="AL20" s="140">
        <v>0</v>
      </c>
      <c r="AM20" s="140">
        <v>0</v>
      </c>
      <c r="AN20" s="140">
        <v>0</v>
      </c>
      <c r="AO20" s="140">
        <v>0</v>
      </c>
      <c r="AP20" s="96">
        <v>0</v>
      </c>
      <c r="AQ20" s="96" t="e">
        <f>AP20/AO20*100</f>
        <v>#DIV/0!</v>
      </c>
      <c r="AR20" s="215"/>
      <c r="AS20" s="209"/>
      <c r="AT20" s="122"/>
      <c r="AU20" s="122"/>
      <c r="AV20" s="118"/>
      <c r="AX20" s="117"/>
    </row>
    <row r="21" spans="1:50" s="119" customFormat="1" ht="72.75" customHeight="1">
      <c r="A21" s="237"/>
      <c r="B21" s="240"/>
      <c r="C21" s="243"/>
      <c r="D21" s="99" t="s">
        <v>255</v>
      </c>
      <c r="E21" s="96">
        <f t="shared" si="20"/>
        <v>5410.0999999999995</v>
      </c>
      <c r="F21" s="96">
        <f t="shared" si="20"/>
        <v>2092</v>
      </c>
      <c r="G21" s="96">
        <f t="shared" si="0"/>
        <v>38.668416480286879</v>
      </c>
      <c r="H21" s="96">
        <v>0</v>
      </c>
      <c r="I21" s="96">
        <v>0</v>
      </c>
      <c r="J21" s="96">
        <v>0</v>
      </c>
      <c r="K21" s="96">
        <v>115.2</v>
      </c>
      <c r="L21" s="96">
        <v>125.2</v>
      </c>
      <c r="M21" s="96">
        <f>L21/K21*100</f>
        <v>108.68055555555556</v>
      </c>
      <c r="N21" s="96">
        <f>1019.2-350</f>
        <v>669.2</v>
      </c>
      <c r="O21" s="96">
        <v>636.1</v>
      </c>
      <c r="P21" s="96">
        <f>O21/N21*100</f>
        <v>95.053795576808128</v>
      </c>
      <c r="Q21" s="96">
        <v>453.1</v>
      </c>
      <c r="R21" s="96">
        <v>337.9</v>
      </c>
      <c r="S21" s="96">
        <f>R21/Q21*100</f>
        <v>74.575148973736475</v>
      </c>
      <c r="T21" s="110">
        <f>373.1+350-100</f>
        <v>623.1</v>
      </c>
      <c r="U21" s="110">
        <v>447.8</v>
      </c>
      <c r="V21" s="95">
        <f t="shared" si="21"/>
        <v>71.86647408120686</v>
      </c>
      <c r="W21" s="95">
        <v>604.5</v>
      </c>
      <c r="X21" s="95">
        <v>545</v>
      </c>
      <c r="Y21" s="95">
        <f t="shared" si="18"/>
        <v>90.157154673283699</v>
      </c>
      <c r="Z21" s="96">
        <v>555.6</v>
      </c>
      <c r="AA21" s="96">
        <v>0</v>
      </c>
      <c r="AB21" s="95">
        <f t="shared" si="1"/>
        <v>0</v>
      </c>
      <c r="AC21" s="110">
        <f>750.2+1.7</f>
        <v>751.90000000000009</v>
      </c>
      <c r="AD21" s="110">
        <v>0</v>
      </c>
      <c r="AE21" s="95">
        <f t="shared" si="10"/>
        <v>0</v>
      </c>
      <c r="AF21" s="110">
        <v>280.8</v>
      </c>
      <c r="AG21" s="111">
        <v>0</v>
      </c>
      <c r="AH21" s="96">
        <f t="shared" si="19"/>
        <v>0</v>
      </c>
      <c r="AI21" s="110">
        <v>453.3</v>
      </c>
      <c r="AJ21" s="110">
        <v>0</v>
      </c>
      <c r="AK21" s="110">
        <f>AJ21/AI21*100</f>
        <v>0</v>
      </c>
      <c r="AL21" s="110">
        <v>349.7</v>
      </c>
      <c r="AM21" s="110">
        <v>0</v>
      </c>
      <c r="AN21" s="110">
        <f>AM21/AL21*100</f>
        <v>0</v>
      </c>
      <c r="AO21" s="110">
        <v>553.70000000000005</v>
      </c>
      <c r="AP21" s="96">
        <v>0</v>
      </c>
      <c r="AQ21" s="96">
        <f>AP21/AO21*100</f>
        <v>0</v>
      </c>
      <c r="AR21" s="215"/>
      <c r="AS21" s="209"/>
      <c r="AT21" s="117"/>
      <c r="AU21" s="117"/>
      <c r="AV21" s="117"/>
      <c r="AX21" s="117"/>
    </row>
    <row r="22" spans="1:50" s="119" customFormat="1" ht="258.75" customHeight="1">
      <c r="A22" s="238"/>
      <c r="B22" s="241"/>
      <c r="C22" s="244"/>
      <c r="D22" s="99" t="s">
        <v>285</v>
      </c>
      <c r="E22" s="96">
        <f>H22+K22+N22+Q22+T22+W22+Z22+AC22+AF22+AI22+AL22+AO22</f>
        <v>0</v>
      </c>
      <c r="F22" s="96">
        <f>I22+L22+O22+R22+U22+X22+AA22+AD22+AG22+AJ22+AM22+AP22</f>
        <v>0</v>
      </c>
      <c r="G22" s="96">
        <v>0</v>
      </c>
      <c r="H22" s="96">
        <v>0</v>
      </c>
      <c r="I22" s="96">
        <v>0</v>
      </c>
      <c r="J22" s="96">
        <v>0</v>
      </c>
      <c r="K22" s="97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5">
        <v>0</v>
      </c>
      <c r="U22" s="95">
        <v>0</v>
      </c>
      <c r="V22" s="96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6">
        <v>0</v>
      </c>
      <c r="AI22" s="96">
        <v>0</v>
      </c>
      <c r="AJ22" s="96">
        <v>0</v>
      </c>
      <c r="AK22" s="96">
        <v>0</v>
      </c>
      <c r="AL22" s="95">
        <v>0</v>
      </c>
      <c r="AM22" s="95">
        <v>0</v>
      </c>
      <c r="AN22" s="95">
        <v>0</v>
      </c>
      <c r="AO22" s="96">
        <v>0</v>
      </c>
      <c r="AP22" s="96">
        <v>0</v>
      </c>
      <c r="AQ22" s="96">
        <v>0</v>
      </c>
      <c r="AR22" s="216"/>
      <c r="AS22" s="210"/>
      <c r="AT22" s="117"/>
      <c r="AU22" s="117"/>
      <c r="AV22" s="118"/>
    </row>
    <row r="23" spans="1:50" s="119" customFormat="1" ht="18.75" customHeight="1">
      <c r="A23" s="236" t="s">
        <v>4</v>
      </c>
      <c r="B23" s="239" t="s">
        <v>306</v>
      </c>
      <c r="C23" s="242" t="s">
        <v>303</v>
      </c>
      <c r="D23" s="148" t="s">
        <v>269</v>
      </c>
      <c r="E23" s="96">
        <f>E24+E25+E26+E27</f>
        <v>143707.5</v>
      </c>
      <c r="F23" s="96">
        <f>F24+F25+F26+F27</f>
        <v>64815.6</v>
      </c>
      <c r="G23" s="96">
        <f t="shared" si="0"/>
        <v>45.102447680183708</v>
      </c>
      <c r="H23" s="96">
        <f>H24+H25+H26+H27</f>
        <v>2152.5999999999995</v>
      </c>
      <c r="I23" s="96">
        <f>I24+I25+I26+I27</f>
        <v>2152.6</v>
      </c>
      <c r="J23" s="96">
        <f>I23/H23*100</f>
        <v>100.00000000000003</v>
      </c>
      <c r="K23" s="96">
        <f>K24+K25+K26+K27</f>
        <v>12717.5</v>
      </c>
      <c r="L23" s="96">
        <f>L24+L25+L26+L27</f>
        <v>12280.4</v>
      </c>
      <c r="M23" s="96">
        <f t="shared" ref="M23:M28" si="22">L23/K23*100</f>
        <v>96.56300373501081</v>
      </c>
      <c r="N23" s="96">
        <f>N24+N25+N26+N27</f>
        <v>13669.9</v>
      </c>
      <c r="O23" s="96">
        <f>O24+O25+O26+O27</f>
        <v>12365.1</v>
      </c>
      <c r="P23" s="96">
        <f t="shared" ref="P23:P28" si="23">O23/N23*100</f>
        <v>90.45494114806985</v>
      </c>
      <c r="Q23" s="96">
        <f t="shared" ref="Q23:AO23" si="24">Q24+Q25+Q26+Q27</f>
        <v>11242.5</v>
      </c>
      <c r="R23" s="96">
        <f t="shared" si="24"/>
        <v>11154.1</v>
      </c>
      <c r="S23" s="96">
        <f>R23/Q23*100</f>
        <v>99.213698020902825</v>
      </c>
      <c r="T23" s="96">
        <f t="shared" si="24"/>
        <v>12375.9</v>
      </c>
      <c r="U23" s="96">
        <f t="shared" si="24"/>
        <v>12013.5</v>
      </c>
      <c r="V23" s="96">
        <f>U23/T23*100</f>
        <v>97.071728116743031</v>
      </c>
      <c r="W23" s="96">
        <f t="shared" si="24"/>
        <v>16893.2</v>
      </c>
      <c r="X23" s="96">
        <f t="shared" si="24"/>
        <v>14849.9</v>
      </c>
      <c r="Y23" s="96">
        <f>X23/W23*100</f>
        <v>87.904600667724281</v>
      </c>
      <c r="Z23" s="96">
        <f t="shared" si="24"/>
        <v>14602.2</v>
      </c>
      <c r="AA23" s="96">
        <f t="shared" si="24"/>
        <v>0</v>
      </c>
      <c r="AB23" s="100">
        <f>AA23/Z23*100</f>
        <v>0</v>
      </c>
      <c r="AC23" s="96">
        <f t="shared" si="24"/>
        <v>10769</v>
      </c>
      <c r="AD23" s="96">
        <f t="shared" si="24"/>
        <v>0</v>
      </c>
      <c r="AE23" s="100">
        <f>AD23/AC23*100</f>
        <v>0</v>
      </c>
      <c r="AF23" s="96">
        <f t="shared" si="24"/>
        <v>10435.4</v>
      </c>
      <c r="AG23" s="96">
        <f t="shared" si="24"/>
        <v>0</v>
      </c>
      <c r="AH23" s="100">
        <f>AG23/AF23*100</f>
        <v>0</v>
      </c>
      <c r="AI23" s="96">
        <f t="shared" si="24"/>
        <v>11355.1</v>
      </c>
      <c r="AJ23" s="96">
        <f t="shared" si="24"/>
        <v>0</v>
      </c>
      <c r="AK23" s="100">
        <f>AJ23/AI23*100</f>
        <v>0</v>
      </c>
      <c r="AL23" s="96">
        <f t="shared" si="24"/>
        <v>11142.5</v>
      </c>
      <c r="AM23" s="96">
        <f t="shared" si="24"/>
        <v>0</v>
      </c>
      <c r="AN23" s="100">
        <f>AM23/AL23*100</f>
        <v>0</v>
      </c>
      <c r="AO23" s="96">
        <f t="shared" si="24"/>
        <v>16351.7</v>
      </c>
      <c r="AP23" s="96">
        <f>SUM(AP24:AP26)</f>
        <v>0</v>
      </c>
      <c r="AQ23" s="96">
        <f t="shared" ref="AQ23" si="25">AP23/AO23*100</f>
        <v>0</v>
      </c>
      <c r="AR23" s="214" t="s">
        <v>334</v>
      </c>
      <c r="AS23" s="245" t="s">
        <v>338</v>
      </c>
      <c r="AT23" s="117"/>
      <c r="AU23" s="117"/>
      <c r="AV23" s="118"/>
      <c r="AX23" s="117"/>
    </row>
    <row r="24" spans="1:50" s="119" customFormat="1" ht="54.75" customHeight="1">
      <c r="A24" s="237"/>
      <c r="B24" s="240"/>
      <c r="C24" s="243"/>
      <c r="D24" s="109" t="s">
        <v>267</v>
      </c>
      <c r="E24" s="96">
        <f>H24+K24+N24+Q24+T24+W24+Z24+AC24+AF24+AI24+AL24+AO24</f>
        <v>0</v>
      </c>
      <c r="F24" s="96">
        <f>I24+L24+O24+R24+U24+X24+AA24+AD24+AG24+AJ24+AM24+AP24</f>
        <v>0</v>
      </c>
      <c r="G24" s="96">
        <v>0</v>
      </c>
      <c r="H24" s="96">
        <v>0</v>
      </c>
      <c r="I24" s="96">
        <v>0</v>
      </c>
      <c r="J24" s="96">
        <v>0</v>
      </c>
      <c r="K24" s="97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5">
        <v>0</v>
      </c>
      <c r="U24" s="95">
        <v>0</v>
      </c>
      <c r="V24" s="96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6">
        <v>0</v>
      </c>
      <c r="AI24" s="96">
        <v>0</v>
      </c>
      <c r="AJ24" s="96">
        <v>0</v>
      </c>
      <c r="AK24" s="96">
        <v>0</v>
      </c>
      <c r="AL24" s="95">
        <v>0</v>
      </c>
      <c r="AM24" s="95">
        <v>0</v>
      </c>
      <c r="AN24" s="95">
        <v>0</v>
      </c>
      <c r="AO24" s="96">
        <v>0</v>
      </c>
      <c r="AP24" s="96">
        <v>0</v>
      </c>
      <c r="AQ24" s="96">
        <v>0</v>
      </c>
      <c r="AR24" s="215"/>
      <c r="AS24" s="245"/>
      <c r="AT24" s="117"/>
      <c r="AU24" s="117"/>
      <c r="AV24" s="118"/>
      <c r="AX24" s="117"/>
    </row>
    <row r="25" spans="1:50" s="119" customFormat="1" ht="48.75" customHeight="1">
      <c r="A25" s="237"/>
      <c r="B25" s="240"/>
      <c r="C25" s="243"/>
      <c r="D25" s="109" t="s">
        <v>279</v>
      </c>
      <c r="E25" s="96">
        <f>H25+K25+N25+Q25+T25+W25+Z25+AC25+AF25+AI25+AL25+AO25</f>
        <v>143707.5</v>
      </c>
      <c r="F25" s="96">
        <f>I25+L25+O25+R25+U25+X25+AA25+AD25+AG25+AJ25+AM25+AP25</f>
        <v>64815.6</v>
      </c>
      <c r="G25" s="96">
        <f>F25/E25*100</f>
        <v>45.102447680183708</v>
      </c>
      <c r="H25" s="96">
        <f>2742.7+940.1-1530.2</f>
        <v>2152.5999999999995</v>
      </c>
      <c r="I25" s="96">
        <v>2152.6</v>
      </c>
      <c r="J25" s="96">
        <f>I25/H25*100</f>
        <v>100.00000000000003</v>
      </c>
      <c r="K25" s="96">
        <f>7839.4+3347.9+1530.2</f>
        <v>12717.5</v>
      </c>
      <c r="L25" s="96">
        <v>12280.4</v>
      </c>
      <c r="M25" s="96">
        <f>L25/K25*100</f>
        <v>96.56300373501081</v>
      </c>
      <c r="N25" s="96">
        <f>8000.6+3086.4+2620.3-37.4</f>
        <v>13669.9</v>
      </c>
      <c r="O25" s="96">
        <v>12365.1</v>
      </c>
      <c r="P25" s="96">
        <f>O25/N25*100</f>
        <v>90.45494114806985</v>
      </c>
      <c r="Q25" s="96">
        <f>8252+2990.5</f>
        <v>11242.5</v>
      </c>
      <c r="R25" s="96">
        <v>11154.1</v>
      </c>
      <c r="S25" s="96">
        <f>R25/Q25*100</f>
        <v>99.213698020902825</v>
      </c>
      <c r="T25" s="110">
        <f>7932.3+3403.3+1040.3</f>
        <v>12375.9</v>
      </c>
      <c r="U25" s="110">
        <v>12013.5</v>
      </c>
      <c r="V25" s="95">
        <f t="shared" ref="V25" si="26">U25/T25*100</f>
        <v>97.071728116743031</v>
      </c>
      <c r="W25" s="96">
        <f>10260.7+3103.7+3528.8</f>
        <v>16893.2</v>
      </c>
      <c r="X25" s="95">
        <v>14849.9</v>
      </c>
      <c r="Y25" s="95">
        <f t="shared" ref="Y25" si="27">X25/W25*100</f>
        <v>87.904600667724281</v>
      </c>
      <c r="Z25" s="96">
        <f>10793.2+4153-344</f>
        <v>14602.2</v>
      </c>
      <c r="AA25" s="96">
        <v>0</v>
      </c>
      <c r="AB25" s="100">
        <f>AA25/Z25*100</f>
        <v>0</v>
      </c>
      <c r="AC25" s="110">
        <f>7131.7+3637.3</f>
        <v>10769</v>
      </c>
      <c r="AD25" s="110">
        <v>0</v>
      </c>
      <c r="AE25" s="95">
        <f t="shared" ref="AE25" si="28">AD25/AC25*100</f>
        <v>0</v>
      </c>
      <c r="AF25" s="110">
        <f>7243.2+3240.6-48.4</f>
        <v>10435.4</v>
      </c>
      <c r="AG25" s="111">
        <v>0</v>
      </c>
      <c r="AH25" s="96">
        <f t="shared" ref="AH25" si="29">AG25/AF25*100</f>
        <v>0</v>
      </c>
      <c r="AI25" s="110">
        <f>7948+3407.1</f>
        <v>11355.1</v>
      </c>
      <c r="AJ25" s="110">
        <v>0</v>
      </c>
      <c r="AK25" s="96">
        <f>AJ25/AI25*100</f>
        <v>0</v>
      </c>
      <c r="AL25" s="110">
        <f>7568.4+3574.1</f>
        <v>11142.5</v>
      </c>
      <c r="AM25" s="110">
        <v>0</v>
      </c>
      <c r="AN25" s="110">
        <f>AM25/AL25*100</f>
        <v>0</v>
      </c>
      <c r="AO25" s="110">
        <f>12629.5+6846.6-917.6-2206.8</f>
        <v>16351.7</v>
      </c>
      <c r="AP25" s="96">
        <v>0</v>
      </c>
      <c r="AQ25" s="96">
        <f>AP25/AO25*100</f>
        <v>0</v>
      </c>
      <c r="AR25" s="215"/>
      <c r="AS25" s="245"/>
      <c r="AT25" s="117"/>
      <c r="AU25" s="117"/>
      <c r="AV25" s="117"/>
      <c r="AX25" s="117"/>
    </row>
    <row r="26" spans="1:50" s="119" customFormat="1" ht="48.75" customHeight="1">
      <c r="A26" s="237"/>
      <c r="B26" s="240"/>
      <c r="C26" s="243"/>
      <c r="D26" s="99" t="s">
        <v>255</v>
      </c>
      <c r="E26" s="96">
        <f t="shared" ref="E26:F26" si="30">H26+K26+N26+Q26+T26+W26+Z26+AC26+AF26+AI26+AL26+AO26</f>
        <v>0</v>
      </c>
      <c r="F26" s="96">
        <f t="shared" si="30"/>
        <v>0</v>
      </c>
      <c r="G26" s="96">
        <v>0</v>
      </c>
      <c r="H26" s="96">
        <v>0</v>
      </c>
      <c r="I26" s="96">
        <v>0</v>
      </c>
      <c r="J26" s="96">
        <v>0</v>
      </c>
      <c r="K26" s="97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5">
        <v>0</v>
      </c>
      <c r="U26" s="95">
        <v>0</v>
      </c>
      <c r="V26" s="96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6">
        <v>0</v>
      </c>
      <c r="AJ26" s="96">
        <v>0</v>
      </c>
      <c r="AK26" s="96">
        <v>0</v>
      </c>
      <c r="AL26" s="95">
        <v>0</v>
      </c>
      <c r="AM26" s="95">
        <v>0</v>
      </c>
      <c r="AN26" s="95">
        <v>0</v>
      </c>
      <c r="AO26" s="96">
        <v>0</v>
      </c>
      <c r="AP26" s="96">
        <v>0</v>
      </c>
      <c r="AQ26" s="96">
        <v>0</v>
      </c>
      <c r="AR26" s="215"/>
      <c r="AS26" s="245"/>
      <c r="AT26" s="217"/>
      <c r="AU26" s="117"/>
      <c r="AV26" s="118"/>
    </row>
    <row r="27" spans="1:50" s="119" customFormat="1" ht="67.5" customHeight="1">
      <c r="A27" s="238"/>
      <c r="B27" s="241"/>
      <c r="C27" s="244"/>
      <c r="D27" s="99" t="s">
        <v>285</v>
      </c>
      <c r="E27" s="96">
        <f>H27+K27+N27+Q27+T27+W27+Z27+AC27+AF27+AI27+AL27+AO27</f>
        <v>0</v>
      </c>
      <c r="F27" s="96">
        <f>I27+L27+O27+R27+U27+X27+AA27+AD27+AG27+AJ27+AM27+AP27</f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>
        <v>0</v>
      </c>
      <c r="M27" s="96">
        <v>0</v>
      </c>
      <c r="N27" s="96">
        <v>0</v>
      </c>
      <c r="O27" s="96">
        <v>0</v>
      </c>
      <c r="P27" s="96">
        <v>0</v>
      </c>
      <c r="Q27" s="96">
        <v>0</v>
      </c>
      <c r="R27" s="96">
        <v>0</v>
      </c>
      <c r="S27" s="96">
        <v>0</v>
      </c>
      <c r="T27" s="95">
        <v>0</v>
      </c>
      <c r="U27" s="95">
        <v>0</v>
      </c>
      <c r="V27" s="96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6">
        <v>0</v>
      </c>
      <c r="AI27" s="96">
        <v>0</v>
      </c>
      <c r="AJ27" s="96">
        <v>0</v>
      </c>
      <c r="AK27" s="96">
        <v>0</v>
      </c>
      <c r="AL27" s="95">
        <v>0</v>
      </c>
      <c r="AM27" s="95">
        <v>0</v>
      </c>
      <c r="AN27" s="95">
        <v>0</v>
      </c>
      <c r="AO27" s="96">
        <v>0</v>
      </c>
      <c r="AP27" s="96">
        <v>0</v>
      </c>
      <c r="AQ27" s="96">
        <v>0</v>
      </c>
      <c r="AR27" s="216"/>
      <c r="AS27" s="245"/>
      <c r="AT27" s="218"/>
      <c r="AU27" s="117"/>
      <c r="AV27" s="118"/>
    </row>
    <row r="28" spans="1:50" s="119" customFormat="1" ht="18" customHeight="1">
      <c r="A28" s="236" t="s">
        <v>282</v>
      </c>
      <c r="B28" s="239" t="s">
        <v>287</v>
      </c>
      <c r="C28" s="242" t="s">
        <v>304</v>
      </c>
      <c r="D28" s="148" t="s">
        <v>269</v>
      </c>
      <c r="E28" s="96">
        <f>SUM(E29:E30)</f>
        <v>11906.6</v>
      </c>
      <c r="F28" s="96">
        <f>SUM(F29:F30)</f>
        <v>2763.1</v>
      </c>
      <c r="G28" s="96">
        <f>F28/E28*100</f>
        <v>23.206456923051082</v>
      </c>
      <c r="H28" s="96">
        <f>SUM(H29:H30)</f>
        <v>453</v>
      </c>
      <c r="I28" s="96">
        <f>SUM(I29:I30)</f>
        <v>452.9</v>
      </c>
      <c r="J28" s="96">
        <f t="shared" ref="J28:J33" si="31">I28/H28*100</f>
        <v>99.977924944812358</v>
      </c>
      <c r="K28" s="96">
        <f>SUM(K29:K30)</f>
        <v>449.3</v>
      </c>
      <c r="L28" s="96">
        <f>SUM(L29:L30)</f>
        <v>449.3</v>
      </c>
      <c r="M28" s="96">
        <f t="shared" si="22"/>
        <v>100</v>
      </c>
      <c r="N28" s="96">
        <f>SUM(N29:N30)</f>
        <v>449.3</v>
      </c>
      <c r="O28" s="96">
        <f>SUM(O29:O30)</f>
        <v>449.3</v>
      </c>
      <c r="P28" s="96">
        <f t="shared" si="23"/>
        <v>100</v>
      </c>
      <c r="Q28" s="96">
        <f>SUM(Q29:Q30)</f>
        <v>449.3</v>
      </c>
      <c r="R28" s="96">
        <f>SUM(R29:R30)</f>
        <v>449.4</v>
      </c>
      <c r="S28" s="96">
        <f t="shared" ref="S28" si="32">R28/Q28*100</f>
        <v>100.02225684397952</v>
      </c>
      <c r="T28" s="96">
        <f>SUM(T29:T30)</f>
        <v>490.20000000000005</v>
      </c>
      <c r="U28" s="96">
        <f>SUM(U29:U30)</f>
        <v>490.2</v>
      </c>
      <c r="V28" s="96">
        <f>U28/T28*100</f>
        <v>99.999999999999986</v>
      </c>
      <c r="W28" s="96">
        <f t="shared" ref="W28:AD28" si="33">SUM(W29:W30)</f>
        <v>472</v>
      </c>
      <c r="X28" s="96">
        <f t="shared" si="33"/>
        <v>472</v>
      </c>
      <c r="Y28" s="96">
        <f>X28/W28*100</f>
        <v>100</v>
      </c>
      <c r="Z28" s="96">
        <f t="shared" si="33"/>
        <v>2590</v>
      </c>
      <c r="AA28" s="96">
        <f t="shared" si="33"/>
        <v>0</v>
      </c>
      <c r="AB28" s="96">
        <f>AA28/Z28*100</f>
        <v>0</v>
      </c>
      <c r="AC28" s="96">
        <f t="shared" si="33"/>
        <v>2590</v>
      </c>
      <c r="AD28" s="96">
        <f t="shared" si="33"/>
        <v>0</v>
      </c>
      <c r="AE28" s="96">
        <f t="shared" si="10"/>
        <v>0</v>
      </c>
      <c r="AF28" s="96">
        <f t="shared" ref="AF28:AP28" si="34">SUM(AF29:AF30)</f>
        <v>2590</v>
      </c>
      <c r="AG28" s="96">
        <f t="shared" si="34"/>
        <v>0</v>
      </c>
      <c r="AH28" s="96">
        <f t="shared" ref="AH28" si="35">AG28/AF28*100</f>
        <v>0</v>
      </c>
      <c r="AI28" s="96">
        <f t="shared" si="34"/>
        <v>466.5</v>
      </c>
      <c r="AJ28" s="96">
        <f t="shared" si="34"/>
        <v>0</v>
      </c>
      <c r="AK28" s="96">
        <f>AJ28/AI28*100</f>
        <v>0</v>
      </c>
      <c r="AL28" s="96">
        <f t="shared" si="34"/>
        <v>466.5</v>
      </c>
      <c r="AM28" s="96">
        <f t="shared" si="34"/>
        <v>0</v>
      </c>
      <c r="AN28" s="96">
        <f>AM28/AL28*100</f>
        <v>0</v>
      </c>
      <c r="AO28" s="96">
        <f t="shared" si="34"/>
        <v>440.5</v>
      </c>
      <c r="AP28" s="96">
        <f t="shared" si="34"/>
        <v>0</v>
      </c>
      <c r="AQ28" s="96">
        <f>AP28/AO28*100</f>
        <v>0</v>
      </c>
      <c r="AR28" s="214" t="s">
        <v>337</v>
      </c>
      <c r="AS28" s="211"/>
      <c r="AT28" s="218"/>
      <c r="AU28" s="117"/>
      <c r="AV28" s="118"/>
      <c r="AX28" s="117"/>
    </row>
    <row r="29" spans="1:50" s="119" customFormat="1" ht="55.5" customHeight="1">
      <c r="A29" s="237"/>
      <c r="B29" s="240"/>
      <c r="C29" s="243"/>
      <c r="D29" s="109" t="s">
        <v>267</v>
      </c>
      <c r="E29" s="96">
        <f>H29+K29+N29+Q29+T29+W29+Z29+AC29+AF29+AI29+AL29+AO29</f>
        <v>0</v>
      </c>
      <c r="F29" s="96">
        <f>I29+L29+O29+R29+U29+X29+AA29+AD29+AG29+AJ29+AM29+AP29</f>
        <v>0</v>
      </c>
      <c r="G29" s="96">
        <v>0</v>
      </c>
      <c r="H29" s="96">
        <v>0</v>
      </c>
      <c r="I29" s="96">
        <v>0</v>
      </c>
      <c r="J29" s="96">
        <v>0</v>
      </c>
      <c r="K29" s="97">
        <v>0</v>
      </c>
      <c r="L29" s="96">
        <v>0</v>
      </c>
      <c r="M29" s="96">
        <v>0</v>
      </c>
      <c r="N29" s="96">
        <v>0</v>
      </c>
      <c r="O29" s="96">
        <v>0</v>
      </c>
      <c r="P29" s="96">
        <v>0</v>
      </c>
      <c r="Q29" s="96">
        <v>0</v>
      </c>
      <c r="R29" s="96">
        <v>0</v>
      </c>
      <c r="S29" s="96">
        <v>0</v>
      </c>
      <c r="T29" s="95">
        <v>0</v>
      </c>
      <c r="U29" s="95">
        <v>0</v>
      </c>
      <c r="V29" s="96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6">
        <v>0</v>
      </c>
      <c r="AJ29" s="96">
        <v>0</v>
      </c>
      <c r="AK29" s="96">
        <v>0</v>
      </c>
      <c r="AL29" s="95">
        <v>0</v>
      </c>
      <c r="AM29" s="95">
        <v>0</v>
      </c>
      <c r="AN29" s="95">
        <v>0</v>
      </c>
      <c r="AO29" s="96">
        <v>0</v>
      </c>
      <c r="AP29" s="96">
        <v>0</v>
      </c>
      <c r="AQ29" s="96">
        <v>0</v>
      </c>
      <c r="AR29" s="215"/>
      <c r="AS29" s="212"/>
      <c r="AT29" s="117"/>
      <c r="AU29" s="117"/>
      <c r="AV29" s="118"/>
      <c r="AX29" s="117"/>
    </row>
    <row r="30" spans="1:50" s="119" customFormat="1" ht="12.75" customHeight="1">
      <c r="A30" s="237"/>
      <c r="B30" s="240"/>
      <c r="C30" s="243"/>
      <c r="D30" s="109" t="s">
        <v>279</v>
      </c>
      <c r="E30" s="96">
        <f t="shared" ref="E30:F31" si="36">H30+K30+N30+Q30+T30+W30+Z30+AC30+AF30+AI30+AL30+AO30</f>
        <v>11906.6</v>
      </c>
      <c r="F30" s="96">
        <f t="shared" si="36"/>
        <v>2763.1</v>
      </c>
      <c r="G30" s="96">
        <f>F30/E30*100</f>
        <v>23.206456923051082</v>
      </c>
      <c r="H30" s="96">
        <v>453</v>
      </c>
      <c r="I30" s="96">
        <v>452.9</v>
      </c>
      <c r="J30" s="96">
        <f>I30/H30*100</f>
        <v>99.977924944812358</v>
      </c>
      <c r="K30" s="96">
        <v>449.3</v>
      </c>
      <c r="L30" s="96">
        <v>449.3</v>
      </c>
      <c r="M30" s="96">
        <f>L30/K30*100</f>
        <v>100</v>
      </c>
      <c r="N30" s="96">
        <v>449.3</v>
      </c>
      <c r="O30" s="96">
        <v>449.3</v>
      </c>
      <c r="P30" s="96">
        <f>O30/N30*100</f>
        <v>100</v>
      </c>
      <c r="Q30" s="96">
        <f>466.5-17.2</f>
        <v>449.3</v>
      </c>
      <c r="R30" s="96">
        <v>449.4</v>
      </c>
      <c r="S30" s="96">
        <f>R30/Q30*100</f>
        <v>100.02225684397952</v>
      </c>
      <c r="T30" s="110">
        <f>466.5+12.1+11.6</f>
        <v>490.20000000000005</v>
      </c>
      <c r="U30" s="110">
        <v>490.2</v>
      </c>
      <c r="V30" s="96">
        <f>U30/T30*100</f>
        <v>99.999999999999986</v>
      </c>
      <c r="W30" s="95">
        <f>466.4+5.6</f>
        <v>472</v>
      </c>
      <c r="X30" s="95">
        <v>472</v>
      </c>
      <c r="Y30" s="95">
        <f t="shared" ref="Y30" si="37">X30/W30*100</f>
        <v>100</v>
      </c>
      <c r="Z30" s="96">
        <f>466.5+2123.5</f>
        <v>2590</v>
      </c>
      <c r="AA30" s="96">
        <v>0</v>
      </c>
      <c r="AB30" s="96">
        <f>AA30/Z30*100</f>
        <v>0</v>
      </c>
      <c r="AC30" s="110">
        <f>466.5+2123.5</f>
        <v>2590</v>
      </c>
      <c r="AD30" s="110">
        <v>0</v>
      </c>
      <c r="AE30" s="95">
        <f t="shared" ref="AE30" si="38">AD30/AC30*100</f>
        <v>0</v>
      </c>
      <c r="AF30" s="110">
        <f>466.4+2123.6</f>
        <v>2590</v>
      </c>
      <c r="AG30" s="111">
        <v>0</v>
      </c>
      <c r="AH30" s="96">
        <f t="shared" ref="AH30" si="39">AG30/AF30*100</f>
        <v>0</v>
      </c>
      <c r="AI30" s="110">
        <v>466.5</v>
      </c>
      <c r="AJ30" s="110">
        <v>0</v>
      </c>
      <c r="AK30" s="110">
        <f>AJ30/AI30*100</f>
        <v>0</v>
      </c>
      <c r="AL30" s="110">
        <v>466.5</v>
      </c>
      <c r="AM30" s="110">
        <v>0</v>
      </c>
      <c r="AN30" s="110">
        <f>AM30/AL30*100</f>
        <v>0</v>
      </c>
      <c r="AO30" s="110">
        <f>452.7-12.2</f>
        <v>440.5</v>
      </c>
      <c r="AP30" s="96">
        <v>0</v>
      </c>
      <c r="AQ30" s="96">
        <f>AP30/AO30*100</f>
        <v>0</v>
      </c>
      <c r="AR30" s="215"/>
      <c r="AS30" s="212"/>
      <c r="AT30" s="117"/>
      <c r="AU30" s="117"/>
      <c r="AV30" s="117"/>
      <c r="AX30" s="117"/>
    </row>
    <row r="31" spans="1:50" s="119" customFormat="1" ht="27" customHeight="1">
      <c r="A31" s="237"/>
      <c r="B31" s="240"/>
      <c r="C31" s="243"/>
      <c r="D31" s="99" t="s">
        <v>255</v>
      </c>
      <c r="E31" s="96">
        <f t="shared" si="36"/>
        <v>0</v>
      </c>
      <c r="F31" s="96">
        <f t="shared" si="36"/>
        <v>0</v>
      </c>
      <c r="G31" s="96">
        <v>0</v>
      </c>
      <c r="H31" s="96">
        <v>0</v>
      </c>
      <c r="I31" s="96">
        <v>0</v>
      </c>
      <c r="J31" s="96">
        <v>0</v>
      </c>
      <c r="K31" s="97">
        <v>0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5">
        <v>0</v>
      </c>
      <c r="U31" s="95">
        <v>0</v>
      </c>
      <c r="V31" s="96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6">
        <v>0</v>
      </c>
      <c r="AJ31" s="96">
        <v>0</v>
      </c>
      <c r="AK31" s="96">
        <v>0</v>
      </c>
      <c r="AL31" s="95">
        <v>0</v>
      </c>
      <c r="AM31" s="95">
        <v>0</v>
      </c>
      <c r="AN31" s="95">
        <v>0</v>
      </c>
      <c r="AO31" s="96">
        <v>0</v>
      </c>
      <c r="AP31" s="96">
        <v>0</v>
      </c>
      <c r="AQ31" s="96">
        <v>0</v>
      </c>
      <c r="AR31" s="215"/>
      <c r="AS31" s="212"/>
      <c r="AT31" s="117"/>
      <c r="AU31" s="117"/>
      <c r="AV31" s="118"/>
      <c r="AX31" s="117"/>
    </row>
    <row r="32" spans="1:50" s="119" customFormat="1" ht="24">
      <c r="A32" s="238"/>
      <c r="B32" s="241"/>
      <c r="C32" s="244"/>
      <c r="D32" s="99" t="s">
        <v>285</v>
      </c>
      <c r="E32" s="96">
        <f>H32+K32+N32+Q32+T32+W32+Z32+AC32+AF32+AI32+AL32+AO32</f>
        <v>0</v>
      </c>
      <c r="F32" s="96">
        <f>I32+L32+O32+R32+U32+X32+AA32+AD32+AG32+AJ32+AM32+AP32</f>
        <v>0</v>
      </c>
      <c r="G32" s="96">
        <v>0</v>
      </c>
      <c r="H32" s="96">
        <v>0</v>
      </c>
      <c r="I32" s="96">
        <v>0</v>
      </c>
      <c r="J32" s="96">
        <v>0</v>
      </c>
      <c r="K32" s="97">
        <v>0</v>
      </c>
      <c r="L32" s="96">
        <v>0</v>
      </c>
      <c r="M32" s="96">
        <v>0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0</v>
      </c>
      <c r="T32" s="95">
        <v>0</v>
      </c>
      <c r="U32" s="95">
        <v>0</v>
      </c>
      <c r="V32" s="96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6">
        <v>0</v>
      </c>
      <c r="AI32" s="96">
        <v>0</v>
      </c>
      <c r="AJ32" s="96">
        <v>0</v>
      </c>
      <c r="AK32" s="96">
        <v>0</v>
      </c>
      <c r="AL32" s="95">
        <v>0</v>
      </c>
      <c r="AM32" s="95">
        <v>0</v>
      </c>
      <c r="AN32" s="95">
        <v>0</v>
      </c>
      <c r="AO32" s="96">
        <v>0</v>
      </c>
      <c r="AP32" s="96">
        <v>0</v>
      </c>
      <c r="AQ32" s="96">
        <v>0</v>
      </c>
      <c r="AR32" s="216"/>
      <c r="AS32" s="213"/>
      <c r="AT32" s="117"/>
      <c r="AU32" s="117"/>
      <c r="AV32" s="118"/>
    </row>
    <row r="33" spans="1:50" s="119" customFormat="1" ht="12.75" customHeight="1">
      <c r="A33" s="236" t="s">
        <v>6</v>
      </c>
      <c r="B33" s="239" t="s">
        <v>288</v>
      </c>
      <c r="C33" s="242" t="s">
        <v>324</v>
      </c>
      <c r="D33" s="148" t="s">
        <v>269</v>
      </c>
      <c r="E33" s="96">
        <f>SUM(E34:E36)</f>
        <v>15700.900000000001</v>
      </c>
      <c r="F33" s="96">
        <f t="shared" ref="F33:O33" si="40">SUM(F34:F36)</f>
        <v>5508.5</v>
      </c>
      <c r="G33" s="96">
        <f>F33/E33*100</f>
        <v>35.083976077804451</v>
      </c>
      <c r="H33" s="96">
        <f t="shared" si="40"/>
        <v>86</v>
      </c>
      <c r="I33" s="96">
        <f t="shared" si="40"/>
        <v>30.4</v>
      </c>
      <c r="J33" s="96">
        <f t="shared" si="31"/>
        <v>35.348837209302324</v>
      </c>
      <c r="K33" s="96">
        <f t="shared" si="40"/>
        <v>247.10000000000002</v>
      </c>
      <c r="L33" s="96">
        <f t="shared" si="40"/>
        <v>241.6</v>
      </c>
      <c r="M33" s="96">
        <f t="shared" ref="M33" si="41">L33/K33*100</f>
        <v>97.774180493727229</v>
      </c>
      <c r="N33" s="96">
        <f t="shared" si="40"/>
        <v>1179.0999999999999</v>
      </c>
      <c r="O33" s="96">
        <f t="shared" si="40"/>
        <v>940.4</v>
      </c>
      <c r="P33" s="96">
        <f t="shared" ref="P33" si="42">O33/N33*100</f>
        <v>79.755745907895857</v>
      </c>
      <c r="Q33" s="96">
        <f t="shared" ref="Q33:AA33" si="43">SUM(Q34:Q36)</f>
        <v>769.5</v>
      </c>
      <c r="R33" s="96">
        <f t="shared" si="43"/>
        <v>672.6</v>
      </c>
      <c r="S33" s="96">
        <f t="shared" ref="S33" si="44">R33/Q33*100</f>
        <v>87.407407407407405</v>
      </c>
      <c r="T33" s="96">
        <f t="shared" si="43"/>
        <v>1297.5999999999999</v>
      </c>
      <c r="U33" s="96">
        <f t="shared" si="43"/>
        <v>1207.6999999999998</v>
      </c>
      <c r="V33" s="95">
        <f t="shared" ref="V33:V35" si="45">U33/T33*100</f>
        <v>93.071824907521574</v>
      </c>
      <c r="W33" s="96">
        <f t="shared" si="43"/>
        <v>2798.2</v>
      </c>
      <c r="X33" s="96">
        <f t="shared" si="43"/>
        <v>2415.8000000000002</v>
      </c>
      <c r="Y33" s="95">
        <f t="shared" ref="Y33:Y35" si="46">X33/W33*100</f>
        <v>86.334071903366464</v>
      </c>
      <c r="Z33" s="96">
        <f t="shared" si="43"/>
        <v>2678.6</v>
      </c>
      <c r="AA33" s="96">
        <f t="shared" si="43"/>
        <v>0</v>
      </c>
      <c r="AB33" s="95">
        <f t="shared" ref="AB33:AB35" si="47">AA33/Z33*100</f>
        <v>0</v>
      </c>
      <c r="AC33" s="96">
        <f t="shared" ref="AC33:AP33" si="48">SUM(AC34:AC36)</f>
        <v>2142.3000000000002</v>
      </c>
      <c r="AD33" s="96">
        <f t="shared" si="48"/>
        <v>0</v>
      </c>
      <c r="AE33" s="96">
        <f t="shared" si="10"/>
        <v>0</v>
      </c>
      <c r="AF33" s="96">
        <f t="shared" si="48"/>
        <v>1874.9</v>
      </c>
      <c r="AG33" s="96">
        <f t="shared" si="48"/>
        <v>0</v>
      </c>
      <c r="AH33" s="96">
        <f t="shared" ref="AH33:AH35" si="49">AG33/AF33*100</f>
        <v>0</v>
      </c>
      <c r="AI33" s="96">
        <f t="shared" si="48"/>
        <v>1101.6999999999998</v>
      </c>
      <c r="AJ33" s="96">
        <f t="shared" si="48"/>
        <v>0</v>
      </c>
      <c r="AK33" s="96">
        <f>AJ33/AI33*100</f>
        <v>0</v>
      </c>
      <c r="AL33" s="96">
        <f t="shared" si="48"/>
        <v>926.19999999999993</v>
      </c>
      <c r="AM33" s="96">
        <f t="shared" si="48"/>
        <v>0</v>
      </c>
      <c r="AN33" s="95">
        <f>AM33/AL33*100</f>
        <v>0</v>
      </c>
      <c r="AO33" s="96">
        <f t="shared" si="48"/>
        <v>599.70000000000005</v>
      </c>
      <c r="AP33" s="96">
        <f t="shared" si="48"/>
        <v>0</v>
      </c>
      <c r="AQ33" s="96">
        <f>AP33/AO33*100</f>
        <v>0</v>
      </c>
      <c r="AR33" s="214" t="s">
        <v>329</v>
      </c>
      <c r="AS33" s="211" t="s">
        <v>330</v>
      </c>
      <c r="AT33" s="117"/>
      <c r="AU33" s="117"/>
      <c r="AV33" s="118"/>
      <c r="AX33" s="117"/>
    </row>
    <row r="34" spans="1:50" s="119" customFormat="1" ht="48">
      <c r="A34" s="237"/>
      <c r="B34" s="240"/>
      <c r="C34" s="243"/>
      <c r="D34" s="109" t="s">
        <v>267</v>
      </c>
      <c r="E34" s="96">
        <f>H34+K34+N34+Q34+T34+W34+Z34+AC34+AF34+AI34+AL34+AO34</f>
        <v>8650.8000000000011</v>
      </c>
      <c r="F34" s="96">
        <f>I34+L34+O34+R34+U34+X34+AA34+AD34+AG34+AJ34+AM34+AP34</f>
        <v>1731.9</v>
      </c>
      <c r="G34" s="96">
        <f>F34/E34*100</f>
        <v>20.020113746705505</v>
      </c>
      <c r="H34" s="96">
        <v>0</v>
      </c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f>82+145.8+196-145.8</f>
        <v>278</v>
      </c>
      <c r="O34" s="96">
        <v>131.9</v>
      </c>
      <c r="P34" s="96">
        <f>O34/N34*100</f>
        <v>47.446043165467628</v>
      </c>
      <c r="Q34" s="96">
        <f>147.1+327+111.3-280</f>
        <v>305.39999999999998</v>
      </c>
      <c r="R34" s="96">
        <v>208.5</v>
      </c>
      <c r="S34" s="96">
        <f>R34/Q34*100</f>
        <v>68.27111984282908</v>
      </c>
      <c r="T34" s="110">
        <f>147.1+327+111.3+125</f>
        <v>710.4</v>
      </c>
      <c r="U34" s="110">
        <v>604.79999999999995</v>
      </c>
      <c r="V34" s="95">
        <f t="shared" si="45"/>
        <v>85.13513513513513</v>
      </c>
      <c r="W34" s="95">
        <f>247.2+20+328.3+315.2+500-241.6</f>
        <v>1169.1000000000001</v>
      </c>
      <c r="X34" s="95">
        <v>786.7</v>
      </c>
      <c r="Y34" s="95">
        <f t="shared" si="46"/>
        <v>67.291078607475825</v>
      </c>
      <c r="Z34" s="96">
        <f>238.2+13+450.2+308.2+500</f>
        <v>1509.6</v>
      </c>
      <c r="AA34" s="96">
        <v>0</v>
      </c>
      <c r="AB34" s="95">
        <f t="shared" si="47"/>
        <v>0</v>
      </c>
      <c r="AC34" s="110">
        <f>238.3+27+450.2+394.5+500</f>
        <v>1610</v>
      </c>
      <c r="AD34" s="110">
        <v>0</v>
      </c>
      <c r="AE34" s="95">
        <f t="shared" si="10"/>
        <v>0</v>
      </c>
      <c r="AF34" s="110">
        <f>238.3+450.2+322.2+20.8+500</f>
        <v>1531.5</v>
      </c>
      <c r="AG34" s="111">
        <v>0</v>
      </c>
      <c r="AH34" s="96">
        <f t="shared" si="49"/>
        <v>0</v>
      </c>
      <c r="AI34" s="110">
        <f>238.3+80+173.7+106.3</f>
        <v>598.29999999999995</v>
      </c>
      <c r="AJ34" s="110">
        <v>0</v>
      </c>
      <c r="AK34" s="110">
        <f>AJ34/AI34*100</f>
        <v>0</v>
      </c>
      <c r="AL34" s="110">
        <f>430.1+20+173.7+106.3-136.3</f>
        <v>593.79999999999995</v>
      </c>
      <c r="AM34" s="110">
        <v>0</v>
      </c>
      <c r="AN34" s="110">
        <f>AM34/AL34*100</f>
        <v>0</v>
      </c>
      <c r="AO34" s="110">
        <f>50+173.9+120.8</f>
        <v>344.7</v>
      </c>
      <c r="AP34" s="96">
        <v>0</v>
      </c>
      <c r="AQ34" s="96">
        <f>AP34/AO34*100</f>
        <v>0</v>
      </c>
      <c r="AR34" s="215"/>
      <c r="AS34" s="212"/>
      <c r="AT34" s="117"/>
      <c r="AU34" s="117"/>
      <c r="AV34" s="117"/>
      <c r="AX34" s="117"/>
    </row>
    <row r="35" spans="1:50" s="119" customFormat="1" ht="12.75" customHeight="1">
      <c r="A35" s="237"/>
      <c r="B35" s="240"/>
      <c r="C35" s="243"/>
      <c r="D35" s="109" t="s">
        <v>279</v>
      </c>
      <c r="E35" s="96">
        <f t="shared" ref="E35:F36" si="50">H35+K35+N35+Q35+T35+W35+Z35+AC35+AF35+AI35+AL35+AO35</f>
        <v>7050.0999999999995</v>
      </c>
      <c r="F35" s="96">
        <f t="shared" si="50"/>
        <v>3776.6</v>
      </c>
      <c r="G35" s="96">
        <f>F35/E35*100</f>
        <v>53.568034495964604</v>
      </c>
      <c r="H35" s="96">
        <f>10+76</f>
        <v>86</v>
      </c>
      <c r="I35" s="96">
        <v>30.4</v>
      </c>
      <c r="J35" s="96">
        <f>I35/H35*100</f>
        <v>35.348837209302324</v>
      </c>
      <c r="K35" s="96">
        <f>92.1+325-170</f>
        <v>247.10000000000002</v>
      </c>
      <c r="L35" s="96">
        <v>241.6</v>
      </c>
      <c r="M35" s="96">
        <f>L35/K35*100</f>
        <v>97.774180493727229</v>
      </c>
      <c r="N35" s="96">
        <f>144.2+39.9+80+467+170</f>
        <v>901.1</v>
      </c>
      <c r="O35" s="96">
        <v>808.5</v>
      </c>
      <c r="P35" s="96">
        <f>O35/N35*100</f>
        <v>89.723671068693818</v>
      </c>
      <c r="Q35" s="96">
        <f>312.4+39.9+150-38.2</f>
        <v>464.09999999999997</v>
      </c>
      <c r="R35" s="96">
        <v>464.1</v>
      </c>
      <c r="S35" s="96">
        <f>R35/Q35*100</f>
        <v>100.00000000000003</v>
      </c>
      <c r="T35" s="110">
        <f>286.4+39.9+171+38.2+51.7</f>
        <v>587.20000000000005</v>
      </c>
      <c r="U35" s="110">
        <v>602.9</v>
      </c>
      <c r="V35" s="95">
        <f t="shared" si="45"/>
        <v>102.67370572207084</v>
      </c>
      <c r="W35" s="95">
        <f>286.4+22.6+151+536.3+684.5-51.7</f>
        <v>1629.1</v>
      </c>
      <c r="X35" s="95">
        <v>1629.1</v>
      </c>
      <c r="Y35" s="95">
        <f t="shared" si="46"/>
        <v>100</v>
      </c>
      <c r="Z35" s="96">
        <f>355.5+29.3+244+540.2</f>
        <v>1169</v>
      </c>
      <c r="AA35" s="96">
        <v>0</v>
      </c>
      <c r="AB35" s="95">
        <f t="shared" si="47"/>
        <v>0</v>
      </c>
      <c r="AC35" s="110">
        <f>323.5+273+540.4-8.1-596.5</f>
        <v>532.30000000000018</v>
      </c>
      <c r="AD35" s="110">
        <v>0</v>
      </c>
      <c r="AE35" s="95">
        <f t="shared" si="10"/>
        <v>0</v>
      </c>
      <c r="AF35" s="110">
        <f>285.4+298-240</f>
        <v>343.4</v>
      </c>
      <c r="AG35" s="111">
        <v>0</v>
      </c>
      <c r="AH35" s="96">
        <f t="shared" si="49"/>
        <v>0</v>
      </c>
      <c r="AI35" s="110">
        <f>297.4+197.9+8.1</f>
        <v>503.4</v>
      </c>
      <c r="AJ35" s="110">
        <v>0</v>
      </c>
      <c r="AK35" s="110">
        <f>AJ35/AI35*100</f>
        <v>0</v>
      </c>
      <c r="AL35" s="110">
        <f>260.4+160-88</f>
        <v>332.4</v>
      </c>
      <c r="AM35" s="110">
        <v>0</v>
      </c>
      <c r="AN35" s="110">
        <f>AM35/AL35*100</f>
        <v>0</v>
      </c>
      <c r="AO35" s="110">
        <f>436.3+45.8-227.1</f>
        <v>255.00000000000003</v>
      </c>
      <c r="AP35" s="96">
        <v>0</v>
      </c>
      <c r="AQ35" s="96">
        <v>0</v>
      </c>
      <c r="AR35" s="215"/>
      <c r="AS35" s="212"/>
      <c r="AT35" s="117"/>
      <c r="AU35" s="117"/>
      <c r="AV35" s="117"/>
      <c r="AX35" s="117"/>
    </row>
    <row r="36" spans="1:50" s="119" customFormat="1" ht="24">
      <c r="A36" s="237"/>
      <c r="B36" s="240"/>
      <c r="C36" s="243"/>
      <c r="D36" s="99" t="s">
        <v>255</v>
      </c>
      <c r="E36" s="96">
        <f t="shared" si="50"/>
        <v>0</v>
      </c>
      <c r="F36" s="96">
        <f t="shared" si="50"/>
        <v>0</v>
      </c>
      <c r="G36" s="96">
        <v>0</v>
      </c>
      <c r="H36" s="96">
        <v>0</v>
      </c>
      <c r="I36" s="96">
        <v>0</v>
      </c>
      <c r="J36" s="96">
        <v>0</v>
      </c>
      <c r="K36" s="96">
        <v>0</v>
      </c>
      <c r="L36" s="96">
        <v>0</v>
      </c>
      <c r="M36" s="96">
        <v>0</v>
      </c>
      <c r="N36" s="96">
        <v>0</v>
      </c>
      <c r="O36" s="96">
        <v>0</v>
      </c>
      <c r="P36" s="96">
        <v>0</v>
      </c>
      <c r="Q36" s="96">
        <v>0</v>
      </c>
      <c r="R36" s="96">
        <v>0</v>
      </c>
      <c r="S36" s="96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6">
        <v>0</v>
      </c>
      <c r="AA36" s="96">
        <v>0</v>
      </c>
      <c r="AB36" s="96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6">
        <v>0</v>
      </c>
      <c r="AJ36" s="96">
        <v>0</v>
      </c>
      <c r="AK36" s="96">
        <v>0</v>
      </c>
      <c r="AL36" s="95">
        <v>0</v>
      </c>
      <c r="AM36" s="95">
        <v>0</v>
      </c>
      <c r="AN36" s="95">
        <v>0</v>
      </c>
      <c r="AO36" s="95">
        <v>0</v>
      </c>
      <c r="AP36" s="96">
        <v>0</v>
      </c>
      <c r="AQ36" s="96">
        <v>0</v>
      </c>
      <c r="AR36" s="215"/>
      <c r="AS36" s="212"/>
      <c r="AT36" s="117"/>
      <c r="AU36" s="117"/>
      <c r="AV36" s="118"/>
      <c r="AX36" s="117"/>
    </row>
    <row r="37" spans="1:50" s="119" customFormat="1" ht="24">
      <c r="A37" s="238"/>
      <c r="B37" s="241"/>
      <c r="C37" s="244"/>
      <c r="D37" s="99" t="s">
        <v>285</v>
      </c>
      <c r="E37" s="96">
        <f>H37+K37+N37+Q37+T37+W37+Z37+AC37+AF37+AI37+AL37+AO37</f>
        <v>0</v>
      </c>
      <c r="F37" s="96">
        <f>I37+L37+O37+R37+U37+X37+AA37+AD37+AG37+AJ37+AM37+AP37</f>
        <v>0</v>
      </c>
      <c r="G37" s="96">
        <v>0</v>
      </c>
      <c r="H37" s="96">
        <v>0</v>
      </c>
      <c r="I37" s="96">
        <v>0</v>
      </c>
      <c r="J37" s="96">
        <v>0</v>
      </c>
      <c r="K37" s="97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5">
        <v>0</v>
      </c>
      <c r="U37" s="95">
        <v>0</v>
      </c>
      <c r="V37" s="96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6">
        <v>0</v>
      </c>
      <c r="AI37" s="96">
        <v>0</v>
      </c>
      <c r="AJ37" s="96">
        <v>0</v>
      </c>
      <c r="AK37" s="96">
        <v>0</v>
      </c>
      <c r="AL37" s="95">
        <v>0</v>
      </c>
      <c r="AM37" s="95">
        <v>0</v>
      </c>
      <c r="AN37" s="95">
        <v>0</v>
      </c>
      <c r="AO37" s="96">
        <v>0</v>
      </c>
      <c r="AP37" s="96">
        <v>0</v>
      </c>
      <c r="AQ37" s="96">
        <v>0</v>
      </c>
      <c r="AR37" s="216"/>
      <c r="AS37" s="213"/>
      <c r="AT37" s="117"/>
      <c r="AU37" s="117"/>
      <c r="AV37" s="118"/>
    </row>
    <row r="38" spans="1:50" s="119" customFormat="1" ht="32.25" customHeight="1">
      <c r="A38" s="236" t="s">
        <v>10</v>
      </c>
      <c r="B38" s="239" t="s">
        <v>289</v>
      </c>
      <c r="C38" s="242" t="s">
        <v>313</v>
      </c>
      <c r="D38" s="148" t="s">
        <v>269</v>
      </c>
      <c r="E38" s="96">
        <f>SUM(E39:E40)</f>
        <v>12304.3</v>
      </c>
      <c r="F38" s="96">
        <f>SUM(F39:F40)</f>
        <v>4813.0999999999995</v>
      </c>
      <c r="G38" s="96">
        <f>F38/E38*100</f>
        <v>39.117219183537458</v>
      </c>
      <c r="H38" s="96">
        <f>SUM(H39:H40)</f>
        <v>94.5</v>
      </c>
      <c r="I38" s="96">
        <f>SUM(I39:I40)</f>
        <v>94.5</v>
      </c>
      <c r="J38" s="96">
        <f>I38/H38*100</f>
        <v>100</v>
      </c>
      <c r="K38" s="96">
        <f>SUM(K39:K40)</f>
        <v>251.8</v>
      </c>
      <c r="L38" s="96">
        <f>SUM(L39:L40)</f>
        <v>134.9</v>
      </c>
      <c r="M38" s="96">
        <f>L38/K38*100</f>
        <v>53.574265289912624</v>
      </c>
      <c r="N38" s="96">
        <f>SUM(N39:N40)</f>
        <v>440.6</v>
      </c>
      <c r="O38" s="96">
        <f>SUM(O39:O40)</f>
        <v>391.9</v>
      </c>
      <c r="P38" s="96">
        <f>O38/N38*100</f>
        <v>88.946890603722181</v>
      </c>
      <c r="Q38" s="96">
        <f>SUM(Q39:Q40)</f>
        <v>1839.8</v>
      </c>
      <c r="R38" s="96">
        <f>SUM(R39:R40)</f>
        <v>592.79999999999995</v>
      </c>
      <c r="S38" s="96">
        <f>R38/Q38*100</f>
        <v>32.220893575388629</v>
      </c>
      <c r="T38" s="96">
        <f>SUM(T39:T40)</f>
        <v>2281.2000000000003</v>
      </c>
      <c r="U38" s="96">
        <f>SUM(U39:U40)</f>
        <v>2117.6999999999998</v>
      </c>
      <c r="V38" s="96">
        <f>U38/T38*100</f>
        <v>92.832719621251954</v>
      </c>
      <c r="W38" s="96">
        <f>SUM(W39:W40)</f>
        <v>3673.1000000000004</v>
      </c>
      <c r="X38" s="96">
        <f>SUM(X39:X40)</f>
        <v>1481.3</v>
      </c>
      <c r="Y38" s="95">
        <f>X38/W38*100</f>
        <v>40.328333015708793</v>
      </c>
      <c r="Z38" s="96">
        <f>SUM(Z39:Z40)</f>
        <v>930.8</v>
      </c>
      <c r="AA38" s="96">
        <f>SUM(AA39:AA40)</f>
        <v>0</v>
      </c>
      <c r="AB38" s="96">
        <f>AA38/Z38*100</f>
        <v>0</v>
      </c>
      <c r="AC38" s="96">
        <f>SUM(AC39:AC40)</f>
        <v>798.8</v>
      </c>
      <c r="AD38" s="96">
        <f>SUM(AD39:AD40)</f>
        <v>0</v>
      </c>
      <c r="AE38" s="95">
        <f>AD38/AC38*100</f>
        <v>0</v>
      </c>
      <c r="AF38" s="96">
        <f>SUM(AF39:AF40)</f>
        <v>798.69999999999993</v>
      </c>
      <c r="AG38" s="96">
        <f>SUM(AG39:AG40)</f>
        <v>0</v>
      </c>
      <c r="AH38" s="95">
        <f>AG38/AF38*100</f>
        <v>0</v>
      </c>
      <c r="AI38" s="96">
        <f t="shared" ref="AI38:AP38" si="51">SUM(AI39:AI40)</f>
        <v>525.5</v>
      </c>
      <c r="AJ38" s="96">
        <f t="shared" si="51"/>
        <v>0</v>
      </c>
      <c r="AK38" s="96">
        <f>AJ38/AI38*100</f>
        <v>0</v>
      </c>
      <c r="AL38" s="96">
        <f t="shared" si="51"/>
        <v>273.3</v>
      </c>
      <c r="AM38" s="96">
        <f t="shared" si="51"/>
        <v>0</v>
      </c>
      <c r="AN38" s="96">
        <f>AM38/AL38*100</f>
        <v>0</v>
      </c>
      <c r="AO38" s="96">
        <f t="shared" si="51"/>
        <v>396.2</v>
      </c>
      <c r="AP38" s="96">
        <f t="shared" si="51"/>
        <v>0</v>
      </c>
      <c r="AQ38" s="96">
        <f>AP38/AO38*100</f>
        <v>0</v>
      </c>
      <c r="AR38" s="214" t="s">
        <v>333</v>
      </c>
      <c r="AS38" s="211" t="s">
        <v>340</v>
      </c>
      <c r="AT38" s="117"/>
      <c r="AU38" s="117"/>
      <c r="AV38" s="118"/>
      <c r="AX38" s="117"/>
    </row>
    <row r="39" spans="1:50" s="119" customFormat="1" ht="30.75" customHeight="1">
      <c r="A39" s="237"/>
      <c r="B39" s="240"/>
      <c r="C39" s="243"/>
      <c r="D39" s="109" t="s">
        <v>267</v>
      </c>
      <c r="E39" s="96">
        <f>H39+K39+N39+Q39+T39+W39+Z39+AC39+AF39+AI39+AL39+AO39</f>
        <v>0</v>
      </c>
      <c r="F39" s="96">
        <f>I39+L39+O39+R39+U39+X39+AA39+AD39+AG39+AJ39+AM39+AP39</f>
        <v>0</v>
      </c>
      <c r="G39" s="96">
        <v>0</v>
      </c>
      <c r="H39" s="96">
        <v>0</v>
      </c>
      <c r="I39" s="96">
        <v>0</v>
      </c>
      <c r="J39" s="96">
        <v>0</v>
      </c>
      <c r="K39" s="96">
        <v>0</v>
      </c>
      <c r="L39" s="96">
        <v>0</v>
      </c>
      <c r="M39" s="96">
        <v>0</v>
      </c>
      <c r="N39" s="96">
        <v>0</v>
      </c>
      <c r="O39" s="96">
        <v>0</v>
      </c>
      <c r="P39" s="96">
        <v>0</v>
      </c>
      <c r="Q39" s="96">
        <v>0</v>
      </c>
      <c r="R39" s="96">
        <v>0</v>
      </c>
      <c r="S39" s="96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6">
        <v>0</v>
      </c>
      <c r="AA39" s="96">
        <v>0</v>
      </c>
      <c r="AB39" s="96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6">
        <v>0</v>
      </c>
      <c r="AJ39" s="96">
        <v>0</v>
      </c>
      <c r="AK39" s="96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215"/>
      <c r="AS39" s="212"/>
      <c r="AT39" s="117"/>
      <c r="AU39" s="117"/>
      <c r="AV39" s="118"/>
      <c r="AX39" s="117"/>
    </row>
    <row r="40" spans="1:50" s="119" customFormat="1" ht="24.75" customHeight="1">
      <c r="A40" s="237"/>
      <c r="B40" s="240"/>
      <c r="C40" s="243"/>
      <c r="D40" s="109" t="s">
        <v>279</v>
      </c>
      <c r="E40" s="96">
        <f t="shared" ref="E40:F42" si="52">H40+K40+N40+Q40+T40+W40+Z40+AC40+AF40+AI40+AL40+AO40</f>
        <v>12304.3</v>
      </c>
      <c r="F40" s="96">
        <f t="shared" si="52"/>
        <v>4813.0999999999995</v>
      </c>
      <c r="G40" s="96">
        <f>F40/E40*100</f>
        <v>39.117219183537458</v>
      </c>
      <c r="H40" s="96">
        <f>340-245.5</f>
        <v>94.5</v>
      </c>
      <c r="I40" s="96">
        <v>94.5</v>
      </c>
      <c r="J40" s="96">
        <f>I40/H40*100</f>
        <v>100</v>
      </c>
      <c r="K40" s="96">
        <f>74.6+340+18-180.8</f>
        <v>251.8</v>
      </c>
      <c r="L40" s="96">
        <v>134.9</v>
      </c>
      <c r="M40" s="96">
        <f>L40/K40*100</f>
        <v>53.574265289912624</v>
      </c>
      <c r="N40" s="96">
        <f>74.6+340+26</f>
        <v>440.6</v>
      </c>
      <c r="O40" s="96">
        <v>391.9</v>
      </c>
      <c r="P40" s="96">
        <f>O40/N40*100</f>
        <v>88.946890603722181</v>
      </c>
      <c r="Q40" s="96">
        <f>74.6+10.5+1738.7+16</f>
        <v>1839.8</v>
      </c>
      <c r="R40" s="96">
        <v>592.79999999999995</v>
      </c>
      <c r="S40" s="96">
        <f>R40/Q40*100</f>
        <v>32.220893575388629</v>
      </c>
      <c r="T40" s="110">
        <f>374.6+10.5+1738.7+16+141.4</f>
        <v>2281.2000000000003</v>
      </c>
      <c r="U40" s="110">
        <v>2117.6999999999998</v>
      </c>
      <c r="V40" s="95">
        <f t="shared" ref="V40" si="53">U40/T40*100</f>
        <v>92.832719621251954</v>
      </c>
      <c r="W40" s="95">
        <f>74.6+10.5+1738.7+14.9+1834.4</f>
        <v>3673.1000000000004</v>
      </c>
      <c r="X40" s="95">
        <v>1481.3</v>
      </c>
      <c r="Y40" s="95">
        <f t="shared" ref="Y40" si="54">X40/W40*100</f>
        <v>40.328333015708793</v>
      </c>
      <c r="Z40" s="96">
        <f>524.6+6.3+708.9+9-177.7-140.3</f>
        <v>930.8</v>
      </c>
      <c r="AA40" s="96">
        <v>0</v>
      </c>
      <c r="AB40" s="95">
        <f t="shared" ref="AB40" si="55">AA40/Z40*100</f>
        <v>0</v>
      </c>
      <c r="AC40" s="110">
        <f>74.6+6.3+708.9+9</f>
        <v>798.8</v>
      </c>
      <c r="AD40" s="110">
        <v>0</v>
      </c>
      <c r="AE40" s="95">
        <f t="shared" ref="AE40" si="56">AD40/AC40*100</f>
        <v>0</v>
      </c>
      <c r="AF40" s="110">
        <f>74.6+6.3+708.9+8.9</f>
        <v>798.69999999999993</v>
      </c>
      <c r="AG40" s="111">
        <v>0</v>
      </c>
      <c r="AH40" s="96">
        <f t="shared" ref="AH40" si="57">AG40/AF40*100</f>
        <v>0</v>
      </c>
      <c r="AI40" s="110">
        <f>429.6+8.4+244.9+9-166.4</f>
        <v>525.5</v>
      </c>
      <c r="AJ40" s="110">
        <v>0</v>
      </c>
      <c r="AK40" s="110">
        <f>AJ40/AI40*100</f>
        <v>0</v>
      </c>
      <c r="AL40" s="110">
        <f>8.4+244.9+20</f>
        <v>273.3</v>
      </c>
      <c r="AM40" s="110">
        <v>0</v>
      </c>
      <c r="AN40" s="110">
        <f>AM40/AL40*100</f>
        <v>0</v>
      </c>
      <c r="AO40" s="110">
        <f>8.4+244.9+121.2+22.8-1.1</f>
        <v>396.2</v>
      </c>
      <c r="AP40" s="96">
        <v>0</v>
      </c>
      <c r="AQ40" s="96">
        <f>AP40/AO40*100</f>
        <v>0</v>
      </c>
      <c r="AR40" s="215"/>
      <c r="AS40" s="212"/>
      <c r="AT40" s="117"/>
      <c r="AU40" s="117"/>
      <c r="AV40" s="117"/>
      <c r="AX40" s="117"/>
    </row>
    <row r="41" spans="1:50" s="119" customFormat="1" ht="63.75" customHeight="1">
      <c r="A41" s="237"/>
      <c r="B41" s="240"/>
      <c r="C41" s="243"/>
      <c r="D41" s="138" t="s">
        <v>321</v>
      </c>
      <c r="E41" s="139">
        <f t="shared" si="52"/>
        <v>41.1</v>
      </c>
      <c r="F41" s="139">
        <f t="shared" si="52"/>
        <v>41.1</v>
      </c>
      <c r="G41" s="139">
        <f>F41/E41*100</f>
        <v>100</v>
      </c>
      <c r="H41" s="139">
        <v>0</v>
      </c>
      <c r="I41" s="139">
        <v>0</v>
      </c>
      <c r="J41" s="139">
        <v>0</v>
      </c>
      <c r="K41" s="139">
        <v>0</v>
      </c>
      <c r="L41" s="139">
        <v>0</v>
      </c>
      <c r="M41" s="139">
        <v>0</v>
      </c>
      <c r="N41" s="139">
        <v>41.1</v>
      </c>
      <c r="O41" s="139">
        <v>0</v>
      </c>
      <c r="P41" s="139">
        <f>O41/N41*100</f>
        <v>0</v>
      </c>
      <c r="Q41" s="139">
        <v>0</v>
      </c>
      <c r="R41" s="139">
        <v>0</v>
      </c>
      <c r="S41" s="139">
        <v>0</v>
      </c>
      <c r="T41" s="140">
        <v>0</v>
      </c>
      <c r="U41" s="140">
        <v>0</v>
      </c>
      <c r="V41" s="139">
        <v>0</v>
      </c>
      <c r="W41" s="141">
        <v>0</v>
      </c>
      <c r="X41" s="141">
        <v>41.1</v>
      </c>
      <c r="Y41" s="139">
        <v>0</v>
      </c>
      <c r="Z41" s="139">
        <v>0</v>
      </c>
      <c r="AA41" s="139">
        <v>0</v>
      </c>
      <c r="AB41" s="141">
        <v>0</v>
      </c>
      <c r="AC41" s="140">
        <v>0</v>
      </c>
      <c r="AD41" s="140">
        <v>0</v>
      </c>
      <c r="AE41" s="141">
        <v>0</v>
      </c>
      <c r="AF41" s="140">
        <v>0</v>
      </c>
      <c r="AG41" s="142">
        <v>0</v>
      </c>
      <c r="AH41" s="139">
        <v>0</v>
      </c>
      <c r="AI41" s="140">
        <v>0</v>
      </c>
      <c r="AJ41" s="140">
        <v>0</v>
      </c>
      <c r="AK41" s="140" t="e">
        <f>AJ41/AI41*100</f>
        <v>#DIV/0!</v>
      </c>
      <c r="AL41" s="140">
        <v>0</v>
      </c>
      <c r="AM41" s="140">
        <v>0</v>
      </c>
      <c r="AN41" s="140">
        <v>0</v>
      </c>
      <c r="AO41" s="140">
        <v>0</v>
      </c>
      <c r="AP41" s="96">
        <v>0</v>
      </c>
      <c r="AQ41" s="96">
        <v>0</v>
      </c>
      <c r="AR41" s="215"/>
      <c r="AS41" s="212"/>
      <c r="AT41" s="117"/>
      <c r="AU41" s="117"/>
      <c r="AV41" s="118"/>
      <c r="AX41" s="117"/>
    </row>
    <row r="42" spans="1:50" s="119" customFormat="1" ht="29.25" customHeight="1">
      <c r="A42" s="237"/>
      <c r="B42" s="240"/>
      <c r="C42" s="243"/>
      <c r="D42" s="99" t="s">
        <v>255</v>
      </c>
      <c r="E42" s="96">
        <f t="shared" si="52"/>
        <v>0</v>
      </c>
      <c r="F42" s="96">
        <f t="shared" si="52"/>
        <v>0</v>
      </c>
      <c r="G42" s="96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N42" s="96">
        <v>0</v>
      </c>
      <c r="O42" s="96">
        <v>0</v>
      </c>
      <c r="P42" s="96">
        <v>0</v>
      </c>
      <c r="Q42" s="96">
        <v>0</v>
      </c>
      <c r="R42" s="96">
        <v>0</v>
      </c>
      <c r="S42" s="96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6">
        <v>0</v>
      </c>
      <c r="AA42" s="96">
        <v>0</v>
      </c>
      <c r="AB42" s="96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6">
        <v>0</v>
      </c>
      <c r="AJ42" s="96">
        <v>0</v>
      </c>
      <c r="AK42" s="96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215"/>
      <c r="AS42" s="212"/>
      <c r="AT42" s="117"/>
      <c r="AU42" s="117"/>
      <c r="AV42" s="118"/>
    </row>
    <row r="43" spans="1:50" s="119" customFormat="1" ht="33.75" customHeight="1">
      <c r="A43" s="238"/>
      <c r="B43" s="241"/>
      <c r="C43" s="244"/>
      <c r="D43" s="99" t="s">
        <v>285</v>
      </c>
      <c r="E43" s="96">
        <f>H43+K43+N43+Q43+T43+W43+Z43+AC43+AF43+AI43+AL43+AO43</f>
        <v>0</v>
      </c>
      <c r="F43" s="96">
        <f>I43+L43+O43+R43+U43+X43+AA43+AD43+AG43+AJ43+AM43+AP43</f>
        <v>0</v>
      </c>
      <c r="G43" s="96">
        <v>0</v>
      </c>
      <c r="H43" s="96">
        <v>0</v>
      </c>
      <c r="I43" s="96">
        <v>0</v>
      </c>
      <c r="J43" s="96">
        <v>0</v>
      </c>
      <c r="K43" s="97">
        <v>0</v>
      </c>
      <c r="L43" s="96">
        <v>0</v>
      </c>
      <c r="M43" s="96">
        <v>0</v>
      </c>
      <c r="N43" s="96">
        <v>0</v>
      </c>
      <c r="O43" s="96">
        <v>0</v>
      </c>
      <c r="P43" s="96">
        <v>0</v>
      </c>
      <c r="Q43" s="96">
        <v>0</v>
      </c>
      <c r="R43" s="96">
        <v>0</v>
      </c>
      <c r="S43" s="96">
        <v>0</v>
      </c>
      <c r="T43" s="95">
        <v>0</v>
      </c>
      <c r="U43" s="95">
        <v>0</v>
      </c>
      <c r="V43" s="96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6">
        <v>0</v>
      </c>
      <c r="AI43" s="96">
        <v>0</v>
      </c>
      <c r="AJ43" s="96">
        <v>0</v>
      </c>
      <c r="AK43" s="96">
        <v>0</v>
      </c>
      <c r="AL43" s="95">
        <v>0</v>
      </c>
      <c r="AM43" s="95">
        <v>0</v>
      </c>
      <c r="AN43" s="95">
        <v>0</v>
      </c>
      <c r="AO43" s="96">
        <v>0</v>
      </c>
      <c r="AP43" s="95">
        <v>0</v>
      </c>
      <c r="AQ43" s="95">
        <v>0</v>
      </c>
      <c r="AR43" s="216"/>
      <c r="AS43" s="213"/>
      <c r="AT43" s="117"/>
      <c r="AU43" s="117"/>
      <c r="AV43" s="118"/>
    </row>
    <row r="44" spans="1:50" s="119" customFormat="1" ht="21.75" customHeight="1">
      <c r="A44" s="236" t="s">
        <v>11</v>
      </c>
      <c r="B44" s="239" t="s">
        <v>290</v>
      </c>
      <c r="C44" s="242" t="s">
        <v>325</v>
      </c>
      <c r="D44" s="148" t="s">
        <v>269</v>
      </c>
      <c r="E44" s="96">
        <f>SUM(E45:E47)</f>
        <v>0</v>
      </c>
      <c r="F44" s="96">
        <f t="shared" ref="F44" si="58">SUM(F45:F47)</f>
        <v>0</v>
      </c>
      <c r="G44" s="96">
        <v>0</v>
      </c>
      <c r="H44" s="96">
        <f t="shared" ref="H44:I44" si="59">SUM(H45:H47)</f>
        <v>0</v>
      </c>
      <c r="I44" s="96">
        <f t="shared" si="59"/>
        <v>0</v>
      </c>
      <c r="J44" s="96">
        <v>0</v>
      </c>
      <c r="K44" s="96">
        <f t="shared" ref="K44:L44" si="60">SUM(K45:K47)</f>
        <v>0</v>
      </c>
      <c r="L44" s="96">
        <f t="shared" si="60"/>
        <v>0</v>
      </c>
      <c r="M44" s="96">
        <v>0</v>
      </c>
      <c r="N44" s="96">
        <f t="shared" ref="N44:O44" si="61">SUM(N45:N47)</f>
        <v>0</v>
      </c>
      <c r="O44" s="96">
        <f t="shared" si="61"/>
        <v>0</v>
      </c>
      <c r="P44" s="96">
        <v>0</v>
      </c>
      <c r="Q44" s="96">
        <f t="shared" ref="Q44:R44" si="62">SUM(Q45:Q47)</f>
        <v>0</v>
      </c>
      <c r="R44" s="96">
        <f t="shared" si="62"/>
        <v>0</v>
      </c>
      <c r="S44" s="96">
        <v>0</v>
      </c>
      <c r="T44" s="96">
        <f t="shared" ref="T44:AA44" si="63">SUM(T45:T47)</f>
        <v>0</v>
      </c>
      <c r="U44" s="96">
        <f t="shared" si="63"/>
        <v>0</v>
      </c>
      <c r="V44" s="96">
        <f t="shared" si="63"/>
        <v>0</v>
      </c>
      <c r="W44" s="96">
        <f t="shared" si="63"/>
        <v>0</v>
      </c>
      <c r="X44" s="96">
        <f t="shared" si="63"/>
        <v>0</v>
      </c>
      <c r="Y44" s="96">
        <f t="shared" si="63"/>
        <v>0</v>
      </c>
      <c r="Z44" s="96">
        <f t="shared" si="63"/>
        <v>0</v>
      </c>
      <c r="AA44" s="96">
        <f t="shared" si="63"/>
        <v>0</v>
      </c>
      <c r="AB44" s="95">
        <v>0</v>
      </c>
      <c r="AC44" s="96">
        <f t="shared" ref="AC44:AD44" si="64">SUM(AC45:AC47)</f>
        <v>0</v>
      </c>
      <c r="AD44" s="96">
        <f t="shared" si="64"/>
        <v>0</v>
      </c>
      <c r="AE44" s="96">
        <v>0</v>
      </c>
      <c r="AF44" s="96">
        <f t="shared" ref="AF44:AG44" si="65">SUM(AF45:AF47)</f>
        <v>0</v>
      </c>
      <c r="AG44" s="96">
        <f t="shared" si="65"/>
        <v>0</v>
      </c>
      <c r="AH44" s="96">
        <v>0</v>
      </c>
      <c r="AI44" s="96">
        <f t="shared" ref="AI44:AJ44" si="66">SUM(AI45:AI47)</f>
        <v>0</v>
      </c>
      <c r="AJ44" s="96">
        <f t="shared" si="66"/>
        <v>0</v>
      </c>
      <c r="AK44" s="96">
        <v>0</v>
      </c>
      <c r="AL44" s="96">
        <f t="shared" ref="AL44:AM44" si="67">SUM(AL45:AL47)</f>
        <v>0</v>
      </c>
      <c r="AM44" s="96">
        <f t="shared" si="67"/>
        <v>0</v>
      </c>
      <c r="AN44" s="95">
        <v>0</v>
      </c>
      <c r="AO44" s="96">
        <f t="shared" ref="AO44:AP44" si="68">SUM(AO45:AO47)</f>
        <v>0</v>
      </c>
      <c r="AP44" s="96">
        <f t="shared" si="68"/>
        <v>0</v>
      </c>
      <c r="AQ44" s="96">
        <v>0</v>
      </c>
      <c r="AR44" s="214" t="s">
        <v>327</v>
      </c>
      <c r="AS44" s="205"/>
      <c r="AT44" s="117"/>
      <c r="AU44" s="117"/>
      <c r="AV44" s="118"/>
    </row>
    <row r="45" spans="1:50" s="119" customFormat="1" ht="64.5" customHeight="1">
      <c r="A45" s="237"/>
      <c r="B45" s="240"/>
      <c r="C45" s="243"/>
      <c r="D45" s="109" t="s">
        <v>267</v>
      </c>
      <c r="E45" s="96">
        <f>H45+K45+N45+Q45+T45+W45+Z45+AC45+AF45+AI45+AL45+AO45</f>
        <v>0</v>
      </c>
      <c r="F45" s="96">
        <f>I45+L45+O45+R45+U45+X45+AA45+AD45+AG45+AJ45+AM45+AP45</f>
        <v>0</v>
      </c>
      <c r="G45" s="96">
        <v>0</v>
      </c>
      <c r="H45" s="96">
        <v>0</v>
      </c>
      <c r="I45" s="96">
        <v>0</v>
      </c>
      <c r="J45" s="96">
        <v>0</v>
      </c>
      <c r="K45" s="97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  <c r="S45" s="96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6">
        <v>0</v>
      </c>
      <c r="AJ45" s="96">
        <v>0</v>
      </c>
      <c r="AK45" s="96">
        <v>0</v>
      </c>
      <c r="AL45" s="95">
        <v>0</v>
      </c>
      <c r="AM45" s="95">
        <v>0</v>
      </c>
      <c r="AN45" s="95">
        <v>0</v>
      </c>
      <c r="AO45" s="96">
        <v>0</v>
      </c>
      <c r="AP45" s="96">
        <v>0</v>
      </c>
      <c r="AQ45" s="96">
        <v>0</v>
      </c>
      <c r="AR45" s="215"/>
      <c r="AS45" s="206"/>
      <c r="AT45" s="117"/>
      <c r="AU45" s="117"/>
      <c r="AV45" s="118"/>
    </row>
    <row r="46" spans="1:50" s="119" customFormat="1" ht="21" customHeight="1">
      <c r="A46" s="237"/>
      <c r="B46" s="240"/>
      <c r="C46" s="243"/>
      <c r="D46" s="109" t="s">
        <v>279</v>
      </c>
      <c r="E46" s="96">
        <f t="shared" ref="E46:F47" si="69">H46+K46+N46+Q46+T46+W46+Z46+AC46+AF46+AI46+AL46+AO46</f>
        <v>0</v>
      </c>
      <c r="F46" s="96">
        <f t="shared" si="69"/>
        <v>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  <c r="S46" s="96">
        <v>0</v>
      </c>
      <c r="T46" s="95">
        <v>0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6">
        <v>0</v>
      </c>
      <c r="AA46" s="96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6">
        <v>0</v>
      </c>
      <c r="AJ46" s="96">
        <v>0</v>
      </c>
      <c r="AK46" s="96">
        <v>0</v>
      </c>
      <c r="AL46" s="95">
        <v>0</v>
      </c>
      <c r="AM46" s="95">
        <v>0</v>
      </c>
      <c r="AN46" s="95">
        <v>0</v>
      </c>
      <c r="AO46" s="95">
        <v>0</v>
      </c>
      <c r="AP46" s="96">
        <v>0</v>
      </c>
      <c r="AQ46" s="96">
        <v>0</v>
      </c>
      <c r="AR46" s="215"/>
      <c r="AS46" s="206"/>
      <c r="AT46" s="117"/>
      <c r="AU46" s="117"/>
      <c r="AV46" s="118"/>
    </row>
    <row r="47" spans="1:50" s="119" customFormat="1" ht="30" customHeight="1">
      <c r="A47" s="237"/>
      <c r="B47" s="240"/>
      <c r="C47" s="243"/>
      <c r="D47" s="99" t="s">
        <v>255</v>
      </c>
      <c r="E47" s="96">
        <f t="shared" si="69"/>
        <v>0</v>
      </c>
      <c r="F47" s="96">
        <f t="shared" si="69"/>
        <v>0</v>
      </c>
      <c r="G47" s="96">
        <v>0</v>
      </c>
      <c r="H47" s="96">
        <v>0</v>
      </c>
      <c r="I47" s="96">
        <v>0</v>
      </c>
      <c r="J47" s="96">
        <v>0</v>
      </c>
      <c r="K47" s="96">
        <v>0</v>
      </c>
      <c r="L47" s="96">
        <v>0</v>
      </c>
      <c r="M47" s="96">
        <v>0</v>
      </c>
      <c r="N47" s="96">
        <v>0</v>
      </c>
      <c r="O47" s="96">
        <v>0</v>
      </c>
      <c r="P47" s="96">
        <v>0</v>
      </c>
      <c r="Q47" s="96">
        <v>0</v>
      </c>
      <c r="R47" s="96">
        <v>0</v>
      </c>
      <c r="S47" s="96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6">
        <v>0</v>
      </c>
      <c r="AA47" s="96">
        <v>0</v>
      </c>
      <c r="AB47" s="96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6">
        <v>0</v>
      </c>
      <c r="AJ47" s="96">
        <v>0</v>
      </c>
      <c r="AK47" s="96">
        <v>0</v>
      </c>
      <c r="AL47" s="95">
        <v>0</v>
      </c>
      <c r="AM47" s="95">
        <v>0</v>
      </c>
      <c r="AN47" s="95">
        <v>0</v>
      </c>
      <c r="AO47" s="95">
        <v>0</v>
      </c>
      <c r="AP47" s="96">
        <v>0</v>
      </c>
      <c r="AQ47" s="96">
        <v>0</v>
      </c>
      <c r="AR47" s="215"/>
      <c r="AS47" s="206"/>
      <c r="AT47" s="117"/>
      <c r="AU47" s="117"/>
      <c r="AV47" s="118"/>
    </row>
    <row r="48" spans="1:50" s="119" customFormat="1" ht="24">
      <c r="A48" s="238"/>
      <c r="B48" s="241"/>
      <c r="C48" s="244"/>
      <c r="D48" s="99" t="s">
        <v>285</v>
      </c>
      <c r="E48" s="96">
        <f>H48+K48+N48+Q48+T48+W48+Z48+AC48+AF48+AI48+AL48+AO48</f>
        <v>0</v>
      </c>
      <c r="F48" s="96">
        <f>I48+L48+O48+R48+U48+X48+AA48+AD48+AG48+AJ48+AM48+AP48</f>
        <v>0</v>
      </c>
      <c r="G48" s="96">
        <v>0</v>
      </c>
      <c r="H48" s="96">
        <v>0</v>
      </c>
      <c r="I48" s="96">
        <v>0</v>
      </c>
      <c r="J48" s="96">
        <v>0</v>
      </c>
      <c r="K48" s="97">
        <v>0</v>
      </c>
      <c r="L48" s="96">
        <v>0</v>
      </c>
      <c r="M48" s="96">
        <v>0</v>
      </c>
      <c r="N48" s="96">
        <v>0</v>
      </c>
      <c r="O48" s="96">
        <v>0</v>
      </c>
      <c r="P48" s="96">
        <v>0</v>
      </c>
      <c r="Q48" s="96">
        <v>0</v>
      </c>
      <c r="R48" s="96">
        <v>0</v>
      </c>
      <c r="S48" s="96">
        <v>0</v>
      </c>
      <c r="T48" s="95">
        <v>0</v>
      </c>
      <c r="U48" s="95">
        <v>0</v>
      </c>
      <c r="V48" s="96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6">
        <v>0</v>
      </c>
      <c r="AI48" s="96">
        <v>0</v>
      </c>
      <c r="AJ48" s="96">
        <v>0</v>
      </c>
      <c r="AK48" s="96">
        <v>0</v>
      </c>
      <c r="AL48" s="95">
        <v>0</v>
      </c>
      <c r="AM48" s="95">
        <v>0</v>
      </c>
      <c r="AN48" s="95">
        <v>0</v>
      </c>
      <c r="AO48" s="96">
        <v>0</v>
      </c>
      <c r="AP48" s="96">
        <v>0</v>
      </c>
      <c r="AQ48" s="96">
        <v>0</v>
      </c>
      <c r="AR48" s="216"/>
      <c r="AS48" s="207"/>
      <c r="AT48" s="117"/>
      <c r="AU48" s="117"/>
      <c r="AV48" s="118"/>
    </row>
    <row r="49" spans="1:50" s="123" customFormat="1" ht="343.5" customHeight="1">
      <c r="A49" s="144" t="s">
        <v>283</v>
      </c>
      <c r="B49" s="99" t="s">
        <v>291</v>
      </c>
      <c r="C49" s="145" t="s">
        <v>314</v>
      </c>
      <c r="D49" s="99" t="s">
        <v>268</v>
      </c>
      <c r="E49" s="100" t="s">
        <v>261</v>
      </c>
      <c r="F49" s="100" t="s">
        <v>261</v>
      </c>
      <c r="G49" s="100" t="s">
        <v>261</v>
      </c>
      <c r="H49" s="100" t="s">
        <v>261</v>
      </c>
      <c r="I49" s="100" t="s">
        <v>261</v>
      </c>
      <c r="J49" s="100" t="s">
        <v>261</v>
      </c>
      <c r="K49" s="100" t="s">
        <v>261</v>
      </c>
      <c r="L49" s="100" t="s">
        <v>261</v>
      </c>
      <c r="M49" s="100" t="s">
        <v>261</v>
      </c>
      <c r="N49" s="100" t="s">
        <v>261</v>
      </c>
      <c r="O49" s="100" t="s">
        <v>261</v>
      </c>
      <c r="P49" s="100" t="s">
        <v>261</v>
      </c>
      <c r="Q49" s="100" t="s">
        <v>261</v>
      </c>
      <c r="R49" s="100" t="s">
        <v>261</v>
      </c>
      <c r="S49" s="100" t="s">
        <v>261</v>
      </c>
      <c r="T49" s="100" t="s">
        <v>261</v>
      </c>
      <c r="U49" s="100" t="s">
        <v>261</v>
      </c>
      <c r="V49" s="100" t="s">
        <v>261</v>
      </c>
      <c r="W49" s="100" t="s">
        <v>261</v>
      </c>
      <c r="X49" s="100" t="s">
        <v>261</v>
      </c>
      <c r="Y49" s="100" t="s">
        <v>261</v>
      </c>
      <c r="Z49" s="100" t="s">
        <v>261</v>
      </c>
      <c r="AA49" s="100" t="s">
        <v>261</v>
      </c>
      <c r="AB49" s="100" t="s">
        <v>261</v>
      </c>
      <c r="AC49" s="100" t="s">
        <v>261</v>
      </c>
      <c r="AD49" s="100" t="s">
        <v>261</v>
      </c>
      <c r="AE49" s="100" t="s">
        <v>261</v>
      </c>
      <c r="AF49" s="100" t="s">
        <v>261</v>
      </c>
      <c r="AG49" s="100" t="s">
        <v>261</v>
      </c>
      <c r="AH49" s="100" t="s">
        <v>261</v>
      </c>
      <c r="AI49" s="100" t="s">
        <v>261</v>
      </c>
      <c r="AJ49" s="100" t="s">
        <v>261</v>
      </c>
      <c r="AK49" s="100" t="s">
        <v>261</v>
      </c>
      <c r="AL49" s="100" t="s">
        <v>261</v>
      </c>
      <c r="AM49" s="100" t="s">
        <v>261</v>
      </c>
      <c r="AN49" s="100" t="s">
        <v>261</v>
      </c>
      <c r="AO49" s="100" t="s">
        <v>261</v>
      </c>
      <c r="AP49" s="100"/>
      <c r="AQ49" s="100"/>
      <c r="AR49" s="155" t="s">
        <v>336</v>
      </c>
      <c r="AS49" s="98"/>
      <c r="AT49" s="117"/>
      <c r="AU49" s="117"/>
      <c r="AV49" s="118"/>
    </row>
    <row r="50" spans="1:50" s="123" customFormat="1" ht="12.75" customHeight="1">
      <c r="A50" s="246" t="s">
        <v>284</v>
      </c>
      <c r="B50" s="249" t="s">
        <v>272</v>
      </c>
      <c r="C50" s="250"/>
      <c r="D50" s="106" t="s">
        <v>269</v>
      </c>
      <c r="E50" s="100">
        <f>E51+E52+E53</f>
        <v>0</v>
      </c>
      <c r="F50" s="100">
        <f t="shared" ref="F50:AP50" si="70">F51+F52+F53</f>
        <v>0</v>
      </c>
      <c r="G50" s="100">
        <v>0</v>
      </c>
      <c r="H50" s="100">
        <f t="shared" si="70"/>
        <v>0</v>
      </c>
      <c r="I50" s="100">
        <f t="shared" si="70"/>
        <v>0</v>
      </c>
      <c r="J50" s="100">
        <v>0</v>
      </c>
      <c r="K50" s="100">
        <f t="shared" si="70"/>
        <v>0</v>
      </c>
      <c r="L50" s="100">
        <f t="shared" si="70"/>
        <v>0</v>
      </c>
      <c r="M50" s="100">
        <v>0</v>
      </c>
      <c r="N50" s="100">
        <f t="shared" si="70"/>
        <v>0</v>
      </c>
      <c r="O50" s="100">
        <f t="shared" si="70"/>
        <v>0</v>
      </c>
      <c r="P50" s="100">
        <v>0</v>
      </c>
      <c r="Q50" s="100">
        <f t="shared" si="70"/>
        <v>0</v>
      </c>
      <c r="R50" s="100">
        <f t="shared" si="70"/>
        <v>0</v>
      </c>
      <c r="S50" s="100">
        <v>0</v>
      </c>
      <c r="T50" s="100">
        <f t="shared" si="70"/>
        <v>0</v>
      </c>
      <c r="U50" s="100">
        <f t="shared" si="70"/>
        <v>0</v>
      </c>
      <c r="V50" s="100">
        <v>0</v>
      </c>
      <c r="W50" s="100">
        <f t="shared" si="70"/>
        <v>0</v>
      </c>
      <c r="X50" s="100">
        <f t="shared" si="70"/>
        <v>0</v>
      </c>
      <c r="Y50" s="100">
        <v>0</v>
      </c>
      <c r="Z50" s="100">
        <f t="shared" si="70"/>
        <v>0</v>
      </c>
      <c r="AA50" s="100">
        <f t="shared" si="70"/>
        <v>0</v>
      </c>
      <c r="AB50" s="100">
        <v>0</v>
      </c>
      <c r="AC50" s="100">
        <f t="shared" si="70"/>
        <v>0</v>
      </c>
      <c r="AD50" s="100">
        <f t="shared" si="70"/>
        <v>0</v>
      </c>
      <c r="AE50" s="100">
        <v>0</v>
      </c>
      <c r="AF50" s="100">
        <f t="shared" si="70"/>
        <v>0</v>
      </c>
      <c r="AG50" s="100">
        <f t="shared" si="70"/>
        <v>0</v>
      </c>
      <c r="AH50" s="100">
        <v>0</v>
      </c>
      <c r="AI50" s="100">
        <f t="shared" si="70"/>
        <v>0</v>
      </c>
      <c r="AJ50" s="100">
        <f t="shared" si="70"/>
        <v>0</v>
      </c>
      <c r="AK50" s="100">
        <v>0</v>
      </c>
      <c r="AL50" s="100">
        <f t="shared" si="70"/>
        <v>0</v>
      </c>
      <c r="AM50" s="100">
        <f t="shared" si="70"/>
        <v>0</v>
      </c>
      <c r="AN50" s="100">
        <v>0</v>
      </c>
      <c r="AO50" s="100">
        <f t="shared" si="70"/>
        <v>0</v>
      </c>
      <c r="AP50" s="100">
        <f t="shared" si="70"/>
        <v>0</v>
      </c>
      <c r="AQ50" s="100">
        <v>0</v>
      </c>
      <c r="AR50" s="233"/>
      <c r="AS50" s="201"/>
      <c r="AT50" s="117"/>
      <c r="AU50" s="117"/>
      <c r="AV50" s="118"/>
    </row>
    <row r="51" spans="1:50" s="123" customFormat="1" ht="48">
      <c r="A51" s="247"/>
      <c r="B51" s="251"/>
      <c r="C51" s="252"/>
      <c r="D51" s="107" t="s">
        <v>267</v>
      </c>
      <c r="E51" s="100">
        <f t="shared" ref="E51:F53" si="71">E57</f>
        <v>0</v>
      </c>
      <c r="F51" s="100">
        <f t="shared" si="71"/>
        <v>0</v>
      </c>
      <c r="G51" s="100">
        <v>0</v>
      </c>
      <c r="H51" s="100">
        <f t="shared" ref="H51:I53" si="72">H57</f>
        <v>0</v>
      </c>
      <c r="I51" s="100">
        <f t="shared" si="72"/>
        <v>0</v>
      </c>
      <c r="J51" s="100">
        <v>0</v>
      </c>
      <c r="K51" s="100">
        <f t="shared" ref="K51:L53" si="73">K57</f>
        <v>0</v>
      </c>
      <c r="L51" s="100">
        <f t="shared" si="73"/>
        <v>0</v>
      </c>
      <c r="M51" s="100">
        <v>0</v>
      </c>
      <c r="N51" s="100">
        <f t="shared" ref="N51:O53" si="74">N57</f>
        <v>0</v>
      </c>
      <c r="O51" s="100">
        <f t="shared" si="74"/>
        <v>0</v>
      </c>
      <c r="P51" s="100">
        <v>0</v>
      </c>
      <c r="Q51" s="100">
        <f t="shared" ref="Q51:R53" si="75">Q57</f>
        <v>0</v>
      </c>
      <c r="R51" s="100">
        <f t="shared" si="75"/>
        <v>0</v>
      </c>
      <c r="S51" s="100">
        <v>0</v>
      </c>
      <c r="T51" s="100">
        <f t="shared" ref="T51:AD53" si="76">T57</f>
        <v>0</v>
      </c>
      <c r="U51" s="100">
        <f t="shared" si="76"/>
        <v>0</v>
      </c>
      <c r="V51" s="100">
        <f t="shared" si="76"/>
        <v>0</v>
      </c>
      <c r="W51" s="100">
        <f t="shared" si="76"/>
        <v>0</v>
      </c>
      <c r="X51" s="100">
        <f t="shared" si="76"/>
        <v>0</v>
      </c>
      <c r="Y51" s="100">
        <f t="shared" si="76"/>
        <v>0</v>
      </c>
      <c r="Z51" s="100">
        <f t="shared" si="76"/>
        <v>0</v>
      </c>
      <c r="AA51" s="100">
        <f t="shared" si="76"/>
        <v>0</v>
      </c>
      <c r="AB51" s="100">
        <f t="shared" si="76"/>
        <v>0</v>
      </c>
      <c r="AC51" s="100">
        <f t="shared" si="76"/>
        <v>0</v>
      </c>
      <c r="AD51" s="100">
        <f t="shared" si="76"/>
        <v>0</v>
      </c>
      <c r="AE51" s="100">
        <v>0</v>
      </c>
      <c r="AF51" s="100">
        <f t="shared" ref="AF51:AQ53" si="77">AF57</f>
        <v>0</v>
      </c>
      <c r="AG51" s="100">
        <f t="shared" si="77"/>
        <v>0</v>
      </c>
      <c r="AH51" s="100">
        <f t="shared" si="77"/>
        <v>0</v>
      </c>
      <c r="AI51" s="100">
        <f t="shared" si="77"/>
        <v>0</v>
      </c>
      <c r="AJ51" s="100">
        <f t="shared" si="77"/>
        <v>0</v>
      </c>
      <c r="AK51" s="100">
        <f t="shared" si="77"/>
        <v>0</v>
      </c>
      <c r="AL51" s="100">
        <f t="shared" si="77"/>
        <v>0</v>
      </c>
      <c r="AM51" s="100">
        <f t="shared" si="77"/>
        <v>0</v>
      </c>
      <c r="AN51" s="100">
        <f t="shared" si="77"/>
        <v>0</v>
      </c>
      <c r="AO51" s="100">
        <f t="shared" si="77"/>
        <v>0</v>
      </c>
      <c r="AP51" s="100">
        <f t="shared" si="77"/>
        <v>0</v>
      </c>
      <c r="AQ51" s="100">
        <f t="shared" si="77"/>
        <v>0</v>
      </c>
      <c r="AR51" s="234"/>
      <c r="AS51" s="202"/>
      <c r="AT51" s="117"/>
      <c r="AU51" s="117"/>
      <c r="AV51" s="118"/>
    </row>
    <row r="52" spans="1:50" s="123" customFormat="1" ht="20.25" customHeight="1">
      <c r="A52" s="247"/>
      <c r="B52" s="251"/>
      <c r="C52" s="252"/>
      <c r="D52" s="107" t="s">
        <v>280</v>
      </c>
      <c r="E52" s="100">
        <f t="shared" si="71"/>
        <v>0</v>
      </c>
      <c r="F52" s="100">
        <f t="shared" si="71"/>
        <v>0</v>
      </c>
      <c r="G52" s="100">
        <v>0</v>
      </c>
      <c r="H52" s="100">
        <f t="shared" si="72"/>
        <v>0</v>
      </c>
      <c r="I52" s="100">
        <f t="shared" si="72"/>
        <v>0</v>
      </c>
      <c r="J52" s="100">
        <v>0</v>
      </c>
      <c r="K52" s="100">
        <f t="shared" si="73"/>
        <v>0</v>
      </c>
      <c r="L52" s="100">
        <f t="shared" si="73"/>
        <v>0</v>
      </c>
      <c r="M52" s="100">
        <v>0</v>
      </c>
      <c r="N52" s="100">
        <f t="shared" si="74"/>
        <v>0</v>
      </c>
      <c r="O52" s="100">
        <f t="shared" si="74"/>
        <v>0</v>
      </c>
      <c r="P52" s="100">
        <v>0</v>
      </c>
      <c r="Q52" s="100">
        <f t="shared" si="75"/>
        <v>0</v>
      </c>
      <c r="R52" s="100">
        <f t="shared" si="75"/>
        <v>0</v>
      </c>
      <c r="S52" s="100">
        <v>0</v>
      </c>
      <c r="T52" s="100">
        <f t="shared" si="76"/>
        <v>0</v>
      </c>
      <c r="U52" s="100">
        <f t="shared" si="76"/>
        <v>0</v>
      </c>
      <c r="V52" s="100">
        <f t="shared" si="76"/>
        <v>0</v>
      </c>
      <c r="W52" s="100">
        <f t="shared" si="76"/>
        <v>0</v>
      </c>
      <c r="X52" s="100">
        <f t="shared" si="76"/>
        <v>0</v>
      </c>
      <c r="Y52" s="100">
        <f t="shared" si="76"/>
        <v>0</v>
      </c>
      <c r="Z52" s="100">
        <f t="shared" si="76"/>
        <v>0</v>
      </c>
      <c r="AA52" s="100">
        <f t="shared" si="76"/>
        <v>0</v>
      </c>
      <c r="AB52" s="100">
        <f t="shared" si="76"/>
        <v>0</v>
      </c>
      <c r="AC52" s="100">
        <f t="shared" si="76"/>
        <v>0</v>
      </c>
      <c r="AD52" s="100">
        <f t="shared" si="76"/>
        <v>0</v>
      </c>
      <c r="AE52" s="100">
        <v>0</v>
      </c>
      <c r="AF52" s="100">
        <f t="shared" si="77"/>
        <v>0</v>
      </c>
      <c r="AG52" s="100">
        <f t="shared" si="77"/>
        <v>0</v>
      </c>
      <c r="AH52" s="100">
        <f t="shared" si="77"/>
        <v>0</v>
      </c>
      <c r="AI52" s="100">
        <f t="shared" si="77"/>
        <v>0</v>
      </c>
      <c r="AJ52" s="100">
        <f t="shared" si="77"/>
        <v>0</v>
      </c>
      <c r="AK52" s="100">
        <f t="shared" si="77"/>
        <v>0</v>
      </c>
      <c r="AL52" s="100">
        <f t="shared" si="77"/>
        <v>0</v>
      </c>
      <c r="AM52" s="100">
        <f t="shared" si="77"/>
        <v>0</v>
      </c>
      <c r="AN52" s="100">
        <f t="shared" si="77"/>
        <v>0</v>
      </c>
      <c r="AO52" s="100">
        <f t="shared" si="77"/>
        <v>0</v>
      </c>
      <c r="AP52" s="100">
        <f t="shared" si="77"/>
        <v>0</v>
      </c>
      <c r="AQ52" s="100">
        <f t="shared" si="77"/>
        <v>0</v>
      </c>
      <c r="AR52" s="234"/>
      <c r="AS52" s="202"/>
      <c r="AT52" s="117"/>
      <c r="AU52" s="117"/>
      <c r="AV52" s="118"/>
    </row>
    <row r="53" spans="1:50" s="123" customFormat="1" ht="26.25" customHeight="1">
      <c r="A53" s="247"/>
      <c r="B53" s="251"/>
      <c r="C53" s="252"/>
      <c r="D53" s="108" t="s">
        <v>255</v>
      </c>
      <c r="E53" s="100">
        <f t="shared" si="71"/>
        <v>0</v>
      </c>
      <c r="F53" s="100">
        <f t="shared" si="71"/>
        <v>0</v>
      </c>
      <c r="G53" s="100">
        <v>0</v>
      </c>
      <c r="H53" s="100">
        <f t="shared" si="72"/>
        <v>0</v>
      </c>
      <c r="I53" s="100">
        <f t="shared" si="72"/>
        <v>0</v>
      </c>
      <c r="J53" s="100">
        <v>0</v>
      </c>
      <c r="K53" s="100">
        <f t="shared" si="73"/>
        <v>0</v>
      </c>
      <c r="L53" s="100">
        <f t="shared" si="73"/>
        <v>0</v>
      </c>
      <c r="M53" s="100">
        <v>0</v>
      </c>
      <c r="N53" s="100">
        <f t="shared" si="74"/>
        <v>0</v>
      </c>
      <c r="O53" s="100">
        <f t="shared" si="74"/>
        <v>0</v>
      </c>
      <c r="P53" s="100">
        <f>P59</f>
        <v>0</v>
      </c>
      <c r="Q53" s="100">
        <f t="shared" si="75"/>
        <v>0</v>
      </c>
      <c r="R53" s="100">
        <f t="shared" si="75"/>
        <v>0</v>
      </c>
      <c r="S53" s="100">
        <v>0</v>
      </c>
      <c r="T53" s="100">
        <f t="shared" si="76"/>
        <v>0</v>
      </c>
      <c r="U53" s="100">
        <f t="shared" si="76"/>
        <v>0</v>
      </c>
      <c r="V53" s="100">
        <f t="shared" si="76"/>
        <v>0</v>
      </c>
      <c r="W53" s="100">
        <f t="shared" si="76"/>
        <v>0</v>
      </c>
      <c r="X53" s="100">
        <f t="shared" si="76"/>
        <v>0</v>
      </c>
      <c r="Y53" s="100">
        <f t="shared" si="76"/>
        <v>0</v>
      </c>
      <c r="Z53" s="100">
        <f t="shared" si="76"/>
        <v>0</v>
      </c>
      <c r="AA53" s="100">
        <f t="shared" si="76"/>
        <v>0</v>
      </c>
      <c r="AB53" s="100">
        <f t="shared" si="76"/>
        <v>0</v>
      </c>
      <c r="AC53" s="100">
        <f t="shared" si="76"/>
        <v>0</v>
      </c>
      <c r="AD53" s="100">
        <f t="shared" si="76"/>
        <v>0</v>
      </c>
      <c r="AE53" s="100">
        <f>AE59</f>
        <v>0</v>
      </c>
      <c r="AF53" s="100">
        <f t="shared" si="77"/>
        <v>0</v>
      </c>
      <c r="AG53" s="100">
        <f t="shared" si="77"/>
        <v>0</v>
      </c>
      <c r="AH53" s="100">
        <f t="shared" si="77"/>
        <v>0</v>
      </c>
      <c r="AI53" s="100">
        <f t="shared" si="77"/>
        <v>0</v>
      </c>
      <c r="AJ53" s="100">
        <f t="shared" si="77"/>
        <v>0</v>
      </c>
      <c r="AK53" s="100">
        <f t="shared" si="77"/>
        <v>0</v>
      </c>
      <c r="AL53" s="100">
        <f t="shared" si="77"/>
        <v>0</v>
      </c>
      <c r="AM53" s="100">
        <f t="shared" si="77"/>
        <v>0</v>
      </c>
      <c r="AN53" s="100">
        <f t="shared" si="77"/>
        <v>0</v>
      </c>
      <c r="AO53" s="100">
        <f t="shared" si="77"/>
        <v>0</v>
      </c>
      <c r="AP53" s="100">
        <f t="shared" si="77"/>
        <v>0</v>
      </c>
      <c r="AQ53" s="100">
        <f t="shared" si="77"/>
        <v>0</v>
      </c>
      <c r="AR53" s="234"/>
      <c r="AS53" s="202"/>
      <c r="AT53" s="117"/>
      <c r="AU53" s="117"/>
      <c r="AV53" s="118"/>
    </row>
    <row r="54" spans="1:50" s="123" customFormat="1" ht="24">
      <c r="A54" s="248"/>
      <c r="B54" s="253"/>
      <c r="C54" s="254"/>
      <c r="D54" s="108" t="s">
        <v>285</v>
      </c>
      <c r="E54" s="100">
        <f>H54+K54+N54+Q54+T54+W54+Z54+AC54+AF54+AI54+AL54+AO54</f>
        <v>0</v>
      </c>
      <c r="F54" s="100">
        <f>I54+L54+O54+R54+U54+X54+AA54+AD54+AG54+AJ54+AM54+AP54</f>
        <v>0</v>
      </c>
      <c r="G54" s="100">
        <v>0</v>
      </c>
      <c r="H54" s="100">
        <v>0</v>
      </c>
      <c r="I54" s="100">
        <v>0</v>
      </c>
      <c r="J54" s="100">
        <v>0</v>
      </c>
      <c r="K54" s="129">
        <v>0</v>
      </c>
      <c r="L54" s="100">
        <v>0</v>
      </c>
      <c r="M54" s="100">
        <v>0</v>
      </c>
      <c r="N54" s="100">
        <v>0</v>
      </c>
      <c r="O54" s="100">
        <v>0</v>
      </c>
      <c r="P54" s="100">
        <v>0</v>
      </c>
      <c r="Q54" s="100">
        <v>0</v>
      </c>
      <c r="R54" s="100">
        <v>0</v>
      </c>
      <c r="S54" s="100">
        <v>0</v>
      </c>
      <c r="T54" s="114">
        <v>0</v>
      </c>
      <c r="U54" s="114">
        <v>0</v>
      </c>
      <c r="V54" s="100">
        <v>0</v>
      </c>
      <c r="W54" s="114">
        <v>0</v>
      </c>
      <c r="X54" s="114">
        <v>0</v>
      </c>
      <c r="Y54" s="114">
        <v>0</v>
      </c>
      <c r="Z54" s="114">
        <v>0</v>
      </c>
      <c r="AA54" s="114">
        <v>0</v>
      </c>
      <c r="AB54" s="114">
        <v>0</v>
      </c>
      <c r="AC54" s="114">
        <v>0</v>
      </c>
      <c r="AD54" s="114">
        <v>0</v>
      </c>
      <c r="AE54" s="114">
        <v>0</v>
      </c>
      <c r="AF54" s="114">
        <v>0</v>
      </c>
      <c r="AG54" s="114">
        <v>0</v>
      </c>
      <c r="AH54" s="100">
        <v>0</v>
      </c>
      <c r="AI54" s="100">
        <v>0</v>
      </c>
      <c r="AJ54" s="100">
        <v>0</v>
      </c>
      <c r="AK54" s="100">
        <v>0</v>
      </c>
      <c r="AL54" s="114">
        <v>0</v>
      </c>
      <c r="AM54" s="114">
        <v>0</v>
      </c>
      <c r="AN54" s="114">
        <v>0</v>
      </c>
      <c r="AO54" s="100">
        <v>0</v>
      </c>
      <c r="AP54" s="100">
        <v>0</v>
      </c>
      <c r="AQ54" s="100">
        <v>0</v>
      </c>
      <c r="AR54" s="235"/>
      <c r="AS54" s="203"/>
      <c r="AT54" s="117"/>
      <c r="AU54" s="117"/>
      <c r="AV54" s="118"/>
    </row>
    <row r="55" spans="1:50" s="123" customFormat="1" ht="183.75" customHeight="1">
      <c r="A55" s="144" t="s">
        <v>7</v>
      </c>
      <c r="B55" s="99" t="s">
        <v>292</v>
      </c>
      <c r="C55" s="145" t="s">
        <v>315</v>
      </c>
      <c r="D55" s="99" t="s">
        <v>268</v>
      </c>
      <c r="E55" s="100" t="s">
        <v>261</v>
      </c>
      <c r="F55" s="100" t="s">
        <v>261</v>
      </c>
      <c r="G55" s="100" t="s">
        <v>261</v>
      </c>
      <c r="H55" s="100" t="s">
        <v>261</v>
      </c>
      <c r="I55" s="100" t="s">
        <v>261</v>
      </c>
      <c r="J55" s="100" t="s">
        <v>261</v>
      </c>
      <c r="K55" s="100" t="s">
        <v>261</v>
      </c>
      <c r="L55" s="100" t="s">
        <v>261</v>
      </c>
      <c r="M55" s="100" t="s">
        <v>261</v>
      </c>
      <c r="N55" s="100" t="s">
        <v>261</v>
      </c>
      <c r="O55" s="100" t="s">
        <v>261</v>
      </c>
      <c r="P55" s="100" t="s">
        <v>261</v>
      </c>
      <c r="Q55" s="100" t="s">
        <v>261</v>
      </c>
      <c r="R55" s="100" t="s">
        <v>261</v>
      </c>
      <c r="S55" s="100" t="s">
        <v>261</v>
      </c>
      <c r="T55" s="100" t="s">
        <v>261</v>
      </c>
      <c r="U55" s="100" t="s">
        <v>261</v>
      </c>
      <c r="V55" s="100" t="s">
        <v>261</v>
      </c>
      <c r="W55" s="100" t="s">
        <v>261</v>
      </c>
      <c r="X55" s="100" t="s">
        <v>261</v>
      </c>
      <c r="Y55" s="100" t="s">
        <v>261</v>
      </c>
      <c r="Z55" s="100" t="s">
        <v>261</v>
      </c>
      <c r="AA55" s="100" t="s">
        <v>261</v>
      </c>
      <c r="AB55" s="100" t="s">
        <v>261</v>
      </c>
      <c r="AC55" s="100" t="s">
        <v>261</v>
      </c>
      <c r="AD55" s="100" t="s">
        <v>261</v>
      </c>
      <c r="AE55" s="100" t="s">
        <v>261</v>
      </c>
      <c r="AF55" s="100" t="s">
        <v>261</v>
      </c>
      <c r="AG55" s="100" t="s">
        <v>261</v>
      </c>
      <c r="AH55" s="100" t="s">
        <v>261</v>
      </c>
      <c r="AI55" s="100" t="s">
        <v>261</v>
      </c>
      <c r="AJ55" s="100" t="s">
        <v>261</v>
      </c>
      <c r="AK55" s="100" t="s">
        <v>261</v>
      </c>
      <c r="AL55" s="100" t="s">
        <v>261</v>
      </c>
      <c r="AM55" s="100" t="s">
        <v>261</v>
      </c>
      <c r="AN55" s="100" t="s">
        <v>261</v>
      </c>
      <c r="AO55" s="100" t="s">
        <v>261</v>
      </c>
      <c r="AP55" s="100"/>
      <c r="AQ55" s="100"/>
      <c r="AR55" s="155" t="s">
        <v>342</v>
      </c>
      <c r="AS55" s="98"/>
      <c r="AT55" s="117"/>
      <c r="AU55" s="117"/>
      <c r="AV55" s="118"/>
    </row>
    <row r="56" spans="1:50" s="119" customFormat="1" ht="12.75" customHeight="1">
      <c r="A56" s="255" t="s">
        <v>8</v>
      </c>
      <c r="B56" s="239" t="s">
        <v>293</v>
      </c>
      <c r="C56" s="199" t="s">
        <v>316</v>
      </c>
      <c r="D56" s="148" t="s">
        <v>269</v>
      </c>
      <c r="E56" s="96">
        <f>SUM(E57:E59)</f>
        <v>0</v>
      </c>
      <c r="F56" s="96">
        <f t="shared" ref="F56" si="78">SUM(F57:F59)</f>
        <v>0</v>
      </c>
      <c r="G56" s="96">
        <v>0</v>
      </c>
      <c r="H56" s="97">
        <f>H57+H58+H59</f>
        <v>0</v>
      </c>
      <c r="I56" s="97">
        <f>I57+I58+I59</f>
        <v>0</v>
      </c>
      <c r="J56" s="96">
        <v>0</v>
      </c>
      <c r="K56" s="97">
        <f>K57+K58+K59</f>
        <v>0</v>
      </c>
      <c r="L56" s="97">
        <f>L57+L58+L59</f>
        <v>0</v>
      </c>
      <c r="M56" s="97">
        <v>0</v>
      </c>
      <c r="N56" s="97">
        <f>N57+N58+N59</f>
        <v>0</v>
      </c>
      <c r="O56" s="97">
        <f>O57+O58+O59</f>
        <v>0</v>
      </c>
      <c r="P56" s="96">
        <v>0</v>
      </c>
      <c r="Q56" s="97">
        <f>Q57+Q58+Q59</f>
        <v>0</v>
      </c>
      <c r="R56" s="97">
        <f>R57+R58+R59</f>
        <v>0</v>
      </c>
      <c r="S56" s="97">
        <v>0</v>
      </c>
      <c r="T56" s="97">
        <f t="shared" ref="T56:AP56" si="79">T57+T58+T59</f>
        <v>0</v>
      </c>
      <c r="U56" s="97">
        <f t="shared" si="79"/>
        <v>0</v>
      </c>
      <c r="V56" s="97">
        <v>0</v>
      </c>
      <c r="W56" s="97">
        <f t="shared" si="79"/>
        <v>0</v>
      </c>
      <c r="X56" s="97">
        <f t="shared" si="79"/>
        <v>0</v>
      </c>
      <c r="Y56" s="97">
        <v>0</v>
      </c>
      <c r="Z56" s="97">
        <f t="shared" si="79"/>
        <v>0</v>
      </c>
      <c r="AA56" s="97">
        <f t="shared" si="79"/>
        <v>0</v>
      </c>
      <c r="AB56" s="97">
        <v>0</v>
      </c>
      <c r="AC56" s="97">
        <f t="shared" si="79"/>
        <v>0</v>
      </c>
      <c r="AD56" s="97">
        <f t="shared" si="79"/>
        <v>0</v>
      </c>
      <c r="AE56" s="97">
        <v>0</v>
      </c>
      <c r="AF56" s="97">
        <f t="shared" si="79"/>
        <v>0</v>
      </c>
      <c r="AG56" s="97">
        <f t="shared" si="79"/>
        <v>0</v>
      </c>
      <c r="AH56" s="95">
        <v>0</v>
      </c>
      <c r="AI56" s="97">
        <f t="shared" si="79"/>
        <v>0</v>
      </c>
      <c r="AJ56" s="97">
        <f t="shared" si="79"/>
        <v>0</v>
      </c>
      <c r="AK56" s="97">
        <v>0</v>
      </c>
      <c r="AL56" s="97">
        <f t="shared" si="79"/>
        <v>0</v>
      </c>
      <c r="AM56" s="97">
        <f t="shared" si="79"/>
        <v>0</v>
      </c>
      <c r="AN56" s="97">
        <v>0</v>
      </c>
      <c r="AO56" s="97">
        <f t="shared" si="79"/>
        <v>0</v>
      </c>
      <c r="AP56" s="97">
        <f t="shared" si="79"/>
        <v>0</v>
      </c>
      <c r="AQ56" s="96">
        <v>0</v>
      </c>
      <c r="AR56" s="214" t="s">
        <v>327</v>
      </c>
      <c r="AS56" s="205"/>
      <c r="AT56" s="117"/>
      <c r="AU56" s="117"/>
      <c r="AV56" s="118"/>
      <c r="AX56" s="117"/>
    </row>
    <row r="57" spans="1:50" s="119" customFormat="1" ht="48">
      <c r="A57" s="256"/>
      <c r="B57" s="240"/>
      <c r="C57" s="200"/>
      <c r="D57" s="109" t="s">
        <v>267</v>
      </c>
      <c r="E57" s="96">
        <f>H57+K57+N57+Q57+T57+W57+Z57+AC57+AF57+AI57+AL57+AO57</f>
        <v>0</v>
      </c>
      <c r="F57" s="96">
        <f>I57+L57+O57+R57+U57+X57+AA57+AD57+AG57+AJ57+AM57+AP57</f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110">
        <v>0</v>
      </c>
      <c r="U57" s="110">
        <v>0</v>
      </c>
      <c r="V57" s="95">
        <v>0</v>
      </c>
      <c r="W57" s="95">
        <v>0</v>
      </c>
      <c r="X57" s="95">
        <v>0</v>
      </c>
      <c r="Y57" s="95">
        <v>0</v>
      </c>
      <c r="Z57" s="96">
        <v>0</v>
      </c>
      <c r="AA57" s="96">
        <v>0</v>
      </c>
      <c r="AB57" s="95">
        <v>0</v>
      </c>
      <c r="AC57" s="110">
        <v>0</v>
      </c>
      <c r="AD57" s="110">
        <v>0</v>
      </c>
      <c r="AE57" s="95">
        <v>0</v>
      </c>
      <c r="AF57" s="110">
        <v>0</v>
      </c>
      <c r="AG57" s="111">
        <v>0</v>
      </c>
      <c r="AH57" s="96">
        <v>0</v>
      </c>
      <c r="AI57" s="110">
        <v>0</v>
      </c>
      <c r="AJ57" s="110">
        <v>0</v>
      </c>
      <c r="AK57" s="110">
        <v>0</v>
      </c>
      <c r="AL57" s="110">
        <v>0</v>
      </c>
      <c r="AM57" s="110">
        <v>0</v>
      </c>
      <c r="AN57" s="110">
        <v>0</v>
      </c>
      <c r="AO57" s="110">
        <v>0</v>
      </c>
      <c r="AP57" s="96">
        <v>0</v>
      </c>
      <c r="AQ57" s="96">
        <v>0</v>
      </c>
      <c r="AR57" s="215"/>
      <c r="AS57" s="206"/>
      <c r="AT57" s="117"/>
      <c r="AU57" s="117"/>
      <c r="AV57" s="118"/>
      <c r="AX57" s="117"/>
    </row>
    <row r="58" spans="1:50" s="119" customFormat="1" ht="22.5" customHeight="1">
      <c r="A58" s="256"/>
      <c r="B58" s="240"/>
      <c r="C58" s="200"/>
      <c r="D58" s="109" t="s">
        <v>280</v>
      </c>
      <c r="E58" s="96">
        <f t="shared" ref="E58:F59" si="80">H58+K58+N58+Q58+T58+W58+Z58+AC58+AF58+AI58+AL58+AO58</f>
        <v>0</v>
      </c>
      <c r="F58" s="96">
        <f t="shared" si="80"/>
        <v>0</v>
      </c>
      <c r="G58" s="96">
        <v>0</v>
      </c>
      <c r="H58" s="96">
        <v>0</v>
      </c>
      <c r="I58" s="96">
        <v>0</v>
      </c>
      <c r="J58" s="96">
        <v>0</v>
      </c>
      <c r="K58" s="96">
        <v>0</v>
      </c>
      <c r="L58" s="96">
        <v>0</v>
      </c>
      <c r="M58" s="96">
        <v>0</v>
      </c>
      <c r="N58" s="96">
        <v>0</v>
      </c>
      <c r="O58" s="96">
        <v>0</v>
      </c>
      <c r="P58" s="96">
        <v>0</v>
      </c>
      <c r="Q58" s="96">
        <v>0</v>
      </c>
      <c r="R58" s="96">
        <v>0</v>
      </c>
      <c r="S58" s="96">
        <v>0</v>
      </c>
      <c r="T58" s="110">
        <v>0</v>
      </c>
      <c r="U58" s="110">
        <v>0</v>
      </c>
      <c r="V58" s="95">
        <v>0</v>
      </c>
      <c r="W58" s="95">
        <v>0</v>
      </c>
      <c r="X58" s="95">
        <v>0</v>
      </c>
      <c r="Y58" s="95">
        <v>0</v>
      </c>
      <c r="Z58" s="96">
        <v>0</v>
      </c>
      <c r="AA58" s="96">
        <v>0</v>
      </c>
      <c r="AB58" s="95">
        <v>0</v>
      </c>
      <c r="AC58" s="110">
        <v>0</v>
      </c>
      <c r="AD58" s="110">
        <v>0</v>
      </c>
      <c r="AE58" s="95">
        <v>0</v>
      </c>
      <c r="AF58" s="110">
        <v>0</v>
      </c>
      <c r="AG58" s="111">
        <v>0</v>
      </c>
      <c r="AH58" s="96">
        <v>0</v>
      </c>
      <c r="AI58" s="110">
        <v>0</v>
      </c>
      <c r="AJ58" s="110">
        <v>0</v>
      </c>
      <c r="AK58" s="110">
        <v>0</v>
      </c>
      <c r="AL58" s="110">
        <v>0</v>
      </c>
      <c r="AM58" s="110">
        <v>0</v>
      </c>
      <c r="AN58" s="110">
        <v>0</v>
      </c>
      <c r="AO58" s="110">
        <v>0</v>
      </c>
      <c r="AP58" s="96">
        <v>0</v>
      </c>
      <c r="AQ58" s="96">
        <v>0</v>
      </c>
      <c r="AR58" s="215"/>
      <c r="AS58" s="206"/>
      <c r="AT58" s="117"/>
      <c r="AU58" s="117"/>
      <c r="AV58" s="118"/>
      <c r="AX58" s="117"/>
    </row>
    <row r="59" spans="1:50" s="119" customFormat="1" ht="29.25" customHeight="1">
      <c r="A59" s="256"/>
      <c r="B59" s="240"/>
      <c r="C59" s="200"/>
      <c r="D59" s="99" t="s">
        <v>255</v>
      </c>
      <c r="E59" s="96">
        <f t="shared" si="80"/>
        <v>0</v>
      </c>
      <c r="F59" s="96">
        <f t="shared" si="80"/>
        <v>0</v>
      </c>
      <c r="G59" s="96">
        <v>0</v>
      </c>
      <c r="H59" s="96">
        <v>0</v>
      </c>
      <c r="I59" s="96">
        <v>0</v>
      </c>
      <c r="J59" s="96">
        <v>0</v>
      </c>
      <c r="K59" s="97">
        <v>0</v>
      </c>
      <c r="L59" s="96">
        <v>0</v>
      </c>
      <c r="M59" s="96">
        <v>0</v>
      </c>
      <c r="N59" s="96">
        <v>0</v>
      </c>
      <c r="O59" s="96">
        <v>0</v>
      </c>
      <c r="P59" s="96">
        <v>0</v>
      </c>
      <c r="Q59" s="96">
        <v>0</v>
      </c>
      <c r="R59" s="96">
        <v>0</v>
      </c>
      <c r="S59" s="146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6">
        <v>0</v>
      </c>
      <c r="AJ59" s="96">
        <v>0</v>
      </c>
      <c r="AK59" s="96">
        <v>0</v>
      </c>
      <c r="AL59" s="95">
        <v>0</v>
      </c>
      <c r="AM59" s="95">
        <v>0</v>
      </c>
      <c r="AN59" s="95">
        <v>0</v>
      </c>
      <c r="AO59" s="96">
        <v>0</v>
      </c>
      <c r="AP59" s="96">
        <v>0</v>
      </c>
      <c r="AQ59" s="96">
        <v>0</v>
      </c>
      <c r="AR59" s="215"/>
      <c r="AS59" s="206"/>
      <c r="AT59" s="117"/>
      <c r="AU59" s="117"/>
      <c r="AV59" s="118"/>
      <c r="AX59" s="117"/>
    </row>
    <row r="60" spans="1:50" s="119" customFormat="1" ht="33" customHeight="1">
      <c r="A60" s="257"/>
      <c r="B60" s="241"/>
      <c r="C60" s="204"/>
      <c r="D60" s="99" t="s">
        <v>285</v>
      </c>
      <c r="E60" s="96">
        <f>H60+K60+N60+Q60+T60+W60+Z60+AC60+AF60+AI60+AL60+AO60</f>
        <v>0</v>
      </c>
      <c r="F60" s="96">
        <f>I60+L60+O60+R60+U60+X60+AA60+AD60+AG60+AJ60+AM60+AP60</f>
        <v>0</v>
      </c>
      <c r="G60" s="96">
        <v>0</v>
      </c>
      <c r="H60" s="96">
        <v>0</v>
      </c>
      <c r="I60" s="96">
        <v>0</v>
      </c>
      <c r="J60" s="96">
        <v>0</v>
      </c>
      <c r="K60" s="97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5">
        <v>0</v>
      </c>
      <c r="U60" s="95">
        <v>0</v>
      </c>
      <c r="V60" s="96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6">
        <v>0</v>
      </c>
      <c r="AI60" s="96">
        <v>0</v>
      </c>
      <c r="AJ60" s="96">
        <v>0</v>
      </c>
      <c r="AK60" s="96">
        <v>0</v>
      </c>
      <c r="AL60" s="95">
        <v>0</v>
      </c>
      <c r="AM60" s="95">
        <v>0</v>
      </c>
      <c r="AN60" s="95">
        <v>0</v>
      </c>
      <c r="AO60" s="96">
        <v>0</v>
      </c>
      <c r="AP60" s="96">
        <v>0</v>
      </c>
      <c r="AQ60" s="96">
        <v>0</v>
      </c>
      <c r="AR60" s="216"/>
      <c r="AS60" s="207"/>
      <c r="AT60" s="117"/>
      <c r="AU60" s="117"/>
      <c r="AV60" s="118"/>
    </row>
    <row r="61" spans="1:50" s="123" customFormat="1" ht="33.75" customHeight="1">
      <c r="A61" s="246" t="s">
        <v>294</v>
      </c>
      <c r="B61" s="249" t="s">
        <v>273</v>
      </c>
      <c r="C61" s="250"/>
      <c r="D61" s="106" t="s">
        <v>269</v>
      </c>
      <c r="E61" s="100">
        <f>E62+E63+E64</f>
        <v>745.30000000000007</v>
      </c>
      <c r="F61" s="100">
        <f>F62+F63+F64</f>
        <v>316.39999999999998</v>
      </c>
      <c r="G61" s="100">
        <f>F61/E61*100</f>
        <v>42.452703609284846</v>
      </c>
      <c r="H61" s="100">
        <f>H62+H63+H64</f>
        <v>0</v>
      </c>
      <c r="I61" s="100">
        <f>I62+I63+I64</f>
        <v>0</v>
      </c>
      <c r="J61" s="100">
        <v>0</v>
      </c>
      <c r="K61" s="100">
        <f>K62+K63+K64</f>
        <v>40</v>
      </c>
      <c r="L61" s="100">
        <f>L62+L63+L64</f>
        <v>40</v>
      </c>
      <c r="M61" s="100">
        <f>L61/K61*100</f>
        <v>100</v>
      </c>
      <c r="N61" s="100">
        <f>N62+N63+N64</f>
        <v>136.9</v>
      </c>
      <c r="O61" s="100">
        <f>O62+O63+O64</f>
        <v>136.9</v>
      </c>
      <c r="P61" s="100">
        <f>O61/N61*100</f>
        <v>100</v>
      </c>
      <c r="Q61" s="100">
        <f>Q62+Q63+Q64</f>
        <v>82.2</v>
      </c>
      <c r="R61" s="100">
        <f>R62+R63+R64</f>
        <v>13.5</v>
      </c>
      <c r="S61" s="100">
        <f>R61/Q61*100</f>
        <v>16.423357664233578</v>
      </c>
      <c r="T61" s="100">
        <f>T62+T63+T64</f>
        <v>120</v>
      </c>
      <c r="U61" s="100">
        <f>U62+U63+U64</f>
        <v>111</v>
      </c>
      <c r="V61" s="100">
        <f>U61/T61*100</f>
        <v>92.5</v>
      </c>
      <c r="W61" s="100">
        <f>W62+W63+W64</f>
        <v>44.400000000000006</v>
      </c>
      <c r="X61" s="100">
        <f>X62+X63+X64</f>
        <v>15</v>
      </c>
      <c r="Y61" s="100">
        <f>X61/W61*100</f>
        <v>33.783783783783775</v>
      </c>
      <c r="Z61" s="100">
        <f>Z62+Z63+Z64</f>
        <v>0</v>
      </c>
      <c r="AA61" s="100">
        <f>AA62+AA63+AA64</f>
        <v>0</v>
      </c>
      <c r="AB61" s="100" t="e">
        <f>AA61/Z61*100</f>
        <v>#DIV/0!</v>
      </c>
      <c r="AC61" s="100">
        <f>AC62+AC63+AC64</f>
        <v>82.2</v>
      </c>
      <c r="AD61" s="100">
        <f>AD62+AD63+AD64</f>
        <v>0</v>
      </c>
      <c r="AE61" s="100">
        <f>AD61/AC61*100</f>
        <v>0</v>
      </c>
      <c r="AF61" s="100">
        <f>AF62+AF63+AF64</f>
        <v>82.2</v>
      </c>
      <c r="AG61" s="100">
        <f>AG62+AG63+AG64</f>
        <v>0</v>
      </c>
      <c r="AH61" s="100">
        <f>AG61/AF61*100</f>
        <v>0</v>
      </c>
      <c r="AI61" s="100">
        <f>AI62+AI63+AI64</f>
        <v>82.2</v>
      </c>
      <c r="AJ61" s="100">
        <f>AJ62+AJ63+AJ64</f>
        <v>0</v>
      </c>
      <c r="AK61" s="100">
        <f>AJ61/AI61*100</f>
        <v>0</v>
      </c>
      <c r="AL61" s="100">
        <f>AL62+AL63+AL64</f>
        <v>75.2</v>
      </c>
      <c r="AM61" s="100">
        <f>AM62+AM63+AM64</f>
        <v>0</v>
      </c>
      <c r="AN61" s="100">
        <f>AM61/AL61*100</f>
        <v>0</v>
      </c>
      <c r="AO61" s="100">
        <f>AO62+AO63+AO64</f>
        <v>0</v>
      </c>
      <c r="AP61" s="100">
        <f>AP62+AP63+AP64</f>
        <v>0</v>
      </c>
      <c r="AQ61" s="100" t="e">
        <f>AP61/AO61*100</f>
        <v>#DIV/0!</v>
      </c>
      <c r="AR61" s="233"/>
      <c r="AS61" s="201"/>
      <c r="AT61" s="117"/>
      <c r="AU61" s="117"/>
      <c r="AV61" s="118"/>
    </row>
    <row r="62" spans="1:50" s="123" customFormat="1" ht="49.5" customHeight="1">
      <c r="A62" s="247"/>
      <c r="B62" s="251"/>
      <c r="C62" s="252"/>
      <c r="D62" s="107" t="s">
        <v>267</v>
      </c>
      <c r="E62" s="100">
        <f>E68</f>
        <v>0</v>
      </c>
      <c r="F62" s="100">
        <f t="shared" ref="F62:AQ63" si="81">F68</f>
        <v>0</v>
      </c>
      <c r="G62" s="100">
        <v>0</v>
      </c>
      <c r="H62" s="100">
        <f t="shared" si="81"/>
        <v>0</v>
      </c>
      <c r="I62" s="100">
        <f t="shared" si="81"/>
        <v>0</v>
      </c>
      <c r="J62" s="100">
        <v>0</v>
      </c>
      <c r="K62" s="100">
        <f t="shared" si="81"/>
        <v>0</v>
      </c>
      <c r="L62" s="100">
        <f t="shared" si="81"/>
        <v>0</v>
      </c>
      <c r="M62" s="100">
        <v>0</v>
      </c>
      <c r="N62" s="100">
        <f t="shared" si="81"/>
        <v>0</v>
      </c>
      <c r="O62" s="100">
        <f t="shared" si="81"/>
        <v>0</v>
      </c>
      <c r="P62" s="100">
        <v>0</v>
      </c>
      <c r="Q62" s="100">
        <f t="shared" si="81"/>
        <v>0</v>
      </c>
      <c r="R62" s="100">
        <f t="shared" si="81"/>
        <v>0</v>
      </c>
      <c r="S62" s="100">
        <f t="shared" si="81"/>
        <v>0</v>
      </c>
      <c r="T62" s="100">
        <f t="shared" si="81"/>
        <v>0</v>
      </c>
      <c r="U62" s="100">
        <f t="shared" si="81"/>
        <v>0</v>
      </c>
      <c r="V62" s="100">
        <f t="shared" si="81"/>
        <v>0</v>
      </c>
      <c r="W62" s="100">
        <f t="shared" si="81"/>
        <v>0</v>
      </c>
      <c r="X62" s="100">
        <f t="shared" si="81"/>
        <v>0</v>
      </c>
      <c r="Y62" s="100">
        <f t="shared" si="81"/>
        <v>0</v>
      </c>
      <c r="Z62" s="100">
        <f t="shared" si="81"/>
        <v>0</v>
      </c>
      <c r="AA62" s="100">
        <f t="shared" si="81"/>
        <v>0</v>
      </c>
      <c r="AB62" s="100">
        <f t="shared" si="81"/>
        <v>0</v>
      </c>
      <c r="AC62" s="100">
        <f t="shared" si="81"/>
        <v>0</v>
      </c>
      <c r="AD62" s="100">
        <f t="shared" si="81"/>
        <v>0</v>
      </c>
      <c r="AE62" s="100">
        <f t="shared" si="81"/>
        <v>0</v>
      </c>
      <c r="AF62" s="100">
        <f t="shared" si="81"/>
        <v>0</v>
      </c>
      <c r="AG62" s="100">
        <f t="shared" si="81"/>
        <v>0</v>
      </c>
      <c r="AH62" s="100">
        <f t="shared" si="81"/>
        <v>0</v>
      </c>
      <c r="AI62" s="100">
        <f t="shared" si="81"/>
        <v>0</v>
      </c>
      <c r="AJ62" s="100">
        <f t="shared" si="81"/>
        <v>0</v>
      </c>
      <c r="AK62" s="100">
        <f t="shared" si="81"/>
        <v>0</v>
      </c>
      <c r="AL62" s="100">
        <f t="shared" si="81"/>
        <v>0</v>
      </c>
      <c r="AM62" s="100">
        <f t="shared" si="81"/>
        <v>0</v>
      </c>
      <c r="AN62" s="100">
        <f t="shared" si="81"/>
        <v>0</v>
      </c>
      <c r="AO62" s="100">
        <f t="shared" si="81"/>
        <v>0</v>
      </c>
      <c r="AP62" s="100">
        <f t="shared" si="81"/>
        <v>0</v>
      </c>
      <c r="AQ62" s="100">
        <f t="shared" si="81"/>
        <v>0</v>
      </c>
      <c r="AR62" s="234"/>
      <c r="AS62" s="202"/>
      <c r="AT62" s="117"/>
      <c r="AU62" s="117"/>
      <c r="AV62" s="118"/>
    </row>
    <row r="63" spans="1:50" s="123" customFormat="1" ht="57" customHeight="1">
      <c r="A63" s="247"/>
      <c r="B63" s="251"/>
      <c r="C63" s="252"/>
      <c r="D63" s="107" t="s">
        <v>280</v>
      </c>
      <c r="E63" s="100">
        <f>E69</f>
        <v>745.30000000000007</v>
      </c>
      <c r="F63" s="100">
        <f t="shared" si="81"/>
        <v>316.39999999999998</v>
      </c>
      <c r="G63" s="100">
        <f>F63/E63*100</f>
        <v>42.452703609284846</v>
      </c>
      <c r="H63" s="100">
        <f t="shared" si="81"/>
        <v>0</v>
      </c>
      <c r="I63" s="100">
        <f t="shared" si="81"/>
        <v>0</v>
      </c>
      <c r="J63" s="100">
        <v>0</v>
      </c>
      <c r="K63" s="100">
        <f t="shared" si="81"/>
        <v>40</v>
      </c>
      <c r="L63" s="100">
        <f t="shared" si="81"/>
        <v>40</v>
      </c>
      <c r="M63" s="100">
        <f>L63/K63*100</f>
        <v>100</v>
      </c>
      <c r="N63" s="100">
        <f t="shared" si="81"/>
        <v>136.9</v>
      </c>
      <c r="O63" s="100">
        <f t="shared" si="81"/>
        <v>136.9</v>
      </c>
      <c r="P63" s="100">
        <f>O63/N63*100</f>
        <v>100</v>
      </c>
      <c r="Q63" s="100">
        <f t="shared" si="81"/>
        <v>82.2</v>
      </c>
      <c r="R63" s="100">
        <f t="shared" si="81"/>
        <v>13.5</v>
      </c>
      <c r="S63" s="100">
        <f>R63/Q63*100</f>
        <v>16.423357664233578</v>
      </c>
      <c r="T63" s="100">
        <f t="shared" si="81"/>
        <v>120</v>
      </c>
      <c r="U63" s="100">
        <f t="shared" si="81"/>
        <v>111</v>
      </c>
      <c r="V63" s="100">
        <f>U63/T63*100</f>
        <v>92.5</v>
      </c>
      <c r="W63" s="100">
        <f t="shared" si="81"/>
        <v>44.400000000000006</v>
      </c>
      <c r="X63" s="100">
        <f t="shared" si="81"/>
        <v>15</v>
      </c>
      <c r="Y63" s="100">
        <f>X63/W63*100</f>
        <v>33.783783783783775</v>
      </c>
      <c r="Z63" s="100">
        <f t="shared" si="81"/>
        <v>0</v>
      </c>
      <c r="AA63" s="100">
        <f t="shared" si="81"/>
        <v>0</v>
      </c>
      <c r="AB63" s="100" t="e">
        <f>AA63/Z63*100</f>
        <v>#DIV/0!</v>
      </c>
      <c r="AC63" s="100">
        <f t="shared" si="81"/>
        <v>82.2</v>
      </c>
      <c r="AD63" s="100">
        <f t="shared" si="81"/>
        <v>0</v>
      </c>
      <c r="AE63" s="100">
        <f>AD63/AC63*100</f>
        <v>0</v>
      </c>
      <c r="AF63" s="100">
        <f t="shared" si="81"/>
        <v>82.2</v>
      </c>
      <c r="AG63" s="100">
        <f t="shared" si="81"/>
        <v>0</v>
      </c>
      <c r="AH63" s="100">
        <f>AG63/AF63*100</f>
        <v>0</v>
      </c>
      <c r="AI63" s="100">
        <f>AI69</f>
        <v>82.2</v>
      </c>
      <c r="AJ63" s="100">
        <f t="shared" si="81"/>
        <v>0</v>
      </c>
      <c r="AK63" s="100">
        <f>AJ63/AI63*100</f>
        <v>0</v>
      </c>
      <c r="AL63" s="100">
        <f t="shared" si="81"/>
        <v>75.2</v>
      </c>
      <c r="AM63" s="100">
        <f t="shared" si="81"/>
        <v>0</v>
      </c>
      <c r="AN63" s="100">
        <f t="shared" si="81"/>
        <v>0</v>
      </c>
      <c r="AO63" s="100">
        <f t="shared" si="81"/>
        <v>0</v>
      </c>
      <c r="AP63" s="100">
        <f t="shared" si="81"/>
        <v>0</v>
      </c>
      <c r="AQ63" s="100" t="e">
        <f>AP63/AO63*100</f>
        <v>#DIV/0!</v>
      </c>
      <c r="AR63" s="234"/>
      <c r="AS63" s="202"/>
      <c r="AT63" s="117"/>
      <c r="AU63" s="117"/>
      <c r="AV63" s="118"/>
    </row>
    <row r="64" spans="1:50" s="123" customFormat="1" ht="12.75" customHeight="1">
      <c r="A64" s="247"/>
      <c r="B64" s="251"/>
      <c r="C64" s="252"/>
      <c r="D64" s="108" t="s">
        <v>255</v>
      </c>
      <c r="E64" s="100">
        <f>E70</f>
        <v>0</v>
      </c>
      <c r="F64" s="100">
        <f>F70</f>
        <v>0</v>
      </c>
      <c r="G64" s="100">
        <v>0</v>
      </c>
      <c r="H64" s="100">
        <f>H70</f>
        <v>0</v>
      </c>
      <c r="I64" s="100">
        <f>I70</f>
        <v>0</v>
      </c>
      <c r="J64" s="100">
        <f>J70</f>
        <v>0</v>
      </c>
      <c r="K64" s="100">
        <f>K70</f>
        <v>0</v>
      </c>
      <c r="L64" s="100">
        <f>L70</f>
        <v>0</v>
      </c>
      <c r="M64" s="100">
        <v>0</v>
      </c>
      <c r="N64" s="100">
        <f t="shared" ref="N64:AQ64" si="82">N70</f>
        <v>0</v>
      </c>
      <c r="O64" s="100">
        <f t="shared" si="82"/>
        <v>0</v>
      </c>
      <c r="P64" s="100">
        <f t="shared" si="82"/>
        <v>0</v>
      </c>
      <c r="Q64" s="100">
        <f t="shared" si="82"/>
        <v>0</v>
      </c>
      <c r="R64" s="100">
        <f t="shared" si="82"/>
        <v>0</v>
      </c>
      <c r="S64" s="100">
        <f t="shared" si="82"/>
        <v>0</v>
      </c>
      <c r="T64" s="100">
        <f t="shared" si="82"/>
        <v>0</v>
      </c>
      <c r="U64" s="100">
        <f t="shared" si="82"/>
        <v>0</v>
      </c>
      <c r="V64" s="100">
        <f t="shared" si="82"/>
        <v>0</v>
      </c>
      <c r="W64" s="100">
        <f t="shared" si="82"/>
        <v>0</v>
      </c>
      <c r="X64" s="100">
        <f t="shared" si="82"/>
        <v>0</v>
      </c>
      <c r="Y64" s="100">
        <f t="shared" si="82"/>
        <v>0</v>
      </c>
      <c r="Z64" s="100">
        <f t="shared" si="82"/>
        <v>0</v>
      </c>
      <c r="AA64" s="100">
        <f t="shared" si="82"/>
        <v>0</v>
      </c>
      <c r="AB64" s="100">
        <f t="shared" si="82"/>
        <v>0</v>
      </c>
      <c r="AC64" s="100">
        <f t="shared" si="82"/>
        <v>0</v>
      </c>
      <c r="AD64" s="100">
        <f t="shared" si="82"/>
        <v>0</v>
      </c>
      <c r="AE64" s="100">
        <f t="shared" si="82"/>
        <v>0</v>
      </c>
      <c r="AF64" s="100">
        <f t="shared" si="82"/>
        <v>0</v>
      </c>
      <c r="AG64" s="100">
        <f t="shared" si="82"/>
        <v>0</v>
      </c>
      <c r="AH64" s="100">
        <f t="shared" si="82"/>
        <v>0</v>
      </c>
      <c r="AI64" s="100">
        <f t="shared" si="82"/>
        <v>0</v>
      </c>
      <c r="AJ64" s="100">
        <f t="shared" si="82"/>
        <v>0</v>
      </c>
      <c r="AK64" s="100">
        <f t="shared" si="82"/>
        <v>0</v>
      </c>
      <c r="AL64" s="100">
        <f t="shared" si="82"/>
        <v>0</v>
      </c>
      <c r="AM64" s="100">
        <f t="shared" si="82"/>
        <v>0</v>
      </c>
      <c r="AN64" s="100">
        <f t="shared" si="82"/>
        <v>0</v>
      </c>
      <c r="AO64" s="100">
        <f t="shared" si="82"/>
        <v>0</v>
      </c>
      <c r="AP64" s="100">
        <f t="shared" si="82"/>
        <v>0</v>
      </c>
      <c r="AQ64" s="100">
        <f t="shared" si="82"/>
        <v>0</v>
      </c>
      <c r="AR64" s="234"/>
      <c r="AS64" s="202"/>
      <c r="AT64" s="117"/>
      <c r="AU64" s="117"/>
      <c r="AV64" s="118"/>
    </row>
    <row r="65" spans="1:50" s="123" customFormat="1" ht="24">
      <c r="A65" s="248"/>
      <c r="B65" s="253"/>
      <c r="C65" s="254"/>
      <c r="D65" s="108" t="s">
        <v>285</v>
      </c>
      <c r="E65" s="100">
        <f>H65+K65+N65+Q65+T65+W65+Z65+AC65+AF65+AI65+AL65+AO65</f>
        <v>0</v>
      </c>
      <c r="F65" s="100">
        <f>I65+L65+O65+R65+U65+X65+AA65+AD65+AG65+AJ65+AM65+AP65</f>
        <v>0</v>
      </c>
      <c r="G65" s="100">
        <v>0</v>
      </c>
      <c r="H65" s="100">
        <v>0</v>
      </c>
      <c r="I65" s="100">
        <v>0</v>
      </c>
      <c r="J65" s="100">
        <v>0</v>
      </c>
      <c r="K65" s="129">
        <v>0</v>
      </c>
      <c r="L65" s="100">
        <v>0</v>
      </c>
      <c r="M65" s="100">
        <v>0</v>
      </c>
      <c r="N65" s="100">
        <v>0</v>
      </c>
      <c r="O65" s="100">
        <v>0</v>
      </c>
      <c r="P65" s="100">
        <v>0</v>
      </c>
      <c r="Q65" s="100">
        <v>0</v>
      </c>
      <c r="R65" s="100">
        <v>0</v>
      </c>
      <c r="S65" s="100">
        <v>0</v>
      </c>
      <c r="T65" s="114">
        <v>0</v>
      </c>
      <c r="U65" s="114">
        <v>0</v>
      </c>
      <c r="V65" s="100">
        <v>0</v>
      </c>
      <c r="W65" s="114">
        <v>0</v>
      </c>
      <c r="X65" s="114">
        <v>0</v>
      </c>
      <c r="Y65" s="114">
        <v>0</v>
      </c>
      <c r="Z65" s="114">
        <v>0</v>
      </c>
      <c r="AA65" s="114">
        <v>0</v>
      </c>
      <c r="AB65" s="114">
        <v>0</v>
      </c>
      <c r="AC65" s="114">
        <v>0</v>
      </c>
      <c r="AD65" s="114">
        <v>0</v>
      </c>
      <c r="AE65" s="114">
        <v>0</v>
      </c>
      <c r="AF65" s="114">
        <v>0</v>
      </c>
      <c r="AG65" s="114">
        <v>0</v>
      </c>
      <c r="AH65" s="100">
        <v>0</v>
      </c>
      <c r="AI65" s="100">
        <v>0</v>
      </c>
      <c r="AJ65" s="100">
        <v>0</v>
      </c>
      <c r="AK65" s="100">
        <v>0</v>
      </c>
      <c r="AL65" s="114">
        <v>0</v>
      </c>
      <c r="AM65" s="114">
        <v>0</v>
      </c>
      <c r="AN65" s="114">
        <v>0</v>
      </c>
      <c r="AO65" s="100">
        <v>0</v>
      </c>
      <c r="AP65" s="100">
        <v>0</v>
      </c>
      <c r="AQ65" s="100">
        <v>0</v>
      </c>
      <c r="AR65" s="235"/>
      <c r="AS65" s="203"/>
      <c r="AT65" s="117"/>
      <c r="AU65" s="117"/>
      <c r="AV65" s="118"/>
    </row>
    <row r="66" spans="1:50" s="123" customFormat="1" ht="85.5" customHeight="1">
      <c r="A66" s="112" t="s">
        <v>17</v>
      </c>
      <c r="B66" s="99" t="s">
        <v>296</v>
      </c>
      <c r="C66" s="145" t="s">
        <v>317</v>
      </c>
      <c r="D66" s="99" t="s">
        <v>268</v>
      </c>
      <c r="E66" s="100" t="s">
        <v>261</v>
      </c>
      <c r="F66" s="100" t="s">
        <v>261</v>
      </c>
      <c r="G66" s="100" t="s">
        <v>261</v>
      </c>
      <c r="H66" s="100" t="s">
        <v>261</v>
      </c>
      <c r="I66" s="100" t="s">
        <v>261</v>
      </c>
      <c r="J66" s="100" t="s">
        <v>261</v>
      </c>
      <c r="K66" s="100" t="s">
        <v>261</v>
      </c>
      <c r="L66" s="100" t="s">
        <v>261</v>
      </c>
      <c r="M66" s="100" t="s">
        <v>261</v>
      </c>
      <c r="N66" s="100" t="s">
        <v>261</v>
      </c>
      <c r="O66" s="100" t="s">
        <v>261</v>
      </c>
      <c r="P66" s="100" t="s">
        <v>261</v>
      </c>
      <c r="Q66" s="100" t="s">
        <v>261</v>
      </c>
      <c r="R66" s="100" t="s">
        <v>261</v>
      </c>
      <c r="S66" s="100" t="s">
        <v>261</v>
      </c>
      <c r="T66" s="100" t="s">
        <v>261</v>
      </c>
      <c r="U66" s="100" t="s">
        <v>261</v>
      </c>
      <c r="V66" s="100" t="s">
        <v>261</v>
      </c>
      <c r="W66" s="100" t="s">
        <v>261</v>
      </c>
      <c r="X66" s="100" t="s">
        <v>261</v>
      </c>
      <c r="Y66" s="100" t="s">
        <v>261</v>
      </c>
      <c r="Z66" s="100" t="s">
        <v>261</v>
      </c>
      <c r="AA66" s="100" t="s">
        <v>261</v>
      </c>
      <c r="AB66" s="100" t="s">
        <v>261</v>
      </c>
      <c r="AC66" s="100" t="s">
        <v>261</v>
      </c>
      <c r="AD66" s="100" t="s">
        <v>261</v>
      </c>
      <c r="AE66" s="100" t="s">
        <v>261</v>
      </c>
      <c r="AF66" s="100" t="s">
        <v>261</v>
      </c>
      <c r="AG66" s="100" t="s">
        <v>261</v>
      </c>
      <c r="AH66" s="100" t="s">
        <v>261</v>
      </c>
      <c r="AI66" s="100" t="s">
        <v>261</v>
      </c>
      <c r="AJ66" s="100" t="s">
        <v>261</v>
      </c>
      <c r="AK66" s="100" t="s">
        <v>261</v>
      </c>
      <c r="AL66" s="100" t="s">
        <v>261</v>
      </c>
      <c r="AM66" s="100" t="s">
        <v>261</v>
      </c>
      <c r="AN66" s="100" t="s">
        <v>261</v>
      </c>
      <c r="AO66" s="100" t="s">
        <v>261</v>
      </c>
      <c r="AP66" s="100" t="s">
        <v>261</v>
      </c>
      <c r="AQ66" s="100" t="s">
        <v>261</v>
      </c>
      <c r="AR66" s="156" t="s">
        <v>328</v>
      </c>
      <c r="AS66" s="154"/>
      <c r="AT66" s="117"/>
      <c r="AU66" s="117"/>
      <c r="AV66" s="118"/>
    </row>
    <row r="67" spans="1:50" s="119" customFormat="1" ht="12.75" customHeight="1">
      <c r="A67" s="258" t="s">
        <v>295</v>
      </c>
      <c r="B67" s="239" t="s">
        <v>322</v>
      </c>
      <c r="C67" s="259" t="s">
        <v>318</v>
      </c>
      <c r="D67" s="148" t="s">
        <v>269</v>
      </c>
      <c r="E67" s="96">
        <f>E68+E69+E70+E71</f>
        <v>745.30000000000007</v>
      </c>
      <c r="F67" s="96">
        <f>F68+F69+F70+F71</f>
        <v>316.39999999999998</v>
      </c>
      <c r="G67" s="96">
        <f>F67/E67*100</f>
        <v>42.452703609284846</v>
      </c>
      <c r="H67" s="96">
        <f>H68+H69+H70+H71</f>
        <v>0</v>
      </c>
      <c r="I67" s="96">
        <f>I68+I69+I70+I71</f>
        <v>0</v>
      </c>
      <c r="J67" s="96">
        <v>0</v>
      </c>
      <c r="K67" s="96">
        <f>K68+K69+K70+K71</f>
        <v>40</v>
      </c>
      <c r="L67" s="96">
        <f>L68+L69+L70+L71</f>
        <v>40</v>
      </c>
      <c r="M67" s="96">
        <f>L67/K67*100</f>
        <v>100</v>
      </c>
      <c r="N67" s="96">
        <f>N68+N69+N70+N71</f>
        <v>136.9</v>
      </c>
      <c r="O67" s="96">
        <f>O68+O69+O70+O71</f>
        <v>136.9</v>
      </c>
      <c r="P67" s="96">
        <f>O67/N67*100</f>
        <v>100</v>
      </c>
      <c r="Q67" s="96">
        <f>Q68+Q69+Q70+Q71</f>
        <v>82.2</v>
      </c>
      <c r="R67" s="96">
        <f>R68+R69+R70+R71</f>
        <v>13.5</v>
      </c>
      <c r="S67" s="96">
        <f>R67/Q67*100</f>
        <v>16.423357664233578</v>
      </c>
      <c r="T67" s="96">
        <f>T68+T69+T70+T71</f>
        <v>120</v>
      </c>
      <c r="U67" s="96">
        <f>U68+U69+U70+U71</f>
        <v>111</v>
      </c>
      <c r="V67" s="96">
        <f>U67/T67*100</f>
        <v>92.5</v>
      </c>
      <c r="W67" s="96">
        <f>W68+W69+W70+W71</f>
        <v>44.400000000000006</v>
      </c>
      <c r="X67" s="96">
        <f>X68+X69+X70+X71</f>
        <v>15</v>
      </c>
      <c r="Y67" s="96">
        <f>X67/W67*100</f>
        <v>33.783783783783775</v>
      </c>
      <c r="Z67" s="96">
        <f>Z68+Z69+Z70+Z71</f>
        <v>0</v>
      </c>
      <c r="AA67" s="96">
        <f>AA68+AA69+AA70+AA71</f>
        <v>0</v>
      </c>
      <c r="AB67" s="96" t="e">
        <f>AA67/Z67*100</f>
        <v>#DIV/0!</v>
      </c>
      <c r="AC67" s="96">
        <f>AC68+AC69+AC70+AC71</f>
        <v>82.2</v>
      </c>
      <c r="AD67" s="96">
        <f>AD68+AD69+AD70+AD71</f>
        <v>0</v>
      </c>
      <c r="AE67" s="96">
        <f>AD67/AC67*100</f>
        <v>0</v>
      </c>
      <c r="AF67" s="96">
        <f>AF68+AF69+AF70+AF71</f>
        <v>82.2</v>
      </c>
      <c r="AG67" s="96">
        <f>AG68+AG69+AG70+AG71</f>
        <v>0</v>
      </c>
      <c r="AH67" s="96">
        <f>AG67/AF67*100</f>
        <v>0</v>
      </c>
      <c r="AI67" s="96">
        <f>AI68+AI69+AI70+AI71</f>
        <v>82.2</v>
      </c>
      <c r="AJ67" s="96">
        <f>AJ68+AJ69+AJ70+AJ71</f>
        <v>0</v>
      </c>
      <c r="AK67" s="96">
        <f>AJ67/AI67*100</f>
        <v>0</v>
      </c>
      <c r="AL67" s="96">
        <f>AL68+AL69+AL70+AL71</f>
        <v>75.2</v>
      </c>
      <c r="AM67" s="96">
        <f>AM68+AM69+AM70+AM71</f>
        <v>0</v>
      </c>
      <c r="AN67" s="96">
        <f>AM67/AL67*100</f>
        <v>0</v>
      </c>
      <c r="AO67" s="96">
        <f>AO68+AO69+AO70+AO71</f>
        <v>0</v>
      </c>
      <c r="AP67" s="97">
        <f>AP68+AP69+AP70</f>
        <v>0</v>
      </c>
      <c r="AQ67" s="100" t="e">
        <f>AP67/AO67*100</f>
        <v>#DIV/0!</v>
      </c>
      <c r="AR67" s="214" t="s">
        <v>335</v>
      </c>
      <c r="AS67" s="211" t="s">
        <v>339</v>
      </c>
      <c r="AT67" s="117"/>
      <c r="AU67" s="117"/>
      <c r="AV67" s="118"/>
      <c r="AX67" s="117"/>
    </row>
    <row r="68" spans="1:50" s="119" customFormat="1" ht="52.5" customHeight="1">
      <c r="A68" s="258"/>
      <c r="B68" s="240"/>
      <c r="C68" s="259"/>
      <c r="D68" s="109" t="s">
        <v>267</v>
      </c>
      <c r="E68" s="96">
        <f>H68+K68+N68+Q68+T68+W68+Z68+AC68+AF68+AI68+AL68+AO68</f>
        <v>0</v>
      </c>
      <c r="F68" s="96">
        <f>I68+L68+O68+R68+U68+X68+AA68+AD68+AG68+AJ68+AM68+AP68</f>
        <v>0</v>
      </c>
      <c r="G68" s="96">
        <v>0</v>
      </c>
      <c r="H68" s="96">
        <v>0</v>
      </c>
      <c r="I68" s="96">
        <v>0</v>
      </c>
      <c r="J68" s="96">
        <v>0</v>
      </c>
      <c r="K68" s="97">
        <v>0</v>
      </c>
      <c r="L68" s="96">
        <v>0</v>
      </c>
      <c r="M68" s="96">
        <v>0</v>
      </c>
      <c r="N68" s="96">
        <v>0</v>
      </c>
      <c r="O68" s="96">
        <v>0</v>
      </c>
      <c r="P68" s="96">
        <v>0</v>
      </c>
      <c r="Q68" s="96">
        <v>0</v>
      </c>
      <c r="R68" s="96">
        <v>0</v>
      </c>
      <c r="S68" s="96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6">
        <v>0</v>
      </c>
      <c r="AJ68" s="96">
        <v>0</v>
      </c>
      <c r="AK68" s="96">
        <v>0</v>
      </c>
      <c r="AL68" s="95">
        <v>0</v>
      </c>
      <c r="AM68" s="95">
        <v>0</v>
      </c>
      <c r="AN68" s="95">
        <v>0</v>
      </c>
      <c r="AO68" s="96">
        <v>0</v>
      </c>
      <c r="AP68" s="96">
        <v>0</v>
      </c>
      <c r="AQ68" s="96">
        <v>0</v>
      </c>
      <c r="AR68" s="215"/>
      <c r="AS68" s="212"/>
      <c r="AT68" s="117"/>
      <c r="AU68" s="117"/>
      <c r="AV68" s="118"/>
      <c r="AX68" s="117"/>
    </row>
    <row r="69" spans="1:50" s="119" customFormat="1" ht="14.25" customHeight="1">
      <c r="A69" s="258"/>
      <c r="B69" s="240"/>
      <c r="C69" s="259"/>
      <c r="D69" s="109" t="s">
        <v>280</v>
      </c>
      <c r="E69" s="96">
        <f t="shared" ref="E69:F70" si="83">H69+K69+N69+Q69+T69+W69+Z69+AC69+AF69+AI69+AL69+AO69</f>
        <v>745.30000000000007</v>
      </c>
      <c r="F69" s="96">
        <f t="shared" si="83"/>
        <v>316.39999999999998</v>
      </c>
      <c r="G69" s="96">
        <f>F69/E69*100</f>
        <v>42.452703609284846</v>
      </c>
      <c r="H69" s="96">
        <v>0</v>
      </c>
      <c r="I69" s="96">
        <v>0</v>
      </c>
      <c r="J69" s="96">
        <v>0</v>
      </c>
      <c r="K69" s="96">
        <v>40</v>
      </c>
      <c r="L69" s="96">
        <v>40</v>
      </c>
      <c r="M69" s="96">
        <f>L69/K69*100</f>
        <v>100</v>
      </c>
      <c r="N69" s="96">
        <f>43.7+89.2+4</f>
        <v>136.9</v>
      </c>
      <c r="O69" s="96">
        <v>136.9</v>
      </c>
      <c r="P69" s="96">
        <f>O69/N69*100</f>
        <v>100</v>
      </c>
      <c r="Q69" s="96">
        <v>82.2</v>
      </c>
      <c r="R69" s="96">
        <v>13.5</v>
      </c>
      <c r="S69" s="96">
        <f>R69/Q69*100</f>
        <v>16.423357664233578</v>
      </c>
      <c r="T69" s="110">
        <f>82.2+37.8</f>
        <v>120</v>
      </c>
      <c r="U69" s="110">
        <v>111</v>
      </c>
      <c r="V69" s="96">
        <f>U69/T69*100</f>
        <v>92.5</v>
      </c>
      <c r="W69" s="95">
        <f>82.2-37.8</f>
        <v>44.400000000000006</v>
      </c>
      <c r="X69" s="95">
        <v>15</v>
      </c>
      <c r="Y69" s="95">
        <f t="shared" ref="Y69" si="84">X69/W69*100</f>
        <v>33.783783783783775</v>
      </c>
      <c r="Z69" s="96">
        <v>0</v>
      </c>
      <c r="AA69" s="96">
        <v>0</v>
      </c>
      <c r="AB69" s="96" t="e">
        <f>AA69/Z69*100</f>
        <v>#DIV/0!</v>
      </c>
      <c r="AC69" s="110">
        <v>82.2</v>
      </c>
      <c r="AD69" s="110">
        <v>0</v>
      </c>
      <c r="AE69" s="95">
        <f>AD69/AC69*100</f>
        <v>0</v>
      </c>
      <c r="AF69" s="110">
        <v>82.2</v>
      </c>
      <c r="AG69" s="111">
        <v>0</v>
      </c>
      <c r="AH69" s="95">
        <f>AG69/AF69*100</f>
        <v>0</v>
      </c>
      <c r="AI69" s="110">
        <v>82.2</v>
      </c>
      <c r="AJ69" s="110">
        <v>0</v>
      </c>
      <c r="AK69" s="110">
        <f>AJ69/AI69*100</f>
        <v>0</v>
      </c>
      <c r="AL69" s="110">
        <f>82.2-7</f>
        <v>75.2</v>
      </c>
      <c r="AM69" s="110">
        <v>0</v>
      </c>
      <c r="AN69" s="96">
        <f>AM69/AL69*100</f>
        <v>0</v>
      </c>
      <c r="AO69" s="110">
        <f>82.2-82.2</f>
        <v>0</v>
      </c>
      <c r="AP69" s="96">
        <v>0</v>
      </c>
      <c r="AQ69" s="96" t="e">
        <f>AP69/AO69*100</f>
        <v>#DIV/0!</v>
      </c>
      <c r="AR69" s="215"/>
      <c r="AS69" s="212"/>
      <c r="AT69" s="117"/>
      <c r="AU69" s="117"/>
      <c r="AV69" s="117"/>
      <c r="AX69" s="117"/>
    </row>
    <row r="70" spans="1:50" s="119" customFormat="1" ht="12.75" customHeight="1">
      <c r="A70" s="258"/>
      <c r="B70" s="240"/>
      <c r="C70" s="259"/>
      <c r="D70" s="99" t="s">
        <v>255</v>
      </c>
      <c r="E70" s="96">
        <f t="shared" si="83"/>
        <v>0</v>
      </c>
      <c r="F70" s="96">
        <f t="shared" si="83"/>
        <v>0</v>
      </c>
      <c r="G70" s="96">
        <v>0</v>
      </c>
      <c r="H70" s="96">
        <v>0</v>
      </c>
      <c r="I70" s="96">
        <v>0</v>
      </c>
      <c r="J70" s="96">
        <v>0</v>
      </c>
      <c r="K70" s="97">
        <v>0</v>
      </c>
      <c r="L70" s="96">
        <v>0</v>
      </c>
      <c r="M70" s="96">
        <v>0</v>
      </c>
      <c r="N70" s="96">
        <v>0</v>
      </c>
      <c r="O70" s="96">
        <v>0</v>
      </c>
      <c r="P70" s="96">
        <v>0</v>
      </c>
      <c r="Q70" s="96">
        <v>0</v>
      </c>
      <c r="R70" s="96">
        <v>0</v>
      </c>
      <c r="S70" s="96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95">
        <v>0</v>
      </c>
      <c r="AD70" s="95">
        <v>0</v>
      </c>
      <c r="AE70" s="95">
        <v>0</v>
      </c>
      <c r="AF70" s="95">
        <v>0</v>
      </c>
      <c r="AG70" s="95">
        <v>0</v>
      </c>
      <c r="AH70" s="95">
        <v>0</v>
      </c>
      <c r="AI70" s="96">
        <v>0</v>
      </c>
      <c r="AJ70" s="96">
        <v>0</v>
      </c>
      <c r="AK70" s="96">
        <v>0</v>
      </c>
      <c r="AL70" s="95">
        <v>0</v>
      </c>
      <c r="AM70" s="95">
        <v>0</v>
      </c>
      <c r="AN70" s="95">
        <v>0</v>
      </c>
      <c r="AO70" s="96">
        <v>0</v>
      </c>
      <c r="AP70" s="96">
        <v>0</v>
      </c>
      <c r="AQ70" s="96">
        <v>0</v>
      </c>
      <c r="AR70" s="215"/>
      <c r="AS70" s="212"/>
      <c r="AT70" s="117"/>
      <c r="AU70" s="117"/>
      <c r="AV70" s="118"/>
      <c r="AX70" s="117"/>
    </row>
    <row r="71" spans="1:50" s="119" customFormat="1" ht="31.5" customHeight="1">
      <c r="A71" s="258"/>
      <c r="B71" s="241"/>
      <c r="C71" s="259"/>
      <c r="D71" s="99" t="s">
        <v>285</v>
      </c>
      <c r="E71" s="96">
        <f>H71+K71+N71+Q71+T71+W71+Z71+AC71+AF71+AI71+AL71+AO71</f>
        <v>0</v>
      </c>
      <c r="F71" s="96">
        <f>I71+L71+O71+R71+U71+X71+AA71+AD71+AG71+AJ71+AM71+AP71</f>
        <v>0</v>
      </c>
      <c r="G71" s="96">
        <v>0</v>
      </c>
      <c r="H71" s="96">
        <v>0</v>
      </c>
      <c r="I71" s="96">
        <v>0</v>
      </c>
      <c r="J71" s="96">
        <v>0</v>
      </c>
      <c r="K71" s="97">
        <v>0</v>
      </c>
      <c r="L71" s="96">
        <v>0</v>
      </c>
      <c r="M71" s="96">
        <v>0</v>
      </c>
      <c r="N71" s="96">
        <v>0</v>
      </c>
      <c r="O71" s="96">
        <v>0</v>
      </c>
      <c r="P71" s="96">
        <v>0</v>
      </c>
      <c r="Q71" s="96">
        <v>0</v>
      </c>
      <c r="R71" s="96">
        <v>0</v>
      </c>
      <c r="S71" s="96">
        <v>0</v>
      </c>
      <c r="T71" s="95">
        <v>0</v>
      </c>
      <c r="U71" s="95">
        <v>0</v>
      </c>
      <c r="V71" s="96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95">
        <v>0</v>
      </c>
      <c r="AD71" s="95">
        <v>0</v>
      </c>
      <c r="AE71" s="95">
        <v>0</v>
      </c>
      <c r="AF71" s="95">
        <v>0</v>
      </c>
      <c r="AG71" s="95">
        <v>0</v>
      </c>
      <c r="AH71" s="96">
        <v>0</v>
      </c>
      <c r="AI71" s="96">
        <v>0</v>
      </c>
      <c r="AJ71" s="96">
        <v>0</v>
      </c>
      <c r="AK71" s="96">
        <v>0</v>
      </c>
      <c r="AL71" s="95">
        <v>0</v>
      </c>
      <c r="AM71" s="95">
        <v>0</v>
      </c>
      <c r="AN71" s="95">
        <v>0</v>
      </c>
      <c r="AO71" s="96">
        <v>0</v>
      </c>
      <c r="AP71" s="96">
        <v>0</v>
      </c>
      <c r="AQ71" s="96">
        <v>0</v>
      </c>
      <c r="AR71" s="216"/>
      <c r="AS71" s="213"/>
      <c r="AT71" s="117"/>
      <c r="AU71" s="117"/>
      <c r="AV71" s="118"/>
    </row>
    <row r="72" spans="1:50" s="123" customFormat="1" ht="12.75" customHeight="1">
      <c r="A72" s="260" t="s">
        <v>270</v>
      </c>
      <c r="B72" s="260"/>
      <c r="C72" s="260"/>
      <c r="D72" s="108" t="s">
        <v>269</v>
      </c>
      <c r="E72" s="100">
        <f>E73+E74+E76</f>
        <v>453267.29999999993</v>
      </c>
      <c r="F72" s="100">
        <f>F73+F74+F76</f>
        <v>200328.50000000003</v>
      </c>
      <c r="G72" s="100">
        <f>F72/E72*100</f>
        <v>44.196548041299266</v>
      </c>
      <c r="H72" s="100">
        <f t="shared" ref="H72:I72" si="85">H73+H74+H76</f>
        <v>6558.8999999999987</v>
      </c>
      <c r="I72" s="100">
        <f t="shared" si="85"/>
        <v>6503.1999999999989</v>
      </c>
      <c r="J72" s="100">
        <f>I72/H72*100</f>
        <v>99.150772233148857</v>
      </c>
      <c r="K72" s="100">
        <f t="shared" ref="K72:L72" si="86">K73+K74+K76</f>
        <v>48179.100000000006</v>
      </c>
      <c r="L72" s="100">
        <f t="shared" si="86"/>
        <v>47124.600000000006</v>
      </c>
      <c r="M72" s="100">
        <f>L72/K72*100</f>
        <v>97.811291618149781</v>
      </c>
      <c r="N72" s="100">
        <f t="shared" ref="N72:O72" si="87">N73+N74+N76</f>
        <v>37555.799999999996</v>
      </c>
      <c r="O72" s="100">
        <f t="shared" si="87"/>
        <v>34575.700000000004</v>
      </c>
      <c r="P72" s="100">
        <f>O72/N72*100</f>
        <v>92.064874133955371</v>
      </c>
      <c r="Q72" s="100">
        <f t="shared" ref="Q72:R72" si="88">Q73+Q74+Q76</f>
        <v>34960.19999999999</v>
      </c>
      <c r="R72" s="100">
        <f t="shared" si="88"/>
        <v>32835.599999999999</v>
      </c>
      <c r="S72" s="100">
        <f>R72/Q72*100</f>
        <v>93.922803645288084</v>
      </c>
      <c r="T72" s="100">
        <f t="shared" ref="T72:U72" si="89">T73+T74+T76</f>
        <v>39032.999999999993</v>
      </c>
      <c r="U72" s="100">
        <f t="shared" si="89"/>
        <v>38074.5</v>
      </c>
      <c r="V72" s="100">
        <f>U72/T72*100</f>
        <v>97.544385519944683</v>
      </c>
      <c r="W72" s="100">
        <f t="shared" ref="W72" si="90">W73+W74+W76</f>
        <v>46048.700000000004</v>
      </c>
      <c r="X72" s="100">
        <f>X73+X74+X76</f>
        <v>41214.9</v>
      </c>
      <c r="Y72" s="100">
        <f>X72/W72*100</f>
        <v>89.502852414943305</v>
      </c>
      <c r="Z72" s="100">
        <f t="shared" ref="Z72:AA72" si="91">Z73+Z74+Z76</f>
        <v>38545.5</v>
      </c>
      <c r="AA72" s="100">
        <f t="shared" si="91"/>
        <v>0</v>
      </c>
      <c r="AB72" s="100">
        <f>AA72/Z72*100</f>
        <v>0</v>
      </c>
      <c r="AC72" s="100">
        <f t="shared" ref="AC72:AD72" si="92">AC73+AC74+AC76</f>
        <v>33346.299999999996</v>
      </c>
      <c r="AD72" s="100">
        <f t="shared" si="92"/>
        <v>0</v>
      </c>
      <c r="AE72" s="100">
        <f>AD72/AC72*100</f>
        <v>0</v>
      </c>
      <c r="AF72" s="100">
        <f t="shared" ref="AF72:AG72" si="93">AF73+AF74+AF76</f>
        <v>31866.3</v>
      </c>
      <c r="AG72" s="100">
        <f t="shared" si="93"/>
        <v>0</v>
      </c>
      <c r="AH72" s="100">
        <f>AG72/AF72*100</f>
        <v>0</v>
      </c>
      <c r="AI72" s="100">
        <f t="shared" ref="AI72:AJ72" si="94">AI73+AI74+AI76</f>
        <v>32417.400000000005</v>
      </c>
      <c r="AJ72" s="100">
        <f t="shared" si="94"/>
        <v>0</v>
      </c>
      <c r="AK72" s="100">
        <f>AJ72/AI72*100</f>
        <v>0</v>
      </c>
      <c r="AL72" s="100">
        <f t="shared" ref="AL72:AM72" si="95">AL73+AL74+AL76</f>
        <v>38227.499999999993</v>
      </c>
      <c r="AM72" s="100">
        <f t="shared" si="95"/>
        <v>0</v>
      </c>
      <c r="AN72" s="100">
        <f>AM72/AL72*100</f>
        <v>0</v>
      </c>
      <c r="AO72" s="100">
        <f t="shared" ref="AO72:AP72" si="96">AO73+AO74+AO76</f>
        <v>66528.599999999991</v>
      </c>
      <c r="AP72" s="100">
        <f t="shared" si="96"/>
        <v>0</v>
      </c>
      <c r="AQ72" s="115">
        <f>AP72/AO72*100</f>
        <v>0</v>
      </c>
      <c r="AR72" s="223"/>
      <c r="AS72" s="261"/>
      <c r="AT72" s="117"/>
      <c r="AU72" s="117"/>
      <c r="AV72" s="118"/>
    </row>
    <row r="73" spans="1:50" s="123" customFormat="1" ht="48">
      <c r="A73" s="260"/>
      <c r="B73" s="260"/>
      <c r="C73" s="260"/>
      <c r="D73" s="107" t="s">
        <v>267</v>
      </c>
      <c r="E73" s="100">
        <f>E12+E51+E62</f>
        <v>14139.900000000001</v>
      </c>
      <c r="F73" s="100">
        <f>F12+F51+F62</f>
        <v>3590</v>
      </c>
      <c r="G73" s="100">
        <f>F73/E73*100</f>
        <v>25.389147023670606</v>
      </c>
      <c r="H73" s="100">
        <f>H12+H51+H62</f>
        <v>75.600000000000023</v>
      </c>
      <c r="I73" s="100">
        <f>I12+I51+I62</f>
        <v>75.599999999999994</v>
      </c>
      <c r="J73" s="100">
        <f t="shared" ref="J73:J74" si="97">I73/H73*100</f>
        <v>99.999999999999972</v>
      </c>
      <c r="K73" s="100">
        <f>K12+K51+K62</f>
        <v>571.79999999999995</v>
      </c>
      <c r="L73" s="100">
        <f>L12+L51+L62</f>
        <v>537.9</v>
      </c>
      <c r="M73" s="100">
        <f t="shared" ref="M73:M76" si="98">L73/K73*100</f>
        <v>94.071353620146908</v>
      </c>
      <c r="N73" s="100">
        <f>N12+N51+N62</f>
        <v>729.2</v>
      </c>
      <c r="O73" s="100">
        <f>O12+O51+O62</f>
        <v>507</v>
      </c>
      <c r="P73" s="100">
        <f t="shared" ref="P73:P76" si="99">O73/N73*100</f>
        <v>69.528250137136581</v>
      </c>
      <c r="Q73" s="100">
        <f>Q12+Q51+Q62</f>
        <v>752.59999999999991</v>
      </c>
      <c r="R73" s="100">
        <f>R12+R51+R62</f>
        <v>504.7</v>
      </c>
      <c r="S73" s="100">
        <f t="shared" ref="S73:S76" si="100">R73/Q73*100</f>
        <v>67.060855700239173</v>
      </c>
      <c r="T73" s="100">
        <f>T12+T51+T62</f>
        <v>1149.8</v>
      </c>
      <c r="U73" s="100">
        <f>U12+U51+U62</f>
        <v>970.09999999999991</v>
      </c>
      <c r="V73" s="100">
        <f t="shared" ref="V73:V76" si="101">U73/T73*100</f>
        <v>84.371194990433125</v>
      </c>
      <c r="W73" s="100">
        <f>W12+W51+W62</f>
        <v>1504.5</v>
      </c>
      <c r="X73" s="100">
        <f>X12+X51+X62</f>
        <v>994.7</v>
      </c>
      <c r="Y73" s="100">
        <f t="shared" ref="Y73:Y76" si="102">X73/W73*100</f>
        <v>66.114988368228651</v>
      </c>
      <c r="Z73" s="100">
        <f t="shared" ref="Z73:AD74" si="103">Z12+Z51+Z62</f>
        <v>1961.6999999999998</v>
      </c>
      <c r="AA73" s="100">
        <f t="shared" si="103"/>
        <v>0</v>
      </c>
      <c r="AB73" s="100">
        <f t="shared" ref="AB73" si="104">AA73/Z73*100</f>
        <v>0</v>
      </c>
      <c r="AC73" s="100">
        <f t="shared" si="103"/>
        <v>2088.1</v>
      </c>
      <c r="AD73" s="100">
        <f t="shared" si="103"/>
        <v>0</v>
      </c>
      <c r="AE73" s="100">
        <f t="shared" ref="AE73:AE74" si="105">AD73/AC73*100</f>
        <v>0</v>
      </c>
      <c r="AF73" s="100">
        <f>AF12+AF51+AF62</f>
        <v>1683.8</v>
      </c>
      <c r="AG73" s="100">
        <f>AG12+AG51+AG62</f>
        <v>0</v>
      </c>
      <c r="AH73" s="100">
        <f t="shared" ref="AH73" si="106">AG73/AF73*100</f>
        <v>0</v>
      </c>
      <c r="AI73" s="100">
        <f t="shared" ref="AI73:AP74" si="107">AI12+AI51+AI62</f>
        <v>1334.6999999999998</v>
      </c>
      <c r="AJ73" s="100">
        <f t="shared" si="107"/>
        <v>0</v>
      </c>
      <c r="AK73" s="100">
        <f t="shared" ref="AK73" si="108">AJ73/AI73*100</f>
        <v>0</v>
      </c>
      <c r="AL73" s="100">
        <f t="shared" si="107"/>
        <v>1488.1999999999998</v>
      </c>
      <c r="AM73" s="100">
        <f t="shared" si="107"/>
        <v>0</v>
      </c>
      <c r="AN73" s="100">
        <f t="shared" ref="AN73" si="109">AM73/AL73*100</f>
        <v>0</v>
      </c>
      <c r="AO73" s="100">
        <f t="shared" si="107"/>
        <v>799.9</v>
      </c>
      <c r="AP73" s="100">
        <f t="shared" si="107"/>
        <v>0</v>
      </c>
      <c r="AQ73" s="100">
        <f t="shared" ref="AQ73:AQ74" si="110">AP73/AO73*100</f>
        <v>0</v>
      </c>
      <c r="AR73" s="223"/>
      <c r="AS73" s="261"/>
      <c r="AT73" s="117"/>
      <c r="AU73" s="117"/>
      <c r="AV73" s="118"/>
    </row>
    <row r="74" spans="1:50" s="123" customFormat="1" ht="12.75" customHeight="1">
      <c r="A74" s="260"/>
      <c r="B74" s="260"/>
      <c r="C74" s="260"/>
      <c r="D74" s="107" t="s">
        <v>280</v>
      </c>
      <c r="E74" s="100">
        <f>E13+E52+E63</f>
        <v>433717.29999999993</v>
      </c>
      <c r="F74" s="100">
        <f>F13+F52+F63</f>
        <v>194646.50000000003</v>
      </c>
      <c r="G74" s="100">
        <f>F74/E74*100</f>
        <v>44.87865713449753</v>
      </c>
      <c r="H74" s="100">
        <f>H13+H52+H63</f>
        <v>6483.2999999999984</v>
      </c>
      <c r="I74" s="100">
        <f>I13+I52+I63</f>
        <v>6427.5999999999985</v>
      </c>
      <c r="J74" s="100">
        <f t="shared" si="97"/>
        <v>99.14086961886693</v>
      </c>
      <c r="K74" s="100">
        <f>K13+K52+K63</f>
        <v>47492.100000000006</v>
      </c>
      <c r="L74" s="100">
        <f>L13+L52+L63</f>
        <v>46461.500000000007</v>
      </c>
      <c r="M74" s="100">
        <f t="shared" si="98"/>
        <v>97.829954876705813</v>
      </c>
      <c r="N74" s="100">
        <f>N13+N52+N63</f>
        <v>36157.4</v>
      </c>
      <c r="O74" s="100">
        <f>O13+O52+O63</f>
        <v>33432.600000000006</v>
      </c>
      <c r="P74" s="100">
        <f t="shared" si="99"/>
        <v>92.464059915812541</v>
      </c>
      <c r="Q74" s="100">
        <f>Q13+Q52+Q63</f>
        <v>33754.499999999993</v>
      </c>
      <c r="R74" s="100">
        <f>R13+R52+R63</f>
        <v>31992.999999999996</v>
      </c>
      <c r="S74" s="100">
        <f t="shared" si="100"/>
        <v>94.781436549200862</v>
      </c>
      <c r="T74" s="100">
        <f>T13+T52+T63</f>
        <v>37260.099999999991</v>
      </c>
      <c r="U74" s="100">
        <f>U13+U52+U63</f>
        <v>36656.6</v>
      </c>
      <c r="V74" s="100">
        <f t="shared" si="101"/>
        <v>98.380304937453218</v>
      </c>
      <c r="W74" s="100">
        <f>W13+W52+W63</f>
        <v>43939.700000000004</v>
      </c>
      <c r="X74" s="100">
        <f>X13+X52+X63</f>
        <v>39675.200000000004</v>
      </c>
      <c r="Y74" s="100">
        <f t="shared" si="102"/>
        <v>90.294653809652786</v>
      </c>
      <c r="Z74" s="100">
        <f t="shared" si="103"/>
        <v>36028.200000000004</v>
      </c>
      <c r="AA74" s="100">
        <f t="shared" si="103"/>
        <v>0</v>
      </c>
      <c r="AB74" s="100">
        <f>AA74/Z74*100</f>
        <v>0</v>
      </c>
      <c r="AC74" s="100">
        <f t="shared" si="103"/>
        <v>30506.3</v>
      </c>
      <c r="AD74" s="100">
        <f t="shared" si="103"/>
        <v>0</v>
      </c>
      <c r="AE74" s="100">
        <f t="shared" si="105"/>
        <v>0</v>
      </c>
      <c r="AF74" s="100">
        <f>AF13+AF52+AF63</f>
        <v>29901.7</v>
      </c>
      <c r="AG74" s="100">
        <f>AG13+AG52+AG63</f>
        <v>0</v>
      </c>
      <c r="AH74" s="100">
        <f>AG74/AF74*100</f>
        <v>0</v>
      </c>
      <c r="AI74" s="100">
        <f t="shared" si="107"/>
        <v>30629.400000000005</v>
      </c>
      <c r="AJ74" s="100">
        <f t="shared" si="107"/>
        <v>0</v>
      </c>
      <c r="AK74" s="100">
        <f>AJ74/AI74*100</f>
        <v>0</v>
      </c>
      <c r="AL74" s="100">
        <f t="shared" si="107"/>
        <v>36389.599999999999</v>
      </c>
      <c r="AM74" s="100">
        <f t="shared" si="107"/>
        <v>0</v>
      </c>
      <c r="AN74" s="100">
        <f>AM74/AL74*100</f>
        <v>0</v>
      </c>
      <c r="AO74" s="100">
        <f t="shared" si="107"/>
        <v>65175</v>
      </c>
      <c r="AP74" s="100">
        <f t="shared" si="107"/>
        <v>0</v>
      </c>
      <c r="AQ74" s="115">
        <f t="shared" si="110"/>
        <v>0</v>
      </c>
      <c r="AR74" s="223"/>
      <c r="AS74" s="261"/>
      <c r="AT74" s="117"/>
      <c r="AU74" s="117"/>
      <c r="AV74" s="118"/>
    </row>
    <row r="75" spans="1:50" s="123" customFormat="1" ht="48">
      <c r="A75" s="260"/>
      <c r="B75" s="260"/>
      <c r="C75" s="260"/>
      <c r="D75" s="138" t="s">
        <v>321</v>
      </c>
      <c r="E75" s="139">
        <f>H75+K75+N75+Q75+T75+W75+Z75+AC75+AF75+AI75+AL75+AO75</f>
        <v>66.2</v>
      </c>
      <c r="F75" s="139">
        <f>I75+L75+O75+R75+U75+X75+AA75+AD75+AG75+AJ75+AM75+AP75</f>
        <v>66.2</v>
      </c>
      <c r="G75" s="139">
        <f>F75/E75*100</f>
        <v>100</v>
      </c>
      <c r="H75" s="139">
        <f>H14</f>
        <v>0</v>
      </c>
      <c r="I75" s="139">
        <f>I14</f>
        <v>0</v>
      </c>
      <c r="J75" s="139">
        <v>0</v>
      </c>
      <c r="K75" s="139">
        <f>K14</f>
        <v>0</v>
      </c>
      <c r="L75" s="139">
        <f>L14</f>
        <v>0</v>
      </c>
      <c r="M75" s="139">
        <v>0</v>
      </c>
      <c r="N75" s="139">
        <f>N14</f>
        <v>66.2</v>
      </c>
      <c r="O75" s="139">
        <f>O14</f>
        <v>0</v>
      </c>
      <c r="P75" s="139">
        <f>O75/N75*100</f>
        <v>0</v>
      </c>
      <c r="Q75" s="139">
        <f t="shared" ref="Q75:AP75" si="111">Q14</f>
        <v>0</v>
      </c>
      <c r="R75" s="139">
        <f t="shared" si="111"/>
        <v>0</v>
      </c>
      <c r="S75" s="139">
        <v>0</v>
      </c>
      <c r="T75" s="139">
        <f t="shared" si="111"/>
        <v>0</v>
      </c>
      <c r="U75" s="139">
        <f t="shared" si="111"/>
        <v>0</v>
      </c>
      <c r="V75" s="139">
        <v>0</v>
      </c>
      <c r="W75" s="139">
        <f t="shared" si="111"/>
        <v>0</v>
      </c>
      <c r="X75" s="139">
        <f t="shared" si="111"/>
        <v>66.2</v>
      </c>
      <c r="Y75" s="139">
        <v>0</v>
      </c>
      <c r="Z75" s="139">
        <f t="shared" si="111"/>
        <v>0</v>
      </c>
      <c r="AA75" s="139">
        <f t="shared" si="111"/>
        <v>0</v>
      </c>
      <c r="AB75" s="139">
        <f t="shared" si="111"/>
        <v>0</v>
      </c>
      <c r="AC75" s="139">
        <f t="shared" si="111"/>
        <v>0</v>
      </c>
      <c r="AD75" s="139">
        <f t="shared" si="111"/>
        <v>0</v>
      </c>
      <c r="AE75" s="139">
        <f t="shared" si="111"/>
        <v>0</v>
      </c>
      <c r="AF75" s="139">
        <f t="shared" si="111"/>
        <v>0</v>
      </c>
      <c r="AG75" s="139">
        <f t="shared" si="111"/>
        <v>0</v>
      </c>
      <c r="AH75" s="139">
        <f t="shared" si="111"/>
        <v>0</v>
      </c>
      <c r="AI75" s="139">
        <f t="shared" si="111"/>
        <v>0</v>
      </c>
      <c r="AJ75" s="139">
        <f t="shared" si="111"/>
        <v>0</v>
      </c>
      <c r="AK75" s="139">
        <v>0</v>
      </c>
      <c r="AL75" s="139">
        <f t="shared" si="111"/>
        <v>0</v>
      </c>
      <c r="AM75" s="139">
        <f t="shared" si="111"/>
        <v>0</v>
      </c>
      <c r="AN75" s="139">
        <f t="shared" si="111"/>
        <v>0</v>
      </c>
      <c r="AO75" s="139">
        <f t="shared" si="111"/>
        <v>0</v>
      </c>
      <c r="AP75" s="139">
        <f t="shared" si="111"/>
        <v>0</v>
      </c>
      <c r="AQ75" s="115">
        <v>0</v>
      </c>
      <c r="AR75" s="223"/>
      <c r="AS75" s="261"/>
      <c r="AT75" s="117"/>
      <c r="AU75" s="117"/>
      <c r="AV75" s="118"/>
    </row>
    <row r="76" spans="1:50" s="123" customFormat="1" ht="24" customHeight="1">
      <c r="A76" s="260"/>
      <c r="B76" s="260"/>
      <c r="C76" s="260"/>
      <c r="D76" s="108" t="s">
        <v>255</v>
      </c>
      <c r="E76" s="100">
        <f>E15+E53+E64</f>
        <v>5410.0999999999995</v>
      </c>
      <c r="F76" s="100">
        <f>F15+F53+F64</f>
        <v>2092</v>
      </c>
      <c r="G76" s="100">
        <f>F76/E76*100</f>
        <v>38.668416480286879</v>
      </c>
      <c r="H76" s="100">
        <f>H15+H53+H64</f>
        <v>0</v>
      </c>
      <c r="I76" s="100">
        <f>I15+I53+I64</f>
        <v>0</v>
      </c>
      <c r="J76" s="100">
        <v>0</v>
      </c>
      <c r="K76" s="100">
        <f>K15+K53+K64</f>
        <v>115.2</v>
      </c>
      <c r="L76" s="100">
        <f>L15+L53+L64</f>
        <v>125.2</v>
      </c>
      <c r="M76" s="100">
        <f t="shared" si="98"/>
        <v>108.68055555555556</v>
      </c>
      <c r="N76" s="100">
        <f>N15+N53+N64</f>
        <v>669.2</v>
      </c>
      <c r="O76" s="100">
        <f>O15+O53+O64</f>
        <v>636.1</v>
      </c>
      <c r="P76" s="100">
        <f t="shared" si="99"/>
        <v>95.053795576808128</v>
      </c>
      <c r="Q76" s="100">
        <f>Q15+Q53+Q64</f>
        <v>453.1</v>
      </c>
      <c r="R76" s="100">
        <f>R15+R53+R64</f>
        <v>337.9</v>
      </c>
      <c r="S76" s="100">
        <f t="shared" si="100"/>
        <v>74.575148973736475</v>
      </c>
      <c r="T76" s="100">
        <f>T15+T53+T64</f>
        <v>623.1</v>
      </c>
      <c r="U76" s="100">
        <f>U15+U53+U64</f>
        <v>447.8</v>
      </c>
      <c r="V76" s="100">
        <f t="shared" si="101"/>
        <v>71.86647408120686</v>
      </c>
      <c r="W76" s="100">
        <f>W15+W53+W64</f>
        <v>604.5</v>
      </c>
      <c r="X76" s="100">
        <f>X15+X53+X64</f>
        <v>545</v>
      </c>
      <c r="Y76" s="100">
        <f t="shared" si="102"/>
        <v>90.157154673283699</v>
      </c>
      <c r="Z76" s="100">
        <f>Z15+Z53+Z64</f>
        <v>555.6</v>
      </c>
      <c r="AA76" s="100">
        <f>AA15+AA53+AA64</f>
        <v>0</v>
      </c>
      <c r="AB76" s="100">
        <f>AA76/Z76*100</f>
        <v>0</v>
      </c>
      <c r="AC76" s="100">
        <f>AC15+AC53+AC64</f>
        <v>751.90000000000009</v>
      </c>
      <c r="AD76" s="100">
        <f>AD15+AD53+AD64</f>
        <v>0</v>
      </c>
      <c r="AE76" s="100">
        <f>AD76/AC76*100</f>
        <v>0</v>
      </c>
      <c r="AF76" s="100">
        <f>AF15+AF53+AF64</f>
        <v>280.8</v>
      </c>
      <c r="AG76" s="100">
        <f>AG15+AG53+AG64</f>
        <v>0</v>
      </c>
      <c r="AH76" s="100">
        <f>AG76/AF76*100</f>
        <v>0</v>
      </c>
      <c r="AI76" s="100">
        <f>AI15+AI53+AI64</f>
        <v>453.3</v>
      </c>
      <c r="AJ76" s="100">
        <f>AJ15+AJ53+AJ64</f>
        <v>0</v>
      </c>
      <c r="AK76" s="100">
        <f>AJ76/AI76*100</f>
        <v>0</v>
      </c>
      <c r="AL76" s="100">
        <f>AL15+AL53+AL64</f>
        <v>349.7</v>
      </c>
      <c r="AM76" s="100">
        <f>AM15+AM53+AM64</f>
        <v>0</v>
      </c>
      <c r="AN76" s="100">
        <f>AM76/AL76*100</f>
        <v>0</v>
      </c>
      <c r="AO76" s="100">
        <f>AO15+AO53+AO64</f>
        <v>553.70000000000005</v>
      </c>
      <c r="AP76" s="100">
        <f>AP15+AP53+AP64</f>
        <v>0</v>
      </c>
      <c r="AQ76" s="115">
        <f>AP76/AO76*100</f>
        <v>0</v>
      </c>
      <c r="AR76" s="223"/>
      <c r="AS76" s="261"/>
      <c r="AT76" s="117"/>
      <c r="AU76" s="117"/>
      <c r="AV76" s="118"/>
    </row>
    <row r="77" spans="1:50" s="119" customFormat="1" ht="24">
      <c r="A77" s="260"/>
      <c r="B77" s="260"/>
      <c r="C77" s="260"/>
      <c r="D77" s="108" t="s">
        <v>285</v>
      </c>
      <c r="E77" s="100">
        <f>H77+K77+N77+Q77+T77+W77+Z77+AC77+AF77+AI77+AL77+AO77</f>
        <v>0</v>
      </c>
      <c r="F77" s="100">
        <f>I77+L77+O77+R77+U77+X77+AA77+AD77+AG77+AJ77+AM77+AP77</f>
        <v>0</v>
      </c>
      <c r="G77" s="100">
        <v>0</v>
      </c>
      <c r="H77" s="100">
        <v>0</v>
      </c>
      <c r="I77" s="100">
        <v>0</v>
      </c>
      <c r="J77" s="100">
        <v>0</v>
      </c>
      <c r="K77" s="129">
        <v>0</v>
      </c>
      <c r="L77" s="100">
        <v>0</v>
      </c>
      <c r="M77" s="100">
        <v>0</v>
      </c>
      <c r="N77" s="100">
        <v>0</v>
      </c>
      <c r="O77" s="100">
        <v>0</v>
      </c>
      <c r="P77" s="100">
        <v>0</v>
      </c>
      <c r="Q77" s="100">
        <v>0</v>
      </c>
      <c r="R77" s="100">
        <v>0</v>
      </c>
      <c r="S77" s="100">
        <v>0</v>
      </c>
      <c r="T77" s="114">
        <v>0</v>
      </c>
      <c r="U77" s="114">
        <v>0</v>
      </c>
      <c r="V77" s="100">
        <v>0</v>
      </c>
      <c r="W77" s="114">
        <v>0</v>
      </c>
      <c r="X77" s="114">
        <v>0</v>
      </c>
      <c r="Y77" s="114">
        <v>0</v>
      </c>
      <c r="Z77" s="114">
        <v>0</v>
      </c>
      <c r="AA77" s="114">
        <v>0</v>
      </c>
      <c r="AB77" s="114">
        <v>0</v>
      </c>
      <c r="AC77" s="114">
        <v>0</v>
      </c>
      <c r="AD77" s="114">
        <v>0</v>
      </c>
      <c r="AE77" s="114">
        <v>0</v>
      </c>
      <c r="AF77" s="114">
        <v>0</v>
      </c>
      <c r="AG77" s="114">
        <v>0</v>
      </c>
      <c r="AH77" s="100">
        <v>0</v>
      </c>
      <c r="AI77" s="100">
        <v>0</v>
      </c>
      <c r="AJ77" s="100">
        <v>0</v>
      </c>
      <c r="AK77" s="100">
        <v>0</v>
      </c>
      <c r="AL77" s="114">
        <v>0</v>
      </c>
      <c r="AM77" s="114">
        <v>0</v>
      </c>
      <c r="AN77" s="114">
        <v>0</v>
      </c>
      <c r="AO77" s="100">
        <v>0</v>
      </c>
      <c r="AP77" s="100">
        <v>0</v>
      </c>
      <c r="AQ77" s="100">
        <v>0</v>
      </c>
      <c r="AR77" s="223"/>
      <c r="AS77" s="261"/>
      <c r="AT77" s="117"/>
      <c r="AU77" s="117"/>
      <c r="AV77" s="118"/>
    </row>
    <row r="78" spans="1:50" s="123" customFormat="1" ht="12.75" customHeight="1">
      <c r="A78" s="260" t="s">
        <v>297</v>
      </c>
      <c r="B78" s="260"/>
      <c r="C78" s="260"/>
      <c r="D78" s="108" t="s">
        <v>269</v>
      </c>
      <c r="E78" s="100">
        <f>E79+E80+E81</f>
        <v>164.3</v>
      </c>
      <c r="F78" s="100">
        <f>F79+F80+F81</f>
        <v>0</v>
      </c>
      <c r="G78" s="100">
        <v>0</v>
      </c>
      <c r="H78" s="100">
        <f t="shared" ref="H78:I78" si="112">H79+H80+H81</f>
        <v>0</v>
      </c>
      <c r="I78" s="100">
        <f t="shared" si="112"/>
        <v>0</v>
      </c>
      <c r="J78" s="100">
        <v>0</v>
      </c>
      <c r="K78" s="100">
        <f t="shared" ref="K78:L78" si="113">K79+K80+K81</f>
        <v>0</v>
      </c>
      <c r="L78" s="100">
        <f t="shared" si="113"/>
        <v>0</v>
      </c>
      <c r="M78" s="100">
        <v>0</v>
      </c>
      <c r="N78" s="100">
        <f t="shared" ref="N78:O78" si="114">N79+N80+N81</f>
        <v>0</v>
      </c>
      <c r="O78" s="100">
        <f t="shared" si="114"/>
        <v>0</v>
      </c>
      <c r="P78" s="100">
        <v>0</v>
      </c>
      <c r="Q78" s="100">
        <f t="shared" ref="Q78:R78" si="115">Q79+Q80+Q81</f>
        <v>0</v>
      </c>
      <c r="R78" s="100">
        <f t="shared" si="115"/>
        <v>0</v>
      </c>
      <c r="S78" s="100">
        <v>0</v>
      </c>
      <c r="T78" s="100">
        <f t="shared" ref="T78:U78" si="116">T79+T80+T81</f>
        <v>164.3</v>
      </c>
      <c r="U78" s="100">
        <f t="shared" si="116"/>
        <v>0</v>
      </c>
      <c r="V78" s="100">
        <v>0</v>
      </c>
      <c r="W78" s="100">
        <f t="shared" ref="W78:X78" si="117">W79+W80+W81</f>
        <v>0</v>
      </c>
      <c r="X78" s="100">
        <f t="shared" si="117"/>
        <v>0</v>
      </c>
      <c r="Y78" s="100">
        <v>0</v>
      </c>
      <c r="Z78" s="100">
        <f t="shared" ref="Z78:AA78" si="118">Z79+Z80+Z81</f>
        <v>0</v>
      </c>
      <c r="AA78" s="100">
        <f t="shared" si="118"/>
        <v>0</v>
      </c>
      <c r="AB78" s="100">
        <v>0</v>
      </c>
      <c r="AC78" s="100">
        <f t="shared" ref="AC78:AD78" si="119">AC79+AC80+AC81</f>
        <v>0</v>
      </c>
      <c r="AD78" s="100">
        <f t="shared" si="119"/>
        <v>0</v>
      </c>
      <c r="AE78" s="100">
        <v>0</v>
      </c>
      <c r="AF78" s="100">
        <f t="shared" ref="AF78:AG78" si="120">AF79+AF80+AF81</f>
        <v>0</v>
      </c>
      <c r="AG78" s="100">
        <f t="shared" si="120"/>
        <v>0</v>
      </c>
      <c r="AH78" s="100">
        <v>0</v>
      </c>
      <c r="AI78" s="100">
        <f t="shared" ref="AI78:AJ78" si="121">AI79+AI80+AI81</f>
        <v>0</v>
      </c>
      <c r="AJ78" s="100">
        <f t="shared" si="121"/>
        <v>0</v>
      </c>
      <c r="AK78" s="100">
        <v>0</v>
      </c>
      <c r="AL78" s="100">
        <f t="shared" ref="AL78:AM78" si="122">AL79+AL80+AL81</f>
        <v>0</v>
      </c>
      <c r="AM78" s="100">
        <f t="shared" si="122"/>
        <v>0</v>
      </c>
      <c r="AN78" s="100">
        <v>0</v>
      </c>
      <c r="AO78" s="100">
        <f t="shared" ref="AO78:AP78" si="123">AO79+AO80+AO81</f>
        <v>0</v>
      </c>
      <c r="AP78" s="100">
        <f t="shared" si="123"/>
        <v>0</v>
      </c>
      <c r="AQ78" s="100">
        <v>0</v>
      </c>
      <c r="AR78" s="223"/>
      <c r="AS78" s="261"/>
      <c r="AT78" s="117"/>
      <c r="AU78" s="117"/>
      <c r="AV78" s="118"/>
    </row>
    <row r="79" spans="1:50" s="123" customFormat="1" ht="48">
      <c r="A79" s="260"/>
      <c r="B79" s="260"/>
      <c r="C79" s="260"/>
      <c r="D79" s="107" t="s">
        <v>267</v>
      </c>
      <c r="E79" s="100">
        <f>H79+K79+N79+Q79+T79+W79+Z79+AC79+AF79+AI79+AL79+AO79</f>
        <v>0</v>
      </c>
      <c r="F79" s="100">
        <f>I79+L79+O79+R79+U79+X79+AA79+AD79+AG79+AJ79+AM79+AP79</f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100">
        <v>0</v>
      </c>
      <c r="P79" s="100">
        <v>0</v>
      </c>
      <c r="Q79" s="100">
        <v>0</v>
      </c>
      <c r="R79" s="100">
        <v>0</v>
      </c>
      <c r="S79" s="100">
        <v>0</v>
      </c>
      <c r="T79" s="100">
        <v>0</v>
      </c>
      <c r="U79" s="100">
        <v>0</v>
      </c>
      <c r="V79" s="100">
        <v>0</v>
      </c>
      <c r="W79" s="100">
        <v>0</v>
      </c>
      <c r="X79" s="100">
        <v>0</v>
      </c>
      <c r="Y79" s="100">
        <v>0</v>
      </c>
      <c r="Z79" s="100">
        <v>0</v>
      </c>
      <c r="AA79" s="100">
        <v>0</v>
      </c>
      <c r="AB79" s="100">
        <v>0</v>
      </c>
      <c r="AC79" s="100">
        <v>0</v>
      </c>
      <c r="AD79" s="100">
        <v>0</v>
      </c>
      <c r="AE79" s="100">
        <v>0</v>
      </c>
      <c r="AF79" s="100">
        <v>0</v>
      </c>
      <c r="AG79" s="100">
        <v>0</v>
      </c>
      <c r="AH79" s="100">
        <v>0</v>
      </c>
      <c r="AI79" s="100">
        <v>0</v>
      </c>
      <c r="AJ79" s="100">
        <v>0</v>
      </c>
      <c r="AK79" s="100">
        <v>0</v>
      </c>
      <c r="AL79" s="100">
        <v>0</v>
      </c>
      <c r="AM79" s="100">
        <v>0</v>
      </c>
      <c r="AN79" s="100">
        <v>0</v>
      </c>
      <c r="AO79" s="100">
        <v>0</v>
      </c>
      <c r="AP79" s="100">
        <v>0</v>
      </c>
      <c r="AQ79" s="100">
        <v>0</v>
      </c>
      <c r="AR79" s="223"/>
      <c r="AS79" s="261"/>
      <c r="AT79" s="117"/>
      <c r="AU79" s="117"/>
      <c r="AV79" s="118"/>
    </row>
    <row r="80" spans="1:50" s="123" customFormat="1" ht="12.75" customHeight="1">
      <c r="A80" s="260"/>
      <c r="B80" s="260"/>
      <c r="C80" s="260"/>
      <c r="D80" s="107" t="s">
        <v>280</v>
      </c>
      <c r="E80" s="100">
        <f t="shared" ref="E80:F81" si="124">H80+K80+N80+Q80+T80+W80+Z80+AC80+AF80+AI80+AL80+AO80</f>
        <v>164.3</v>
      </c>
      <c r="F80" s="100">
        <f t="shared" si="124"/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  <c r="M80" s="100">
        <v>0</v>
      </c>
      <c r="N80" s="100">
        <v>0</v>
      </c>
      <c r="O80" s="100">
        <v>0</v>
      </c>
      <c r="P80" s="100">
        <v>0</v>
      </c>
      <c r="Q80" s="100">
        <v>0</v>
      </c>
      <c r="R80" s="100">
        <v>0</v>
      </c>
      <c r="S80" s="100">
        <v>0</v>
      </c>
      <c r="T80" s="100">
        <v>164.3</v>
      </c>
      <c r="U80" s="100">
        <v>0</v>
      </c>
      <c r="V80" s="100">
        <v>0</v>
      </c>
      <c r="W80" s="100">
        <v>0</v>
      </c>
      <c r="X80" s="100">
        <v>0</v>
      </c>
      <c r="Y80" s="100">
        <v>0</v>
      </c>
      <c r="Z80" s="100">
        <v>0</v>
      </c>
      <c r="AA80" s="100">
        <v>0</v>
      </c>
      <c r="AB80" s="100">
        <v>0</v>
      </c>
      <c r="AC80" s="100">
        <v>0</v>
      </c>
      <c r="AD80" s="100">
        <v>0</v>
      </c>
      <c r="AE80" s="100">
        <v>0</v>
      </c>
      <c r="AF80" s="100">
        <v>0</v>
      </c>
      <c r="AG80" s="100">
        <v>0</v>
      </c>
      <c r="AH80" s="100">
        <v>0</v>
      </c>
      <c r="AI80" s="100">
        <v>0</v>
      </c>
      <c r="AJ80" s="100">
        <v>0</v>
      </c>
      <c r="AK80" s="100">
        <v>0</v>
      </c>
      <c r="AL80" s="100">
        <v>0</v>
      </c>
      <c r="AM80" s="100">
        <v>0</v>
      </c>
      <c r="AN80" s="100">
        <v>0</v>
      </c>
      <c r="AO80" s="100">
        <v>0</v>
      </c>
      <c r="AP80" s="100">
        <v>0</v>
      </c>
      <c r="AQ80" s="100">
        <v>0</v>
      </c>
      <c r="AR80" s="223"/>
      <c r="AS80" s="261"/>
      <c r="AT80" s="117"/>
      <c r="AU80" s="117"/>
      <c r="AV80" s="118"/>
    </row>
    <row r="81" spans="1:48" s="123" customFormat="1" ht="28.5" customHeight="1">
      <c r="A81" s="260"/>
      <c r="B81" s="260"/>
      <c r="C81" s="260"/>
      <c r="D81" s="108" t="s">
        <v>255</v>
      </c>
      <c r="E81" s="100">
        <f t="shared" si="124"/>
        <v>0</v>
      </c>
      <c r="F81" s="100">
        <f t="shared" si="124"/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  <c r="Q81" s="100">
        <v>0</v>
      </c>
      <c r="R81" s="100">
        <v>0</v>
      </c>
      <c r="S81" s="100">
        <v>0</v>
      </c>
      <c r="T81" s="100">
        <v>0</v>
      </c>
      <c r="U81" s="100">
        <v>0</v>
      </c>
      <c r="V81" s="100">
        <v>0</v>
      </c>
      <c r="W81" s="100">
        <v>0</v>
      </c>
      <c r="X81" s="100">
        <v>0</v>
      </c>
      <c r="Y81" s="100">
        <v>0</v>
      </c>
      <c r="Z81" s="100">
        <v>0</v>
      </c>
      <c r="AA81" s="100">
        <v>0</v>
      </c>
      <c r="AB81" s="100">
        <v>0</v>
      </c>
      <c r="AC81" s="100">
        <v>0</v>
      </c>
      <c r="AD81" s="100">
        <v>0</v>
      </c>
      <c r="AE81" s="100">
        <v>0</v>
      </c>
      <c r="AF81" s="100">
        <v>0</v>
      </c>
      <c r="AG81" s="100">
        <v>0</v>
      </c>
      <c r="AH81" s="100">
        <v>0</v>
      </c>
      <c r="AI81" s="100">
        <v>0</v>
      </c>
      <c r="AJ81" s="100">
        <v>0</v>
      </c>
      <c r="AK81" s="100">
        <v>0</v>
      </c>
      <c r="AL81" s="100">
        <v>0</v>
      </c>
      <c r="AM81" s="100">
        <v>0</v>
      </c>
      <c r="AN81" s="100">
        <v>0</v>
      </c>
      <c r="AO81" s="100">
        <v>0</v>
      </c>
      <c r="AP81" s="100">
        <v>0</v>
      </c>
      <c r="AQ81" s="100">
        <v>0</v>
      </c>
      <c r="AR81" s="223"/>
      <c r="AS81" s="261"/>
      <c r="AT81" s="117"/>
      <c r="AU81" s="117"/>
      <c r="AV81" s="118"/>
    </row>
    <row r="82" spans="1:48" s="119" customFormat="1" ht="49.5" customHeight="1">
      <c r="A82" s="260"/>
      <c r="B82" s="260"/>
      <c r="C82" s="260"/>
      <c r="D82" s="108" t="s">
        <v>285</v>
      </c>
      <c r="E82" s="100">
        <f>H82+K82+N82+Q82+T82+W82+Z82+AC82+AF82+AI82+AL82+AO82</f>
        <v>0</v>
      </c>
      <c r="F82" s="100">
        <f>I82+L82+O82+R82+U82+X82+AA82+AD82+AG82+AJ82+AM82+AP82</f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0</v>
      </c>
      <c r="L82" s="100">
        <v>0</v>
      </c>
      <c r="M82" s="100">
        <v>0</v>
      </c>
      <c r="N82" s="100">
        <v>0</v>
      </c>
      <c r="O82" s="100">
        <v>0</v>
      </c>
      <c r="P82" s="100">
        <v>0</v>
      </c>
      <c r="Q82" s="100">
        <v>0</v>
      </c>
      <c r="R82" s="100">
        <v>0</v>
      </c>
      <c r="S82" s="100">
        <v>0</v>
      </c>
      <c r="T82" s="100">
        <v>0</v>
      </c>
      <c r="U82" s="100">
        <v>0</v>
      </c>
      <c r="V82" s="100">
        <v>0</v>
      </c>
      <c r="W82" s="100">
        <v>0</v>
      </c>
      <c r="X82" s="100">
        <v>0</v>
      </c>
      <c r="Y82" s="100">
        <v>0</v>
      </c>
      <c r="Z82" s="100">
        <v>0</v>
      </c>
      <c r="AA82" s="100">
        <v>0</v>
      </c>
      <c r="AB82" s="100">
        <v>0</v>
      </c>
      <c r="AC82" s="100">
        <v>0</v>
      </c>
      <c r="AD82" s="100">
        <v>0</v>
      </c>
      <c r="AE82" s="100">
        <v>0</v>
      </c>
      <c r="AF82" s="100">
        <v>0</v>
      </c>
      <c r="AG82" s="100">
        <v>0</v>
      </c>
      <c r="AH82" s="100">
        <v>0</v>
      </c>
      <c r="AI82" s="100">
        <v>0</v>
      </c>
      <c r="AJ82" s="100">
        <v>0</v>
      </c>
      <c r="AK82" s="100">
        <v>0</v>
      </c>
      <c r="AL82" s="100">
        <v>0</v>
      </c>
      <c r="AM82" s="100">
        <v>0</v>
      </c>
      <c r="AN82" s="100">
        <v>0</v>
      </c>
      <c r="AO82" s="100">
        <v>0</v>
      </c>
      <c r="AP82" s="100">
        <v>0</v>
      </c>
      <c r="AQ82" s="100">
        <v>0</v>
      </c>
      <c r="AR82" s="223"/>
      <c r="AS82" s="261"/>
      <c r="AT82" s="117"/>
      <c r="AU82" s="117"/>
      <c r="AV82" s="118"/>
    </row>
    <row r="83" spans="1:48" s="123" customFormat="1" ht="26.25" customHeight="1">
      <c r="A83" s="260" t="s">
        <v>298</v>
      </c>
      <c r="B83" s="260"/>
      <c r="C83" s="260"/>
      <c r="D83" s="108" t="s">
        <v>269</v>
      </c>
      <c r="E83" s="100">
        <f>E84+E85+E86</f>
        <v>453103</v>
      </c>
      <c r="F83" s="100">
        <f>F84+F85+F86</f>
        <v>200328.50000000003</v>
      </c>
      <c r="G83" s="100">
        <f>F83/E83*100</f>
        <v>44.212574182912064</v>
      </c>
      <c r="H83" s="100">
        <f>H84+H85+H86</f>
        <v>6558.8999999999987</v>
      </c>
      <c r="I83" s="100">
        <f>I84+I85+I86</f>
        <v>6503.1999999999989</v>
      </c>
      <c r="J83" s="100">
        <f>I83/H83*100</f>
        <v>99.150772233148857</v>
      </c>
      <c r="K83" s="100">
        <f>K84+K85+K86</f>
        <v>48179.100000000006</v>
      </c>
      <c r="L83" s="100">
        <f>L84+L85+L86</f>
        <v>47124.600000000006</v>
      </c>
      <c r="M83" s="100">
        <f>L83/K83*100</f>
        <v>97.811291618149781</v>
      </c>
      <c r="N83" s="100">
        <f>N84+N85+N86</f>
        <v>37555.799999999996</v>
      </c>
      <c r="O83" s="100">
        <f>O84+O85+O86</f>
        <v>34575.700000000004</v>
      </c>
      <c r="P83" s="100">
        <f>O83/N83*100</f>
        <v>92.064874133955371</v>
      </c>
      <c r="Q83" s="100">
        <f>Q84+Q85+Q86</f>
        <v>34960.19999999999</v>
      </c>
      <c r="R83" s="100">
        <f>R84+R85+R86</f>
        <v>32835.599999999999</v>
      </c>
      <c r="S83" s="100">
        <f>R83/Q83*100</f>
        <v>93.922803645288084</v>
      </c>
      <c r="T83" s="100">
        <f>T84+T85+T86</f>
        <v>38868.69999999999</v>
      </c>
      <c r="U83" s="100">
        <f>U84+U85+U86</f>
        <v>38074.5</v>
      </c>
      <c r="V83" s="100">
        <f>U83/T83*100</f>
        <v>97.956710669510443</v>
      </c>
      <c r="W83" s="100">
        <f>W84+W85+W86</f>
        <v>46048.700000000004</v>
      </c>
      <c r="X83" s="100">
        <f>X84+X85+X86</f>
        <v>41214.9</v>
      </c>
      <c r="Y83" s="100">
        <f>X83/W83*100</f>
        <v>89.502852414943305</v>
      </c>
      <c r="Z83" s="100">
        <f>Z84+Z85+Z86</f>
        <v>38545.5</v>
      </c>
      <c r="AA83" s="100">
        <f>AA84+AA85+AA86</f>
        <v>0</v>
      </c>
      <c r="AB83" s="100">
        <f>AA83/Z83*100</f>
        <v>0</v>
      </c>
      <c r="AC83" s="100">
        <f>AC84+AC85+AC86</f>
        <v>33346.299999999996</v>
      </c>
      <c r="AD83" s="100">
        <f>AD84+AD85+AD86</f>
        <v>0</v>
      </c>
      <c r="AE83" s="100">
        <f>AD83/AC83*100</f>
        <v>0</v>
      </c>
      <c r="AF83" s="100">
        <f>AF84+AF85+AF86</f>
        <v>31866.3</v>
      </c>
      <c r="AG83" s="100">
        <f>AG84+AG85+AG86</f>
        <v>0</v>
      </c>
      <c r="AH83" s="100">
        <f>AG83/AF83*100</f>
        <v>0</v>
      </c>
      <c r="AI83" s="100">
        <f>AI84+AI85+AI86</f>
        <v>32417.400000000005</v>
      </c>
      <c r="AJ83" s="100">
        <f>AJ84+AJ85+AJ86</f>
        <v>0</v>
      </c>
      <c r="AK83" s="100">
        <f>AJ83/AI83*100</f>
        <v>0</v>
      </c>
      <c r="AL83" s="100">
        <f>AL84+AL85+AL86</f>
        <v>38227.499999999993</v>
      </c>
      <c r="AM83" s="100">
        <f>AM84+AM85+AM86</f>
        <v>0</v>
      </c>
      <c r="AN83" s="100">
        <f>AM83/AL83*100</f>
        <v>0</v>
      </c>
      <c r="AO83" s="100">
        <f>AO84+AO85+AO86</f>
        <v>66528.599999999991</v>
      </c>
      <c r="AP83" s="100">
        <f>AP84+AP85+AP86</f>
        <v>0</v>
      </c>
      <c r="AQ83" s="115">
        <f>AP83/AO83*100</f>
        <v>0</v>
      </c>
      <c r="AR83" s="223"/>
      <c r="AS83" s="261"/>
      <c r="AT83" s="117"/>
      <c r="AU83" s="117"/>
      <c r="AV83" s="118"/>
    </row>
    <row r="84" spans="1:48" s="123" customFormat="1" ht="35.25" customHeight="1">
      <c r="A84" s="260"/>
      <c r="B84" s="260"/>
      <c r="C84" s="260"/>
      <c r="D84" s="107" t="s">
        <v>267</v>
      </c>
      <c r="E84" s="100">
        <f>H84+K84+N84+Q84+T84+W84+Z84+AC84+AF84+AI84+AL84+AO84</f>
        <v>14139.9</v>
      </c>
      <c r="F84" s="100">
        <f>I84+L84+O84+R84+U84+X84+AA84+AD84+AG84+AJ84+AM84+AP84</f>
        <v>3590</v>
      </c>
      <c r="G84" s="100">
        <f>F84/E84*100</f>
        <v>25.389147023670606</v>
      </c>
      <c r="H84" s="100">
        <f>H73-H79</f>
        <v>75.600000000000023</v>
      </c>
      <c r="I84" s="100">
        <f>I73-I79</f>
        <v>75.599999999999994</v>
      </c>
      <c r="J84" s="100">
        <f t="shared" ref="J84:J85" si="125">I84/H84*100</f>
        <v>99.999999999999972</v>
      </c>
      <c r="K84" s="100">
        <f>K73-K79</f>
        <v>571.79999999999995</v>
      </c>
      <c r="L84" s="100">
        <f>L73-L79</f>
        <v>537.9</v>
      </c>
      <c r="M84" s="100">
        <f t="shared" ref="M84:M86" si="126">L84/K84*100</f>
        <v>94.071353620146908</v>
      </c>
      <c r="N84" s="100">
        <f>N73-N79</f>
        <v>729.2</v>
      </c>
      <c r="O84" s="100">
        <f>O73-O79</f>
        <v>507</v>
      </c>
      <c r="P84" s="100">
        <f t="shared" ref="P84:P86" si="127">O84/N84*100</f>
        <v>69.528250137136581</v>
      </c>
      <c r="Q84" s="100">
        <f>Q73-Q79</f>
        <v>752.59999999999991</v>
      </c>
      <c r="R84" s="100">
        <f>R73-R79</f>
        <v>504.7</v>
      </c>
      <c r="S84" s="100">
        <f t="shared" ref="S84:S86" si="128">R84/Q84*100</f>
        <v>67.060855700239173</v>
      </c>
      <c r="T84" s="100">
        <f>T73-T79</f>
        <v>1149.8</v>
      </c>
      <c r="U84" s="100">
        <f>U73-U79</f>
        <v>970.09999999999991</v>
      </c>
      <c r="V84" s="100">
        <f t="shared" ref="V84:V86" si="129">U84/T84*100</f>
        <v>84.371194990433125</v>
      </c>
      <c r="W84" s="100">
        <f>W73-W79</f>
        <v>1504.5</v>
      </c>
      <c r="X84" s="100">
        <f>X73-X79</f>
        <v>994.7</v>
      </c>
      <c r="Y84" s="100">
        <f t="shared" ref="Y84:Y86" si="130">X84/W84*100</f>
        <v>66.114988368228651</v>
      </c>
      <c r="Z84" s="100">
        <f>Z73-Z79</f>
        <v>1961.6999999999998</v>
      </c>
      <c r="AA84" s="100">
        <f>AA73-AA79</f>
        <v>0</v>
      </c>
      <c r="AB84" s="100">
        <f t="shared" ref="AB84:AB86" si="131">AA84/Z84*100</f>
        <v>0</v>
      </c>
      <c r="AC84" s="100">
        <f>AC73-AC79</f>
        <v>2088.1</v>
      </c>
      <c r="AD84" s="100">
        <f>AD73-AD79</f>
        <v>0</v>
      </c>
      <c r="AE84" s="100">
        <f t="shared" ref="AE84:AE86" si="132">AD84/AC84*100</f>
        <v>0</v>
      </c>
      <c r="AF84" s="100">
        <f>AF73-AF79</f>
        <v>1683.8</v>
      </c>
      <c r="AG84" s="100">
        <f>AG73-AG79</f>
        <v>0</v>
      </c>
      <c r="AH84" s="100">
        <f t="shared" ref="AH84:AH86" si="133">AG84/AF84*100</f>
        <v>0</v>
      </c>
      <c r="AI84" s="100">
        <f>AI73-AI79</f>
        <v>1334.6999999999998</v>
      </c>
      <c r="AJ84" s="100">
        <f>AJ73-AJ79</f>
        <v>0</v>
      </c>
      <c r="AK84" s="100">
        <f t="shared" ref="AK84:AK86" si="134">AJ84/AI84*100</f>
        <v>0</v>
      </c>
      <c r="AL84" s="100">
        <f>AL73-AL79</f>
        <v>1488.1999999999998</v>
      </c>
      <c r="AM84" s="100">
        <f>AM73-AM79</f>
        <v>0</v>
      </c>
      <c r="AN84" s="100">
        <f t="shared" ref="AN84:AN86" si="135">AM84/AL84*100</f>
        <v>0</v>
      </c>
      <c r="AO84" s="100">
        <f>AO73-AO79</f>
        <v>799.9</v>
      </c>
      <c r="AP84" s="100">
        <f>AP73-AP79</f>
        <v>0</v>
      </c>
      <c r="AQ84" s="115">
        <f t="shared" ref="AQ84:AQ86" si="136">AP84/AO84*100</f>
        <v>0</v>
      </c>
      <c r="AR84" s="223"/>
      <c r="AS84" s="261"/>
      <c r="AT84" s="117"/>
      <c r="AU84" s="117"/>
      <c r="AV84" s="118"/>
    </row>
    <row r="85" spans="1:48" s="123" customFormat="1" ht="54" customHeight="1">
      <c r="A85" s="260"/>
      <c r="B85" s="260"/>
      <c r="C85" s="260"/>
      <c r="D85" s="107" t="s">
        <v>280</v>
      </c>
      <c r="E85" s="100">
        <f t="shared" ref="E85:F86" si="137">H85+K85+N85+Q85+T85+W85+Z85+AC85+AF85+AI85+AL85+AO85</f>
        <v>433553</v>
      </c>
      <c r="F85" s="100">
        <f>I85+L85+O85+R85+U85+X85+AA85+AD85+AG85+AJ85+AM85+AP85</f>
        <v>194646.50000000003</v>
      </c>
      <c r="G85" s="100">
        <f>F85/E85*100</f>
        <v>44.895664428570448</v>
      </c>
      <c r="H85" s="100">
        <f>H74-H80</f>
        <v>6483.2999999999984</v>
      </c>
      <c r="I85" s="100">
        <f>I74-I80</f>
        <v>6427.5999999999985</v>
      </c>
      <c r="J85" s="100">
        <f t="shared" si="125"/>
        <v>99.14086961886693</v>
      </c>
      <c r="K85" s="100">
        <f>K74-K80</f>
        <v>47492.100000000006</v>
      </c>
      <c r="L85" s="100">
        <f>L74-L80</f>
        <v>46461.500000000007</v>
      </c>
      <c r="M85" s="100">
        <f t="shared" si="126"/>
        <v>97.829954876705813</v>
      </c>
      <c r="N85" s="100">
        <f>N74-N80</f>
        <v>36157.4</v>
      </c>
      <c r="O85" s="100">
        <f>O74-O80</f>
        <v>33432.600000000006</v>
      </c>
      <c r="P85" s="100">
        <f t="shared" si="127"/>
        <v>92.464059915812541</v>
      </c>
      <c r="Q85" s="100">
        <f>Q74-Q80</f>
        <v>33754.499999999993</v>
      </c>
      <c r="R85" s="100">
        <f>R74-R80</f>
        <v>31992.999999999996</v>
      </c>
      <c r="S85" s="100">
        <f t="shared" si="128"/>
        <v>94.781436549200862</v>
      </c>
      <c r="T85" s="100">
        <f>T74-T80</f>
        <v>37095.799999999988</v>
      </c>
      <c r="U85" s="100">
        <f>U74-U80</f>
        <v>36656.6</v>
      </c>
      <c r="V85" s="100">
        <f t="shared" si="129"/>
        <v>98.816038473358191</v>
      </c>
      <c r="W85" s="100">
        <f>W74-W80</f>
        <v>43939.700000000004</v>
      </c>
      <c r="X85" s="100">
        <f>X74-X80</f>
        <v>39675.200000000004</v>
      </c>
      <c r="Y85" s="100">
        <f t="shared" si="130"/>
        <v>90.294653809652786</v>
      </c>
      <c r="Z85" s="100">
        <f>Z74-Z80</f>
        <v>36028.200000000004</v>
      </c>
      <c r="AA85" s="100">
        <f>AA74-AA80</f>
        <v>0</v>
      </c>
      <c r="AB85" s="100">
        <f t="shared" si="131"/>
        <v>0</v>
      </c>
      <c r="AC85" s="100">
        <f>AC74-AC80</f>
        <v>30506.3</v>
      </c>
      <c r="AD85" s="100">
        <f>AD74-AD80</f>
        <v>0</v>
      </c>
      <c r="AE85" s="100">
        <f t="shared" si="132"/>
        <v>0</v>
      </c>
      <c r="AF85" s="100">
        <f>AF74-AF80</f>
        <v>29901.7</v>
      </c>
      <c r="AG85" s="100">
        <f>AG74-AG80</f>
        <v>0</v>
      </c>
      <c r="AH85" s="100">
        <f t="shared" si="133"/>
        <v>0</v>
      </c>
      <c r="AI85" s="100">
        <f>AI74-AI80</f>
        <v>30629.400000000005</v>
      </c>
      <c r="AJ85" s="100">
        <f>AJ74-AJ80</f>
        <v>0</v>
      </c>
      <c r="AK85" s="100">
        <f t="shared" si="134"/>
        <v>0</v>
      </c>
      <c r="AL85" s="100">
        <f>AL74-AL80</f>
        <v>36389.599999999999</v>
      </c>
      <c r="AM85" s="100">
        <f>AM74-AM80</f>
        <v>0</v>
      </c>
      <c r="AN85" s="100">
        <f t="shared" si="135"/>
        <v>0</v>
      </c>
      <c r="AO85" s="100">
        <f>AO74-AO80</f>
        <v>65175</v>
      </c>
      <c r="AP85" s="100">
        <f>AP74-AP80</f>
        <v>0</v>
      </c>
      <c r="AQ85" s="115">
        <f t="shared" si="136"/>
        <v>0</v>
      </c>
      <c r="AR85" s="223"/>
      <c r="AS85" s="261"/>
      <c r="AT85" s="117"/>
      <c r="AU85" s="117"/>
      <c r="AV85" s="118"/>
    </row>
    <row r="86" spans="1:48" s="123" customFormat="1" ht="81.75" customHeight="1">
      <c r="A86" s="260"/>
      <c r="B86" s="260"/>
      <c r="C86" s="260"/>
      <c r="D86" s="108" t="s">
        <v>255</v>
      </c>
      <c r="E86" s="100">
        <f>H86+K86+N86+Q86+T86+W86+Z86+AC86+AF86+AI86+AL86+AO86</f>
        <v>5410.0999999999995</v>
      </c>
      <c r="F86" s="100">
        <f t="shared" si="137"/>
        <v>2092</v>
      </c>
      <c r="G86" s="100">
        <f>F86/E86*100</f>
        <v>38.668416480286879</v>
      </c>
      <c r="H86" s="100">
        <f t="shared" ref="H86:I86" si="138">H76-H81</f>
        <v>0</v>
      </c>
      <c r="I86" s="100">
        <f t="shared" si="138"/>
        <v>0</v>
      </c>
      <c r="J86" s="100">
        <v>0</v>
      </c>
      <c r="K86" s="100">
        <f t="shared" ref="K86:L86" si="139">K76-K81</f>
        <v>115.2</v>
      </c>
      <c r="L86" s="100">
        <f t="shared" si="139"/>
        <v>125.2</v>
      </c>
      <c r="M86" s="100">
        <f t="shared" si="126"/>
        <v>108.68055555555556</v>
      </c>
      <c r="N86" s="100">
        <f t="shared" ref="N86:O86" si="140">N76-N81</f>
        <v>669.2</v>
      </c>
      <c r="O86" s="100">
        <f t="shared" si="140"/>
        <v>636.1</v>
      </c>
      <c r="P86" s="100">
        <f t="shared" si="127"/>
        <v>95.053795576808128</v>
      </c>
      <c r="Q86" s="100">
        <f t="shared" ref="Q86:R86" si="141">Q76-Q81</f>
        <v>453.1</v>
      </c>
      <c r="R86" s="100">
        <f t="shared" si="141"/>
        <v>337.9</v>
      </c>
      <c r="S86" s="100">
        <f t="shared" si="128"/>
        <v>74.575148973736475</v>
      </c>
      <c r="T86" s="100">
        <f t="shared" ref="T86:U86" si="142">T76-T81</f>
        <v>623.1</v>
      </c>
      <c r="U86" s="100">
        <f t="shared" si="142"/>
        <v>447.8</v>
      </c>
      <c r="V86" s="100">
        <f t="shared" si="129"/>
        <v>71.86647408120686</v>
      </c>
      <c r="W86" s="100">
        <f t="shared" ref="W86:X86" si="143">W76-W81</f>
        <v>604.5</v>
      </c>
      <c r="X86" s="100">
        <f t="shared" si="143"/>
        <v>545</v>
      </c>
      <c r="Y86" s="100">
        <f t="shared" si="130"/>
        <v>90.157154673283699</v>
      </c>
      <c r="Z86" s="100">
        <f t="shared" ref="Z86:AA86" si="144">Z76-Z81</f>
        <v>555.6</v>
      </c>
      <c r="AA86" s="100">
        <f t="shared" si="144"/>
        <v>0</v>
      </c>
      <c r="AB86" s="100">
        <f t="shared" si="131"/>
        <v>0</v>
      </c>
      <c r="AC86" s="100">
        <f t="shared" ref="AC86:AD86" si="145">AC76-AC81</f>
        <v>751.90000000000009</v>
      </c>
      <c r="AD86" s="100">
        <f t="shared" si="145"/>
        <v>0</v>
      </c>
      <c r="AE86" s="100">
        <f t="shared" si="132"/>
        <v>0</v>
      </c>
      <c r="AF86" s="100">
        <f t="shared" ref="AF86:AG86" si="146">AF76-AF81</f>
        <v>280.8</v>
      </c>
      <c r="AG86" s="100">
        <f t="shared" si="146"/>
        <v>0</v>
      </c>
      <c r="AH86" s="100">
        <f t="shared" si="133"/>
        <v>0</v>
      </c>
      <c r="AI86" s="100">
        <f t="shared" ref="AI86:AJ86" si="147">AI76-AI81</f>
        <v>453.3</v>
      </c>
      <c r="AJ86" s="100">
        <f t="shared" si="147"/>
        <v>0</v>
      </c>
      <c r="AK86" s="100">
        <f t="shared" si="134"/>
        <v>0</v>
      </c>
      <c r="AL86" s="100">
        <f t="shared" ref="AL86:AM86" si="148">AL76-AL81</f>
        <v>349.7</v>
      </c>
      <c r="AM86" s="100">
        <f t="shared" si="148"/>
        <v>0</v>
      </c>
      <c r="AN86" s="100">
        <f t="shared" si="135"/>
        <v>0</v>
      </c>
      <c r="AO86" s="100">
        <f t="shared" ref="AO86:AP86" si="149">AO76-AO81</f>
        <v>553.70000000000005</v>
      </c>
      <c r="AP86" s="100">
        <f t="shared" si="149"/>
        <v>0</v>
      </c>
      <c r="AQ86" s="115">
        <f t="shared" si="136"/>
        <v>0</v>
      </c>
      <c r="AR86" s="223"/>
      <c r="AS86" s="261"/>
      <c r="AT86" s="117"/>
      <c r="AU86" s="117"/>
      <c r="AV86" s="118"/>
    </row>
    <row r="87" spans="1:48" s="119" customFormat="1" ht="99" customHeight="1">
      <c r="A87" s="260"/>
      <c r="B87" s="260"/>
      <c r="C87" s="260"/>
      <c r="D87" s="108" t="s">
        <v>285</v>
      </c>
      <c r="E87" s="100">
        <f>H87+K87+N87+Q87+T87+W87+Z87+AC87+AF87+AI87+AL87+AO87</f>
        <v>0</v>
      </c>
      <c r="F87" s="100">
        <f>I87+L87+O87+R87+U87+X87+AA87+AD87+AG87+AJ87+AM87+AP87</f>
        <v>0</v>
      </c>
      <c r="G87" s="100">
        <v>0</v>
      </c>
      <c r="H87" s="100">
        <v>0</v>
      </c>
      <c r="I87" s="100">
        <v>0</v>
      </c>
      <c r="J87" s="100">
        <v>0</v>
      </c>
      <c r="K87" s="129">
        <v>0</v>
      </c>
      <c r="L87" s="100">
        <v>0</v>
      </c>
      <c r="M87" s="100">
        <v>0</v>
      </c>
      <c r="N87" s="100">
        <v>0</v>
      </c>
      <c r="O87" s="100">
        <v>0</v>
      </c>
      <c r="P87" s="100">
        <v>0</v>
      </c>
      <c r="Q87" s="100">
        <v>0</v>
      </c>
      <c r="R87" s="100">
        <v>0</v>
      </c>
      <c r="S87" s="100">
        <v>0</v>
      </c>
      <c r="T87" s="114">
        <v>0</v>
      </c>
      <c r="U87" s="114">
        <v>0</v>
      </c>
      <c r="V87" s="100">
        <v>0</v>
      </c>
      <c r="W87" s="114">
        <v>0</v>
      </c>
      <c r="X87" s="114">
        <v>0</v>
      </c>
      <c r="Y87" s="114">
        <v>0</v>
      </c>
      <c r="Z87" s="114">
        <v>0</v>
      </c>
      <c r="AA87" s="114">
        <v>0</v>
      </c>
      <c r="AB87" s="114">
        <v>0</v>
      </c>
      <c r="AC87" s="114">
        <v>0</v>
      </c>
      <c r="AD87" s="114">
        <v>0</v>
      </c>
      <c r="AE87" s="114">
        <v>0</v>
      </c>
      <c r="AF87" s="114">
        <v>0</v>
      </c>
      <c r="AG87" s="114">
        <v>0</v>
      </c>
      <c r="AH87" s="100">
        <v>0</v>
      </c>
      <c r="AI87" s="100">
        <v>0</v>
      </c>
      <c r="AJ87" s="100">
        <v>0</v>
      </c>
      <c r="AK87" s="100">
        <v>0</v>
      </c>
      <c r="AL87" s="114">
        <v>0</v>
      </c>
      <c r="AM87" s="114">
        <v>0</v>
      </c>
      <c r="AN87" s="114">
        <v>0</v>
      </c>
      <c r="AO87" s="100">
        <v>0</v>
      </c>
      <c r="AP87" s="100">
        <v>0</v>
      </c>
      <c r="AQ87" s="100">
        <v>0</v>
      </c>
      <c r="AR87" s="223"/>
      <c r="AS87" s="261"/>
      <c r="AT87" s="117"/>
      <c r="AU87" s="117"/>
      <c r="AV87" s="118"/>
    </row>
    <row r="88" spans="1:48" ht="21.75" customHeight="1">
      <c r="A88" s="262" t="s">
        <v>37</v>
      </c>
      <c r="B88" s="262"/>
      <c r="C88" s="262"/>
      <c r="AR88" s="157"/>
    </row>
    <row r="89" spans="1:48" s="119" customFormat="1" ht="92.25" customHeight="1">
      <c r="A89" s="263" t="s">
        <v>311</v>
      </c>
      <c r="B89" s="264"/>
      <c r="C89" s="265"/>
      <c r="D89" s="99" t="s">
        <v>269</v>
      </c>
      <c r="E89" s="96">
        <f>E90+E91+E92</f>
        <v>287305.79999999993</v>
      </c>
      <c r="F89" s="96">
        <f>F90+F91+F92</f>
        <v>126903.90000000001</v>
      </c>
      <c r="G89" s="96">
        <f>F89/E89*100</f>
        <v>44.170323049517286</v>
      </c>
      <c r="H89" s="96">
        <f>H90+H91+H92</f>
        <v>4246.1999999999989</v>
      </c>
      <c r="I89" s="96">
        <f>I90+I91+I92</f>
        <v>4225.7999999999993</v>
      </c>
      <c r="J89" s="96">
        <f>I89/H89*100</f>
        <v>99.519570439451755</v>
      </c>
      <c r="K89" s="96">
        <f>K90+K91+K92</f>
        <v>34378.299999999996</v>
      </c>
      <c r="L89" s="96">
        <f>L90+L91+L92</f>
        <v>34355.600000000006</v>
      </c>
      <c r="M89" s="96">
        <f>L89/K89*100</f>
        <v>99.933969975246043</v>
      </c>
      <c r="N89" s="96">
        <f>N90+N91+N92</f>
        <v>23186.2</v>
      </c>
      <c r="O89" s="96">
        <f>O90+O91+O92</f>
        <v>21236.700000000004</v>
      </c>
      <c r="P89" s="96">
        <f>O89/N89*100</f>
        <v>91.591981437234239</v>
      </c>
      <c r="Q89" s="96">
        <f>Q90+Q91+Q92</f>
        <v>20047.69999999999</v>
      </c>
      <c r="R89" s="96">
        <f>R90+R91+R92</f>
        <v>20462.499999999996</v>
      </c>
      <c r="S89" s="96">
        <f>R89/Q89*100</f>
        <v>102.06906527930887</v>
      </c>
      <c r="T89" s="96">
        <f>T90+T91+T92</f>
        <v>22492.19999999999</v>
      </c>
      <c r="U89" s="96">
        <f>U90+U91+U92</f>
        <v>22805.999999999996</v>
      </c>
      <c r="V89" s="96">
        <f>U89/T89*100</f>
        <v>101.39515031877721</v>
      </c>
      <c r="W89" s="96">
        <f>W90+W91+W92</f>
        <v>25928.200000000004</v>
      </c>
      <c r="X89" s="96">
        <f>X90+X91+X92</f>
        <v>23817.300000000007</v>
      </c>
      <c r="Y89" s="96">
        <f>X89/W89*100</f>
        <v>91.858671253692904</v>
      </c>
      <c r="Z89" s="96">
        <f>Z90+Z91+Z92</f>
        <v>22157.800000000003</v>
      </c>
      <c r="AA89" s="96">
        <f>AA90+AA91+AA92</f>
        <v>0</v>
      </c>
      <c r="AB89" s="96">
        <f>AA89/Z89*100</f>
        <v>0</v>
      </c>
      <c r="AC89" s="96">
        <f>AC90+AC91+AC92</f>
        <v>20579.400000000001</v>
      </c>
      <c r="AD89" s="96">
        <f>AD90+AD91+AD92</f>
        <v>0</v>
      </c>
      <c r="AE89" s="96">
        <f>AD89/AC89*100</f>
        <v>0</v>
      </c>
      <c r="AF89" s="96">
        <f>AF90+AF91+AF92</f>
        <v>19470.599999999999</v>
      </c>
      <c r="AG89" s="96">
        <f>AG90+AG91+AG92</f>
        <v>0</v>
      </c>
      <c r="AH89" s="96">
        <f>AG89/AF89*100</f>
        <v>0</v>
      </c>
      <c r="AI89" s="96">
        <f>AI90+AI91+AI92</f>
        <v>22355.100000000006</v>
      </c>
      <c r="AJ89" s="96">
        <f>AJ90+AJ91+AJ92</f>
        <v>0</v>
      </c>
      <c r="AK89" s="96">
        <f>AJ89/AI89*100</f>
        <v>0</v>
      </c>
      <c r="AL89" s="96">
        <f>AL90+AL91+AL92</f>
        <v>25866.5</v>
      </c>
      <c r="AM89" s="96">
        <f>AM90+AM91+AM92</f>
        <v>0</v>
      </c>
      <c r="AN89" s="96">
        <f>AM89/AL89*100</f>
        <v>0</v>
      </c>
      <c r="AO89" s="96">
        <f>AO90+AO91+AO92</f>
        <v>46597.599999999999</v>
      </c>
      <c r="AP89" s="96">
        <f>AP90+AP91+AP92</f>
        <v>0</v>
      </c>
      <c r="AQ89" s="96">
        <f>AP89/AO89*100</f>
        <v>0</v>
      </c>
      <c r="AR89" s="223"/>
      <c r="AS89" s="261"/>
      <c r="AT89" s="117"/>
      <c r="AU89" s="117"/>
      <c r="AV89" s="118"/>
    </row>
    <row r="90" spans="1:48" s="119" customFormat="1" ht="95.25" customHeight="1">
      <c r="A90" s="266"/>
      <c r="B90" s="267"/>
      <c r="C90" s="268"/>
      <c r="D90" s="109" t="s">
        <v>267</v>
      </c>
      <c r="E90" s="96">
        <f>H90+K90+N90+Q90+T90+W90+Z90+AC90+AF90+AI90+AL90+AO90</f>
        <v>8196.9999999999982</v>
      </c>
      <c r="F90" s="96">
        <f>I90+L90+O90+R90+U90+X90+AA90+AD90+AG90+AJ90+AM90+AP90</f>
        <v>1810.8</v>
      </c>
      <c r="G90" s="96">
        <f>F90/E90*100</f>
        <v>22.091008905697208</v>
      </c>
      <c r="H90" s="96">
        <f>H84-H95-H100-H104-H109-H114-H119-H124-H129</f>
        <v>75.600000000000023</v>
      </c>
      <c r="I90" s="96">
        <f>I84-I95-I100-I104-I109-I114-I119-I124</f>
        <v>75.599999999999994</v>
      </c>
      <c r="J90" s="96">
        <f t="shared" ref="J90:J91" si="150">I90/H90*100</f>
        <v>99.999999999999972</v>
      </c>
      <c r="K90" s="96">
        <f>K84-K95-K100-K104-K109-K114-K119-K124-K129</f>
        <v>499.69999999999993</v>
      </c>
      <c r="L90" s="96">
        <f>L84-L95-L100-L104-L109-L114-L119-L124</f>
        <v>465.79999999999995</v>
      </c>
      <c r="M90" s="96">
        <f t="shared" ref="M90:M92" si="151">L90/K90*100</f>
        <v>93.21592955773464</v>
      </c>
      <c r="N90" s="96">
        <f>N84-N95-N100-N104-N109-N114-N119-N124-N129</f>
        <v>575.20000000000005</v>
      </c>
      <c r="O90" s="96">
        <f>O84-O95-O100-O104-O109-O114-O119-O124</f>
        <v>389.4</v>
      </c>
      <c r="P90" s="96">
        <f t="shared" ref="P90:P92" si="152">O90/N90*100</f>
        <v>67.698191933240608</v>
      </c>
      <c r="Q90" s="96">
        <f>Q84-Q95-Q100-Q104-Q109-Q114-Q119-Q124-Q129</f>
        <v>201.09999999999994</v>
      </c>
      <c r="R90" s="96">
        <f>R84-R95-R100-R104-R109-R114-R119-R124</f>
        <v>206.09999999999994</v>
      </c>
      <c r="S90" s="96">
        <f t="shared" ref="S90:S92" si="153">R90/Q90*100</f>
        <v>102.48632521133764</v>
      </c>
      <c r="T90" s="96">
        <f>T84-T95-T100-T104-T109-T114-T119-T124-T129</f>
        <v>465.9</v>
      </c>
      <c r="U90" s="96">
        <f>U84-U95-U100-U104-U109-U114-U119-U124-U129</f>
        <v>375.69999999999993</v>
      </c>
      <c r="V90" s="96">
        <f t="shared" ref="V90:V92" si="154">U90/T90*100</f>
        <v>80.639622236531437</v>
      </c>
      <c r="W90" s="96">
        <f>W84-W95-W100-W104-W109-W114-W119-W124-W129</f>
        <v>794.1</v>
      </c>
      <c r="X90" s="96">
        <f>X84-X95-X100-X104-X109-X114-X119-X124-X129</f>
        <v>298.20000000000005</v>
      </c>
      <c r="Y90" s="96">
        <f t="shared" ref="Y90:Y92" si="155">X90/W90*100</f>
        <v>37.551945598791086</v>
      </c>
      <c r="Z90" s="96">
        <f t="shared" ref="Z90:AA90" si="156">Z84-Z95-Z100-Z104-Z109-Z114-Z119-Z124-Z129</f>
        <v>1203.2999999999997</v>
      </c>
      <c r="AA90" s="96">
        <f t="shared" si="156"/>
        <v>0</v>
      </c>
      <c r="AB90" s="96">
        <f t="shared" ref="AB90:AB92" si="157">AA90/Z90*100</f>
        <v>0</v>
      </c>
      <c r="AC90" s="96">
        <f t="shared" ref="AC90:AD90" si="158">AC84-AC95-AC100-AC104-AC109-AC114-AC119-AC124-AC129</f>
        <v>1294.6999999999998</v>
      </c>
      <c r="AD90" s="96">
        <f t="shared" si="158"/>
        <v>0</v>
      </c>
      <c r="AE90" s="96">
        <f t="shared" ref="AE90:AE92" si="159">AD90/AC90*100</f>
        <v>0</v>
      </c>
      <c r="AF90" s="96">
        <f t="shared" ref="AF90:AG90" si="160">AF84-AF95-AF100-AF104-AF109-AF114-AF119-AF124-AF129</f>
        <v>938.2</v>
      </c>
      <c r="AG90" s="96">
        <f t="shared" si="160"/>
        <v>0</v>
      </c>
      <c r="AH90" s="96">
        <f t="shared" ref="AH90:AH92" si="161">AG90/AF90*100</f>
        <v>0</v>
      </c>
      <c r="AI90" s="96">
        <f t="shared" ref="AI90:AO90" si="162">AI84-AI95-AI100-AI104-AI109-AI114-AI119-AI124-AI129</f>
        <v>775.69999999999982</v>
      </c>
      <c r="AJ90" s="96">
        <f t="shared" si="162"/>
        <v>0</v>
      </c>
      <c r="AK90" s="96">
        <f t="shared" ref="AK90:AK92" si="163">AJ90/AI90*100</f>
        <v>0</v>
      </c>
      <c r="AL90" s="96">
        <f t="shared" si="162"/>
        <v>878.59999999999968</v>
      </c>
      <c r="AM90" s="96">
        <f t="shared" si="162"/>
        <v>0</v>
      </c>
      <c r="AN90" s="96">
        <f t="shared" ref="AN90:AN92" si="164">AM90/AL90*100</f>
        <v>0</v>
      </c>
      <c r="AO90" s="96">
        <f t="shared" si="162"/>
        <v>494.9</v>
      </c>
      <c r="AP90" s="96">
        <f>AP84-AP95-AP100-AP104-AP109-AP114-AP119-AP124</f>
        <v>0</v>
      </c>
      <c r="AQ90" s="96">
        <f t="shared" ref="AQ90:AQ92" si="165">AP90/AO90*100</f>
        <v>0</v>
      </c>
      <c r="AR90" s="223"/>
      <c r="AS90" s="261"/>
      <c r="AT90" s="117"/>
      <c r="AU90" s="117"/>
      <c r="AV90" s="118"/>
    </row>
    <row r="91" spans="1:48" s="119" customFormat="1" ht="12.75" customHeight="1">
      <c r="A91" s="266"/>
      <c r="B91" s="267"/>
      <c r="C91" s="268"/>
      <c r="D91" s="109" t="s">
        <v>280</v>
      </c>
      <c r="E91" s="96">
        <f t="shared" ref="E91:F92" si="166">H91+K91+N91+Q91+T91+W91+Z91+AC91+AF91+AI91+AL91+AO91</f>
        <v>273698.69999999995</v>
      </c>
      <c r="F91" s="96">
        <f t="shared" si="166"/>
        <v>123001.1</v>
      </c>
      <c r="G91" s="96">
        <f>F91/E91*100</f>
        <v>44.940330370586352</v>
      </c>
      <c r="H91" s="96">
        <f>H85-H96-H101-H105-H110-H115-H120-H125-H130</f>
        <v>4170.5999999999985</v>
      </c>
      <c r="I91" s="96">
        <f>I85-I96-I101-I105-I110-I115-I120-I125</f>
        <v>4150.1999999999989</v>
      </c>
      <c r="J91" s="96">
        <f t="shared" si="150"/>
        <v>99.51086174651131</v>
      </c>
      <c r="K91" s="96">
        <f>K85-K96-K101-K105-K110-K115-K120-K125-K130</f>
        <v>33763.4</v>
      </c>
      <c r="L91" s="96">
        <f>L85-L96-L101-L105-L110-L115-L120-L125</f>
        <v>33764.600000000006</v>
      </c>
      <c r="M91" s="96">
        <f t="shared" si="151"/>
        <v>100.00355414442859</v>
      </c>
      <c r="N91" s="96">
        <f>N85-N96-N101-N105-N110-N115-N120-N125-N130</f>
        <v>21941.8</v>
      </c>
      <c r="O91" s="96">
        <f>O85-O96-O101-O105-O110-O115-O120-O125</f>
        <v>20211.200000000004</v>
      </c>
      <c r="P91" s="96">
        <f t="shared" si="152"/>
        <v>92.11277105798068</v>
      </c>
      <c r="Q91" s="96">
        <f t="shared" ref="Q91:R91" si="167">Q85-Q96-Q101-Q105-Q110-Q115-Q120-Q125-Q130</f>
        <v>19393.499999999993</v>
      </c>
      <c r="R91" s="96">
        <f t="shared" si="167"/>
        <v>19918.499999999996</v>
      </c>
      <c r="S91" s="96">
        <f t="shared" si="153"/>
        <v>102.70709258256633</v>
      </c>
      <c r="T91" s="96">
        <f>T74-T96-T101-T105-T110-T115-T120-T125-T130</f>
        <v>21403.19999999999</v>
      </c>
      <c r="U91" s="96">
        <f t="shared" ref="U91" si="168">U85-U96-U101-U105-U110-U115-U120-U125-U130</f>
        <v>21982.499999999996</v>
      </c>
      <c r="V91" s="96">
        <f t="shared" si="154"/>
        <v>102.70660461986995</v>
      </c>
      <c r="W91" s="96">
        <f>W85-W96-W101-W105-W110-W115-W120-W125-W130</f>
        <v>24529.600000000006</v>
      </c>
      <c r="X91" s="96">
        <f t="shared" ref="X91:AO91" si="169">X85-X96-X101-X105-X110-X115-X120-X125-X130</f>
        <v>22974.100000000006</v>
      </c>
      <c r="Y91" s="96">
        <f t="shared" si="155"/>
        <v>93.658681755919389</v>
      </c>
      <c r="Z91" s="96">
        <f t="shared" si="169"/>
        <v>20398.900000000005</v>
      </c>
      <c r="AA91" s="96">
        <f t="shared" si="169"/>
        <v>0</v>
      </c>
      <c r="AB91" s="96">
        <f t="shared" si="157"/>
        <v>0</v>
      </c>
      <c r="AC91" s="96">
        <f t="shared" si="169"/>
        <v>18532.8</v>
      </c>
      <c r="AD91" s="96">
        <f t="shared" si="169"/>
        <v>0</v>
      </c>
      <c r="AE91" s="96">
        <f t="shared" si="159"/>
        <v>0</v>
      </c>
      <c r="AF91" s="96">
        <f t="shared" si="169"/>
        <v>18251.599999999999</v>
      </c>
      <c r="AG91" s="96">
        <f t="shared" si="169"/>
        <v>0</v>
      </c>
      <c r="AH91" s="96">
        <f t="shared" si="161"/>
        <v>0</v>
      </c>
      <c r="AI91" s="96">
        <f t="shared" si="169"/>
        <v>21126.100000000006</v>
      </c>
      <c r="AJ91" s="96">
        <f t="shared" si="169"/>
        <v>0</v>
      </c>
      <c r="AK91" s="96">
        <f t="shared" si="163"/>
        <v>0</v>
      </c>
      <c r="AL91" s="96">
        <f t="shared" si="169"/>
        <v>24638.2</v>
      </c>
      <c r="AM91" s="96">
        <f t="shared" si="169"/>
        <v>0</v>
      </c>
      <c r="AN91" s="96">
        <f t="shared" si="164"/>
        <v>0</v>
      </c>
      <c r="AO91" s="96">
        <f t="shared" si="169"/>
        <v>45549</v>
      </c>
      <c r="AP91" s="96">
        <f>AP85-AP96-AP101-AP105-AP110-AP115-AP120-AP125</f>
        <v>0</v>
      </c>
      <c r="AQ91" s="96">
        <f t="shared" si="165"/>
        <v>0</v>
      </c>
      <c r="AR91" s="223"/>
      <c r="AS91" s="261"/>
      <c r="AT91" s="117"/>
      <c r="AU91" s="117"/>
      <c r="AV91" s="118"/>
    </row>
    <row r="92" spans="1:48" s="119" customFormat="1" ht="24">
      <c r="A92" s="266"/>
      <c r="B92" s="267"/>
      <c r="C92" s="268"/>
      <c r="D92" s="99" t="s">
        <v>255</v>
      </c>
      <c r="E92" s="96">
        <f t="shared" si="166"/>
        <v>5410.0999999999995</v>
      </c>
      <c r="F92" s="96">
        <f t="shared" si="166"/>
        <v>2092</v>
      </c>
      <c r="G92" s="96">
        <f>F92/E92*100</f>
        <v>38.668416480286879</v>
      </c>
      <c r="H92" s="96">
        <f>H86-H97-H106-H111-H116-H121-H126</f>
        <v>0</v>
      </c>
      <c r="I92" s="96">
        <f>I86-I97-I106-I111-I116-I121-I126</f>
        <v>0</v>
      </c>
      <c r="J92" s="96">
        <v>0</v>
      </c>
      <c r="K92" s="96">
        <f>K86-K97-K106-K111-K116-K121-K126</f>
        <v>115.2</v>
      </c>
      <c r="L92" s="96">
        <f>L86-L97-L106-L111-L116-L121-L126</f>
        <v>125.2</v>
      </c>
      <c r="M92" s="96">
        <f t="shared" si="151"/>
        <v>108.68055555555556</v>
      </c>
      <c r="N92" s="96">
        <f>N86-N97-N106-N111-N116-N121-N126</f>
        <v>669.2</v>
      </c>
      <c r="O92" s="96">
        <f>O86-O97-O106-O111-O116-O121-O126</f>
        <v>636.1</v>
      </c>
      <c r="P92" s="96">
        <f t="shared" si="152"/>
        <v>95.053795576808128</v>
      </c>
      <c r="Q92" s="96">
        <f>Q86-Q97-Q106-Q111-Q116-Q121-Q126</f>
        <v>453.1</v>
      </c>
      <c r="R92" s="96">
        <f>R86-R97-R106-R111-R116-R121-R126</f>
        <v>337.9</v>
      </c>
      <c r="S92" s="96">
        <f t="shared" si="153"/>
        <v>74.575148973736475</v>
      </c>
      <c r="T92" s="96">
        <f>T86-T97-T106-T111-T116-T121-T126</f>
        <v>623.1</v>
      </c>
      <c r="U92" s="96">
        <f>U86-U97-U106-U111-U116-U121-U126</f>
        <v>447.8</v>
      </c>
      <c r="V92" s="96">
        <f t="shared" si="154"/>
        <v>71.86647408120686</v>
      </c>
      <c r="W92" s="96">
        <f>W86-W97-W106-W111-W116-W121-W126</f>
        <v>604.5</v>
      </c>
      <c r="X92" s="96">
        <f>X86-X97-X106-X111-X116-X121-X126</f>
        <v>545</v>
      </c>
      <c r="Y92" s="96">
        <f t="shared" si="155"/>
        <v>90.157154673283699</v>
      </c>
      <c r="Z92" s="96">
        <f t="shared" ref="Z92:AA92" si="170">Z86-Z97-Z106-Z111-Z116-Z121-Z126</f>
        <v>555.6</v>
      </c>
      <c r="AA92" s="96">
        <f t="shared" si="170"/>
        <v>0</v>
      </c>
      <c r="AB92" s="96">
        <f t="shared" si="157"/>
        <v>0</v>
      </c>
      <c r="AC92" s="96">
        <f t="shared" ref="AC92:AD92" si="171">AC86-AC97-AC106-AC111-AC116-AC121-AC126</f>
        <v>751.90000000000009</v>
      </c>
      <c r="AD92" s="96">
        <f t="shared" si="171"/>
        <v>0</v>
      </c>
      <c r="AE92" s="96">
        <f t="shared" si="159"/>
        <v>0</v>
      </c>
      <c r="AF92" s="96">
        <f t="shared" ref="AF92:AG92" si="172">AF86-AF97-AF106-AF111-AF116-AF121-AF126</f>
        <v>280.8</v>
      </c>
      <c r="AG92" s="96">
        <f t="shared" si="172"/>
        <v>0</v>
      </c>
      <c r="AH92" s="96">
        <f t="shared" si="161"/>
        <v>0</v>
      </c>
      <c r="AI92" s="96">
        <f t="shared" ref="AI92:AO92" si="173">AI86-AI97-AI106-AI111-AI116-AI121-AI126</f>
        <v>453.3</v>
      </c>
      <c r="AJ92" s="96">
        <f t="shared" si="173"/>
        <v>0</v>
      </c>
      <c r="AK92" s="96">
        <f t="shared" si="163"/>
        <v>0</v>
      </c>
      <c r="AL92" s="96">
        <f>AL86-AL97-AL106-AL111-AL116-AL121-AL126</f>
        <v>349.7</v>
      </c>
      <c r="AM92" s="96">
        <f t="shared" si="173"/>
        <v>0</v>
      </c>
      <c r="AN92" s="96">
        <f t="shared" si="164"/>
        <v>0</v>
      </c>
      <c r="AO92" s="96">
        <f t="shared" si="173"/>
        <v>553.70000000000005</v>
      </c>
      <c r="AP92" s="96">
        <f>AP86-AP97-AP106-AP111-AP116-AP121-AP126</f>
        <v>0</v>
      </c>
      <c r="AQ92" s="96">
        <f t="shared" si="165"/>
        <v>0</v>
      </c>
      <c r="AR92" s="223"/>
      <c r="AS92" s="261"/>
      <c r="AT92" s="117"/>
      <c r="AU92" s="117"/>
      <c r="AV92" s="118"/>
    </row>
    <row r="93" spans="1:48" s="119" customFormat="1" ht="12.75" customHeight="1">
      <c r="A93" s="269"/>
      <c r="B93" s="270"/>
      <c r="C93" s="271"/>
      <c r="D93" s="99" t="s">
        <v>285</v>
      </c>
      <c r="E93" s="96">
        <f>H93+K93+N93+Q93+T93+W93+Z93+AC93+AF93+AI93+AL93+AO93</f>
        <v>0</v>
      </c>
      <c r="F93" s="96">
        <f>I93+L93+O93+R93+U93+X93+AA93+AD93+AG93+AJ93+AM93+AP93</f>
        <v>0</v>
      </c>
      <c r="G93" s="96">
        <v>0</v>
      </c>
      <c r="H93" s="96">
        <v>0</v>
      </c>
      <c r="I93" s="96">
        <v>0</v>
      </c>
      <c r="J93" s="96">
        <v>0</v>
      </c>
      <c r="K93" s="97">
        <v>0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0</v>
      </c>
      <c r="S93" s="96">
        <v>0</v>
      </c>
      <c r="T93" s="95">
        <v>0</v>
      </c>
      <c r="U93" s="95">
        <v>0</v>
      </c>
      <c r="V93" s="96">
        <v>0</v>
      </c>
      <c r="W93" s="95">
        <v>0</v>
      </c>
      <c r="X93" s="95">
        <v>0</v>
      </c>
      <c r="Y93" s="95">
        <v>0</v>
      </c>
      <c r="Z93" s="95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0</v>
      </c>
      <c r="AH93" s="96">
        <v>0</v>
      </c>
      <c r="AI93" s="96">
        <v>0</v>
      </c>
      <c r="AJ93" s="96">
        <v>0</v>
      </c>
      <c r="AK93" s="96">
        <v>0</v>
      </c>
      <c r="AL93" s="95">
        <v>0</v>
      </c>
      <c r="AM93" s="95">
        <v>0</v>
      </c>
      <c r="AN93" s="95">
        <v>0</v>
      </c>
      <c r="AO93" s="96">
        <v>0</v>
      </c>
      <c r="AP93" s="96">
        <v>0</v>
      </c>
      <c r="AQ93" s="96">
        <v>0</v>
      </c>
      <c r="AR93" s="223"/>
      <c r="AS93" s="261"/>
      <c r="AT93" s="117"/>
      <c r="AU93" s="117"/>
      <c r="AV93" s="118"/>
    </row>
    <row r="94" spans="1:48" s="119" customFormat="1" ht="12.75" customHeight="1">
      <c r="A94" s="272" t="s">
        <v>299</v>
      </c>
      <c r="B94" s="273"/>
      <c r="C94" s="274"/>
      <c r="D94" s="99" t="s">
        <v>269</v>
      </c>
      <c r="E94" s="96">
        <f>E95+E96+E97</f>
        <v>107737.20000000001</v>
      </c>
      <c r="F94" s="96">
        <f>F95+F96+F97</f>
        <v>49383.3</v>
      </c>
      <c r="G94" s="96">
        <f>F94/E94*100</f>
        <v>45.836814025239192</v>
      </c>
      <c r="H94" s="96">
        <f>H95+H96+H97</f>
        <v>1352.7</v>
      </c>
      <c r="I94" s="96">
        <f>I95+I96+I97</f>
        <v>1317.4</v>
      </c>
      <c r="J94" s="96">
        <f>I94/H94*100</f>
        <v>97.390404376432329</v>
      </c>
      <c r="K94" s="96">
        <f>K95+K96+K97</f>
        <v>9861.6</v>
      </c>
      <c r="L94" s="96">
        <f>L95+L96+L97</f>
        <v>9203.2000000000007</v>
      </c>
      <c r="M94" s="96">
        <f>L94/K94*100</f>
        <v>93.323598604688897</v>
      </c>
      <c r="N94" s="96">
        <f>N95+N96+N97</f>
        <v>10665.800000000001</v>
      </c>
      <c r="O94" s="96">
        <f>O95+O96+O97</f>
        <v>9702</v>
      </c>
      <c r="P94" s="96">
        <f>O94/N94*100</f>
        <v>90.963640795814655</v>
      </c>
      <c r="Q94" s="96">
        <f>Q95+Q96+Q97</f>
        <v>9254.9</v>
      </c>
      <c r="R94" s="96">
        <f>R95+R96+R97</f>
        <v>8254.9</v>
      </c>
      <c r="S94" s="96">
        <f>R94/Q94*100</f>
        <v>89.194912965023931</v>
      </c>
      <c r="T94" s="96">
        <f>T95+T96+T97</f>
        <v>10019.9</v>
      </c>
      <c r="U94" s="96">
        <f>U95+U96+U97</f>
        <v>9019.9</v>
      </c>
      <c r="V94" s="96">
        <f>U94/T94*100</f>
        <v>90.019860477649488</v>
      </c>
      <c r="W94" s="96">
        <f>W95+W96+W97</f>
        <v>12369</v>
      </c>
      <c r="X94" s="96">
        <f>X95+X96+X97</f>
        <v>11885.900000000001</v>
      </c>
      <c r="Y94" s="96">
        <f>X94/W94*100</f>
        <v>96.094267927884232</v>
      </c>
      <c r="Z94" s="96">
        <f>Z95+Z96+Z97</f>
        <v>11630.300000000001</v>
      </c>
      <c r="AA94" s="96">
        <f>AA95+AA96+AA97</f>
        <v>0</v>
      </c>
      <c r="AB94" s="96">
        <f>AA94/Z94*100</f>
        <v>0</v>
      </c>
      <c r="AC94" s="96">
        <f>AC95+AC96+AC97</f>
        <v>7750.5999999999995</v>
      </c>
      <c r="AD94" s="96">
        <f>AD95+AD96+AD97</f>
        <v>0</v>
      </c>
      <c r="AE94" s="96">
        <f>AD94/AC94*100</f>
        <v>0</v>
      </c>
      <c r="AF94" s="96">
        <f>AF95+AF96+AF97</f>
        <v>7824</v>
      </c>
      <c r="AG94" s="96">
        <f>AG95+AG96+AG97</f>
        <v>0</v>
      </c>
      <c r="AH94" s="96">
        <f>AG94/AF94*100</f>
        <v>0</v>
      </c>
      <c r="AI94" s="96">
        <f>AI95+AI96+AI97</f>
        <v>5793.8</v>
      </c>
      <c r="AJ94" s="96">
        <f>AJ95+AJ96+AJ97</f>
        <v>0</v>
      </c>
      <c r="AK94" s="96">
        <f>AJ94/AI94*100</f>
        <v>0</v>
      </c>
      <c r="AL94" s="96">
        <f>AL95+AL96+AL97</f>
        <v>8244.7000000000007</v>
      </c>
      <c r="AM94" s="96">
        <f>AM95+AM96+AM97</f>
        <v>0</v>
      </c>
      <c r="AN94" s="96">
        <f>AM94/AL94*100</f>
        <v>0</v>
      </c>
      <c r="AO94" s="96">
        <f>AO95+AO96+AO97</f>
        <v>12969.9</v>
      </c>
      <c r="AP94" s="96">
        <f>AP95+AP96+AP97</f>
        <v>0</v>
      </c>
      <c r="AQ94" s="96">
        <f>AP94/AO94*100</f>
        <v>0</v>
      </c>
      <c r="AR94" s="223"/>
      <c r="AS94" s="261"/>
      <c r="AT94" s="117"/>
      <c r="AU94" s="117"/>
      <c r="AV94" s="118"/>
    </row>
    <row r="95" spans="1:48" s="119" customFormat="1" ht="48">
      <c r="A95" s="275"/>
      <c r="B95" s="276"/>
      <c r="C95" s="277"/>
      <c r="D95" s="109" t="s">
        <v>267</v>
      </c>
      <c r="E95" s="96">
        <f>H95+K95+N95+Q95+T95+W95+Z95+AC95+AF95+AI95+AL95+AO95</f>
        <v>2670.4</v>
      </c>
      <c r="F95" s="96">
        <f>I95+L95+O95+R95+U95+X95+AA95+AD95+AG95+AJ95+AM95+AP95</f>
        <v>909.7</v>
      </c>
      <c r="G95" s="96">
        <f>F95/E95*100</f>
        <v>34.066057519472736</v>
      </c>
      <c r="H95" s="96">
        <v>0</v>
      </c>
      <c r="I95" s="96">
        <f>I24</f>
        <v>0</v>
      </c>
      <c r="J95" s="96">
        <v>0</v>
      </c>
      <c r="K95" s="96">
        <v>72.099999999999994</v>
      </c>
      <c r="L95" s="96">
        <v>72.099999999999994</v>
      </c>
      <c r="M95" s="96">
        <f>L95/K95*100</f>
        <v>100</v>
      </c>
      <c r="N95" s="96">
        <v>154</v>
      </c>
      <c r="O95" s="96">
        <v>117.6</v>
      </c>
      <c r="P95" s="96">
        <f>O95/N95*100</f>
        <v>76.36363636363636</v>
      </c>
      <c r="Q95" s="96">
        <v>146.4</v>
      </c>
      <c r="R95" s="96">
        <v>146.4</v>
      </c>
      <c r="S95" s="96">
        <f>R95/Q95*100</f>
        <v>100</v>
      </c>
      <c r="T95" s="96">
        <v>356.9</v>
      </c>
      <c r="U95" s="96">
        <v>356.9</v>
      </c>
      <c r="V95" s="96">
        <f>U95/T95*100</f>
        <v>100</v>
      </c>
      <c r="W95" s="96">
        <v>202.7</v>
      </c>
      <c r="X95" s="96">
        <v>216.7</v>
      </c>
      <c r="Y95" s="96">
        <f>X95/W95*100</f>
        <v>106.90675875678342</v>
      </c>
      <c r="Z95" s="96">
        <v>295.2</v>
      </c>
      <c r="AA95" s="96">
        <v>0</v>
      </c>
      <c r="AB95" s="96">
        <f t="shared" ref="AB95:AB96" si="174">AA95/Z95*100</f>
        <v>0</v>
      </c>
      <c r="AC95" s="96">
        <v>295.39999999999998</v>
      </c>
      <c r="AD95" s="96">
        <v>0</v>
      </c>
      <c r="AE95" s="96">
        <f t="shared" ref="AE95:AE96" si="175">AD95/AC95*100</f>
        <v>0</v>
      </c>
      <c r="AF95" s="96">
        <v>295.39999999999998</v>
      </c>
      <c r="AG95" s="96">
        <v>0</v>
      </c>
      <c r="AH95" s="96">
        <f t="shared" ref="AH95:AH96" si="176">AG95/AF95*100</f>
        <v>0</v>
      </c>
      <c r="AI95" s="96">
        <v>305.3</v>
      </c>
      <c r="AJ95" s="96">
        <v>0</v>
      </c>
      <c r="AK95" s="96">
        <f t="shared" ref="AK95:AK96" si="177">AJ95/AI95*100</f>
        <v>0</v>
      </c>
      <c r="AL95" s="96">
        <v>415.9</v>
      </c>
      <c r="AM95" s="96">
        <v>0</v>
      </c>
      <c r="AN95" s="96">
        <f t="shared" ref="AN95:AN96" si="178">AM95/AL95*100</f>
        <v>0</v>
      </c>
      <c r="AO95" s="96">
        <v>131.1</v>
      </c>
      <c r="AP95" s="96">
        <v>0</v>
      </c>
      <c r="AQ95" s="96">
        <f t="shared" ref="AQ95:AQ96" si="179">AP95/AO95*100</f>
        <v>0</v>
      </c>
      <c r="AR95" s="223"/>
      <c r="AS95" s="261"/>
      <c r="AT95" s="117"/>
      <c r="AU95" s="117"/>
      <c r="AV95" s="118"/>
    </row>
    <row r="96" spans="1:48" s="119" customFormat="1" ht="12.75" customHeight="1">
      <c r="A96" s="275"/>
      <c r="B96" s="276"/>
      <c r="C96" s="277"/>
      <c r="D96" s="109" t="s">
        <v>280</v>
      </c>
      <c r="E96" s="96">
        <f>H96+K96+N96+Q96+T96+W96+Z96+AC96+AF96+AI96+AL96+AO96</f>
        <v>105066.80000000002</v>
      </c>
      <c r="F96" s="96">
        <f t="shared" ref="E96:F97" si="180">I96+L96+O96+R96+U96+X96+AA96+AD96+AG96+AJ96+AM96+AP96</f>
        <v>48473.600000000006</v>
      </c>
      <c r="G96" s="96">
        <f>F96/E96*100</f>
        <v>46.13598206093647</v>
      </c>
      <c r="H96" s="96">
        <f>1752.7-400</f>
        <v>1352.7</v>
      </c>
      <c r="I96" s="96">
        <v>1317.4</v>
      </c>
      <c r="J96" s="96">
        <f t="shared" ref="J96" si="181">I96/H96*100</f>
        <v>97.390404376432329</v>
      </c>
      <c r="K96" s="96">
        <f>7931.5+1858</f>
        <v>9789.5</v>
      </c>
      <c r="L96" s="96">
        <v>9131.1</v>
      </c>
      <c r="M96" s="96">
        <f t="shared" ref="M96" si="182">L96/K96*100</f>
        <v>93.27442668164872</v>
      </c>
      <c r="N96" s="96">
        <f>10144.7+400-32.9</f>
        <v>10511.800000000001</v>
      </c>
      <c r="O96" s="96">
        <v>9584.4</v>
      </c>
      <c r="P96" s="96">
        <f t="shared" ref="P96" si="183">O96/N96*100</f>
        <v>91.177533819136585</v>
      </c>
      <c r="Q96" s="96">
        <v>9108.5</v>
      </c>
      <c r="R96" s="96">
        <v>8108.5</v>
      </c>
      <c r="S96" s="96">
        <f t="shared" ref="S96" si="184">R96/Q96*100</f>
        <v>89.021243893066909</v>
      </c>
      <c r="T96" s="96">
        <v>9663</v>
      </c>
      <c r="U96" s="96">
        <v>8663</v>
      </c>
      <c r="V96" s="96">
        <f t="shared" ref="V96" si="185">U96/T96*100</f>
        <v>89.651247024733522</v>
      </c>
      <c r="W96" s="96">
        <v>12166.3</v>
      </c>
      <c r="X96" s="96">
        <v>11669.2</v>
      </c>
      <c r="Y96" s="96">
        <f t="shared" ref="Y96" si="186">X96/W96*100</f>
        <v>95.914123439336535</v>
      </c>
      <c r="Z96" s="96">
        <v>11335.1</v>
      </c>
      <c r="AA96" s="96">
        <v>0</v>
      </c>
      <c r="AB96" s="96">
        <f t="shared" si="174"/>
        <v>0</v>
      </c>
      <c r="AC96" s="96">
        <v>7455.2</v>
      </c>
      <c r="AD96" s="96">
        <v>0</v>
      </c>
      <c r="AE96" s="96">
        <f t="shared" si="175"/>
        <v>0</v>
      </c>
      <c r="AF96" s="96">
        <v>7528.6</v>
      </c>
      <c r="AG96" s="96">
        <v>0</v>
      </c>
      <c r="AH96" s="96">
        <f t="shared" si="176"/>
        <v>0</v>
      </c>
      <c r="AI96" s="96">
        <v>5488.5</v>
      </c>
      <c r="AJ96" s="96">
        <v>0</v>
      </c>
      <c r="AK96" s="96">
        <f t="shared" si="177"/>
        <v>0</v>
      </c>
      <c r="AL96" s="96">
        <v>7828.8</v>
      </c>
      <c r="AM96" s="96">
        <v>0</v>
      </c>
      <c r="AN96" s="96">
        <f t="shared" si="178"/>
        <v>0</v>
      </c>
      <c r="AO96" s="96">
        <v>12838.8</v>
      </c>
      <c r="AP96" s="96">
        <v>0</v>
      </c>
      <c r="AQ96" s="96">
        <f t="shared" si="179"/>
        <v>0</v>
      </c>
      <c r="AR96" s="223"/>
      <c r="AS96" s="261"/>
      <c r="AT96" s="117"/>
      <c r="AU96" s="117"/>
      <c r="AV96" s="118"/>
    </row>
    <row r="97" spans="1:48" s="119" customFormat="1" ht="12.75" customHeight="1">
      <c r="A97" s="275"/>
      <c r="B97" s="276"/>
      <c r="C97" s="277"/>
      <c r="D97" s="99" t="s">
        <v>255</v>
      </c>
      <c r="E97" s="96">
        <f t="shared" si="180"/>
        <v>0</v>
      </c>
      <c r="F97" s="96">
        <f t="shared" si="180"/>
        <v>0</v>
      </c>
      <c r="G97" s="96">
        <v>0</v>
      </c>
      <c r="H97" s="96">
        <f t="shared" ref="H97:I97" si="187">H26</f>
        <v>0</v>
      </c>
      <c r="I97" s="96">
        <f t="shared" si="187"/>
        <v>0</v>
      </c>
      <c r="J97" s="96">
        <v>0</v>
      </c>
      <c r="K97" s="96">
        <f t="shared" ref="K97:L97" si="188">K26</f>
        <v>0</v>
      </c>
      <c r="L97" s="96">
        <f t="shared" si="188"/>
        <v>0</v>
      </c>
      <c r="M97" s="96">
        <v>0</v>
      </c>
      <c r="N97" s="96">
        <f t="shared" ref="N97:O97" si="189">N26</f>
        <v>0</v>
      </c>
      <c r="O97" s="96">
        <f t="shared" si="189"/>
        <v>0</v>
      </c>
      <c r="P97" s="96">
        <v>0</v>
      </c>
      <c r="Q97" s="96">
        <f t="shared" ref="Q97:R97" si="190">Q26</f>
        <v>0</v>
      </c>
      <c r="R97" s="96">
        <f t="shared" si="190"/>
        <v>0</v>
      </c>
      <c r="S97" s="96">
        <v>0</v>
      </c>
      <c r="T97" s="96">
        <f t="shared" ref="T97:U97" si="191">T26</f>
        <v>0</v>
      </c>
      <c r="U97" s="96">
        <f t="shared" si="191"/>
        <v>0</v>
      </c>
      <c r="V97" s="96">
        <v>0</v>
      </c>
      <c r="W97" s="96">
        <f t="shared" ref="W97:X97" si="192">W26</f>
        <v>0</v>
      </c>
      <c r="X97" s="96">
        <f t="shared" si="192"/>
        <v>0</v>
      </c>
      <c r="Y97" s="96">
        <v>0</v>
      </c>
      <c r="Z97" s="96">
        <f t="shared" ref="Z97:AA97" si="193">Z26</f>
        <v>0</v>
      </c>
      <c r="AA97" s="96">
        <f t="shared" si="193"/>
        <v>0</v>
      </c>
      <c r="AB97" s="96">
        <v>0</v>
      </c>
      <c r="AC97" s="96">
        <f t="shared" ref="AC97:AD97" si="194">AC26</f>
        <v>0</v>
      </c>
      <c r="AD97" s="96">
        <f t="shared" si="194"/>
        <v>0</v>
      </c>
      <c r="AE97" s="96">
        <v>0</v>
      </c>
      <c r="AF97" s="96">
        <f t="shared" ref="AF97:AG97" si="195">AF26</f>
        <v>0</v>
      </c>
      <c r="AG97" s="96">
        <f t="shared" si="195"/>
        <v>0</v>
      </c>
      <c r="AH97" s="96">
        <v>0</v>
      </c>
      <c r="AI97" s="96">
        <f t="shared" ref="AI97:AJ97" si="196">AI26</f>
        <v>0</v>
      </c>
      <c r="AJ97" s="96">
        <f t="shared" si="196"/>
        <v>0</v>
      </c>
      <c r="AK97" s="96">
        <v>0</v>
      </c>
      <c r="AL97" s="96">
        <f t="shared" ref="AL97:AM97" si="197">AL26</f>
        <v>0</v>
      </c>
      <c r="AM97" s="96">
        <f t="shared" si="197"/>
        <v>0</v>
      </c>
      <c r="AN97" s="96">
        <v>0</v>
      </c>
      <c r="AO97" s="96">
        <f t="shared" ref="AO97:AP97" si="198">AO26</f>
        <v>0</v>
      </c>
      <c r="AP97" s="96">
        <f t="shared" si="198"/>
        <v>0</v>
      </c>
      <c r="AQ97" s="96">
        <v>0</v>
      </c>
      <c r="AR97" s="223"/>
      <c r="AS97" s="261"/>
      <c r="AT97" s="117"/>
      <c r="AU97" s="117"/>
      <c r="AV97" s="118"/>
    </row>
    <row r="98" spans="1:48" s="119" customFormat="1" ht="24">
      <c r="A98" s="278"/>
      <c r="B98" s="279"/>
      <c r="C98" s="280"/>
      <c r="D98" s="99" t="s">
        <v>285</v>
      </c>
      <c r="E98" s="96">
        <f>H98+K98+N98+Q98+T98+W98+Z98+AC98+AF98+AI98+AL98+AO98</f>
        <v>0</v>
      </c>
      <c r="F98" s="96">
        <f>I98+L98+O98+R98+U98+X98+AA98+AD98+AG98+AJ98+AM98+AP98</f>
        <v>0</v>
      </c>
      <c r="G98" s="96">
        <v>0</v>
      </c>
      <c r="H98" s="96">
        <v>0</v>
      </c>
      <c r="I98" s="96">
        <v>0</v>
      </c>
      <c r="J98" s="96">
        <v>0</v>
      </c>
      <c r="K98" s="97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5">
        <v>0</v>
      </c>
      <c r="U98" s="95">
        <v>0</v>
      </c>
      <c r="V98" s="96">
        <v>0</v>
      </c>
      <c r="W98" s="95">
        <v>0</v>
      </c>
      <c r="X98" s="95">
        <v>0</v>
      </c>
      <c r="Y98" s="95">
        <v>0</v>
      </c>
      <c r="Z98" s="95">
        <v>0</v>
      </c>
      <c r="AA98" s="95">
        <v>0</v>
      </c>
      <c r="AB98" s="95">
        <v>0</v>
      </c>
      <c r="AC98" s="95">
        <v>0</v>
      </c>
      <c r="AD98" s="95">
        <v>0</v>
      </c>
      <c r="AE98" s="95">
        <v>0</v>
      </c>
      <c r="AF98" s="95">
        <v>0</v>
      </c>
      <c r="AG98" s="95">
        <v>0</v>
      </c>
      <c r="AH98" s="96">
        <v>0</v>
      </c>
      <c r="AI98" s="96">
        <v>0</v>
      </c>
      <c r="AJ98" s="96">
        <v>0</v>
      </c>
      <c r="AK98" s="96">
        <v>0</v>
      </c>
      <c r="AL98" s="95">
        <v>0</v>
      </c>
      <c r="AM98" s="95">
        <v>0</v>
      </c>
      <c r="AN98" s="96">
        <v>0</v>
      </c>
      <c r="AO98" s="96">
        <v>0</v>
      </c>
      <c r="AP98" s="96">
        <v>0</v>
      </c>
      <c r="AQ98" s="96">
        <v>0</v>
      </c>
      <c r="AR98" s="223"/>
      <c r="AS98" s="261"/>
      <c r="AT98" s="117"/>
      <c r="AU98" s="117"/>
      <c r="AV98" s="118"/>
    </row>
    <row r="99" spans="1:48" s="119" customFormat="1" ht="27" customHeight="1">
      <c r="A99" s="272" t="s">
        <v>319</v>
      </c>
      <c r="B99" s="273"/>
      <c r="C99" s="274"/>
      <c r="D99" s="99" t="s">
        <v>269</v>
      </c>
      <c r="E99" s="96">
        <f>E100+E101</f>
        <v>12781.4</v>
      </c>
      <c r="F99" s="96">
        <f>F100+F101</f>
        <v>5035.7999999999993</v>
      </c>
      <c r="G99" s="96">
        <f>F99/E99*100</f>
        <v>39.399439810975316</v>
      </c>
      <c r="H99" s="96">
        <f>H100+H101</f>
        <v>94.5</v>
      </c>
      <c r="I99" s="96">
        <f>I100+I101</f>
        <v>94.5</v>
      </c>
      <c r="J99" s="96">
        <f t="shared" ref="J99" si="199">I99/H99*100</f>
        <v>100</v>
      </c>
      <c r="K99" s="96">
        <f>K100+K101</f>
        <v>265.8</v>
      </c>
      <c r="L99" s="96">
        <f>L100+L101</f>
        <v>149.6</v>
      </c>
      <c r="M99" s="96">
        <f>L99/K99*100</f>
        <v>56.282919488337093</v>
      </c>
      <c r="N99" s="96">
        <f>N100+N101</f>
        <v>555.9</v>
      </c>
      <c r="O99" s="96">
        <f>O100+O101</f>
        <v>506.99999999999994</v>
      </c>
      <c r="P99" s="96">
        <f>O99/N99*100</f>
        <v>91.203453858607659</v>
      </c>
      <c r="Q99" s="96">
        <f>Q100+Q101</f>
        <v>1903</v>
      </c>
      <c r="R99" s="96">
        <f>R100+R101</f>
        <v>587.59999999999991</v>
      </c>
      <c r="S99" s="96">
        <f>R99/Q99*100</f>
        <v>30.877561744613764</v>
      </c>
      <c r="T99" s="96">
        <f>T100+T101</f>
        <v>2383.2000000000003</v>
      </c>
      <c r="U99" s="96">
        <f>U100+U101</f>
        <v>2210.7999999999997</v>
      </c>
      <c r="V99" s="96">
        <f>U99/T99*100</f>
        <v>92.766028868747881</v>
      </c>
      <c r="W99" s="96">
        <f>W100+W101</f>
        <v>3704.9000000000005</v>
      </c>
      <c r="X99" s="96">
        <f>X100+X101</f>
        <v>1486.3</v>
      </c>
      <c r="Y99" s="96">
        <f>X99/W99*100</f>
        <v>40.117142163081319</v>
      </c>
      <c r="Z99" s="96">
        <f>Z100+Z101</f>
        <v>921.3</v>
      </c>
      <c r="AA99" s="96">
        <f t="shared" ref="AA99:AO99" si="200">AA100+AA101</f>
        <v>0</v>
      </c>
      <c r="AB99" s="96">
        <f>AA99/Z99*100</f>
        <v>0</v>
      </c>
      <c r="AC99" s="96">
        <f t="shared" si="200"/>
        <v>871.5</v>
      </c>
      <c r="AD99" s="96">
        <f t="shared" si="200"/>
        <v>0</v>
      </c>
      <c r="AE99" s="96">
        <f>AD99/AC99*100</f>
        <v>0</v>
      </c>
      <c r="AF99" s="96">
        <f t="shared" si="200"/>
        <v>871.4</v>
      </c>
      <c r="AG99" s="96">
        <f t="shared" si="200"/>
        <v>0</v>
      </c>
      <c r="AH99" s="96">
        <f>AG99/AF99*100</f>
        <v>0</v>
      </c>
      <c r="AI99" s="96">
        <f t="shared" si="200"/>
        <v>598.70000000000005</v>
      </c>
      <c r="AJ99" s="96">
        <f t="shared" si="200"/>
        <v>0</v>
      </c>
      <c r="AK99" s="96">
        <f>AJ99/AI99*100</f>
        <v>0</v>
      </c>
      <c r="AL99" s="96">
        <f t="shared" si="200"/>
        <v>328.5</v>
      </c>
      <c r="AM99" s="96">
        <f t="shared" si="200"/>
        <v>0</v>
      </c>
      <c r="AN99" s="96">
        <f>AM99/AL99*100</f>
        <v>0</v>
      </c>
      <c r="AO99" s="96">
        <f t="shared" si="200"/>
        <v>282.7</v>
      </c>
      <c r="AP99" s="96">
        <f>AP100+AP101</f>
        <v>0</v>
      </c>
      <c r="AQ99" s="96">
        <f>AP99/AO99*100</f>
        <v>0</v>
      </c>
      <c r="AR99" s="223"/>
      <c r="AS99" s="261"/>
      <c r="AT99" s="117"/>
      <c r="AU99" s="117"/>
      <c r="AV99" s="118"/>
    </row>
    <row r="100" spans="1:48" s="119" customFormat="1" ht="50.25" customHeight="1">
      <c r="A100" s="275"/>
      <c r="B100" s="276"/>
      <c r="C100" s="277"/>
      <c r="D100" s="109" t="s">
        <v>267</v>
      </c>
      <c r="E100" s="96">
        <f>H100+K100+N100+Q100+T100+W100+Z100+AC100+AF100+AI100+AL100+AO100</f>
        <v>0</v>
      </c>
      <c r="F100" s="96">
        <f>I100+L100+O100+R100+U100+X100+AA100+AD100+AG100+AJ100+AM100+AP100</f>
        <v>0</v>
      </c>
      <c r="G100" s="96">
        <v>0</v>
      </c>
      <c r="H100" s="96">
        <v>0</v>
      </c>
      <c r="I100" s="96">
        <f>I39+I57+I68</f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96">
        <v>0</v>
      </c>
      <c r="X100" s="96">
        <v>0</v>
      </c>
      <c r="Y100" s="96">
        <v>0</v>
      </c>
      <c r="Z100" s="96">
        <v>0</v>
      </c>
      <c r="AA100" s="96">
        <v>0</v>
      </c>
      <c r="AB100" s="96" t="e">
        <f t="shared" ref="AB100:AB101" si="201">AA100/Z100*100</f>
        <v>#DIV/0!</v>
      </c>
      <c r="AC100" s="96">
        <v>0</v>
      </c>
      <c r="AD100" s="96">
        <v>0</v>
      </c>
      <c r="AE100" s="96" t="e">
        <f t="shared" ref="AE100:AE101" si="202">AD100/AC100*100</f>
        <v>#DIV/0!</v>
      </c>
      <c r="AF100" s="96">
        <v>0</v>
      </c>
      <c r="AG100" s="96">
        <v>0</v>
      </c>
      <c r="AH100" s="96" t="e">
        <f t="shared" ref="AH100:AH101" si="203">AG100/AF100*100</f>
        <v>#DIV/0!</v>
      </c>
      <c r="AI100" s="96">
        <v>0</v>
      </c>
      <c r="AJ100" s="96">
        <v>0</v>
      </c>
      <c r="AK100" s="96" t="e">
        <f t="shared" ref="AK100:AK101" si="204">AJ100/AI100*100</f>
        <v>#DIV/0!</v>
      </c>
      <c r="AL100" s="96">
        <v>0</v>
      </c>
      <c r="AM100" s="96">
        <v>0</v>
      </c>
      <c r="AN100" s="96" t="e">
        <f t="shared" ref="AN100:AN101" si="205">AM100/AL100*100</f>
        <v>#DIV/0!</v>
      </c>
      <c r="AO100" s="96">
        <v>0</v>
      </c>
      <c r="AP100" s="96">
        <v>0</v>
      </c>
      <c r="AQ100" s="96" t="e">
        <f t="shared" ref="AQ100:AQ101" si="206">AP100/AO100*100</f>
        <v>#DIV/0!</v>
      </c>
      <c r="AR100" s="223"/>
      <c r="AS100" s="261"/>
      <c r="AT100" s="117"/>
      <c r="AU100" s="117"/>
      <c r="AV100" s="118"/>
    </row>
    <row r="101" spans="1:48" s="119" customFormat="1" ht="33" customHeight="1">
      <c r="A101" s="275"/>
      <c r="B101" s="276"/>
      <c r="C101" s="277"/>
      <c r="D101" s="109" t="s">
        <v>280</v>
      </c>
      <c r="E101" s="96">
        <f t="shared" ref="E101" si="207">H101+K101+N101+Q101+T101+W101+Z101+AC101+AF101+AI101+AL101+AO101</f>
        <v>12781.4</v>
      </c>
      <c r="F101" s="96">
        <f>I101+L101+O101+R101+U101+X101+AA101+AD101+AG101+AJ101+AM101+AP101</f>
        <v>5035.7999999999993</v>
      </c>
      <c r="G101" s="96">
        <f>F101/E101*100</f>
        <v>39.399439810975316</v>
      </c>
      <c r="H101" s="96">
        <f>H69+H40-H120</f>
        <v>94.5</v>
      </c>
      <c r="I101" s="96">
        <f>I69+I40-I120</f>
        <v>94.5</v>
      </c>
      <c r="J101" s="96">
        <f t="shared" ref="J101" si="208">I101/H101*100</f>
        <v>100</v>
      </c>
      <c r="K101" s="96">
        <f>K69+K40-K120</f>
        <v>265.8</v>
      </c>
      <c r="L101" s="96">
        <f>L69+L40-L120</f>
        <v>149.6</v>
      </c>
      <c r="M101" s="96">
        <f t="shared" ref="M101" si="209">L101/K101*100</f>
        <v>56.282919488337093</v>
      </c>
      <c r="N101" s="96">
        <f>N69+N40-N120</f>
        <v>555.9</v>
      </c>
      <c r="O101" s="96">
        <f>O69+O40-O120</f>
        <v>506.99999999999994</v>
      </c>
      <c r="P101" s="96">
        <f t="shared" ref="P101" si="210">O101/N101*100</f>
        <v>91.203453858607659</v>
      </c>
      <c r="Q101" s="96">
        <f>Q69+Q40-Q120</f>
        <v>1903</v>
      </c>
      <c r="R101" s="96">
        <f>R69+R40-R120</f>
        <v>587.59999999999991</v>
      </c>
      <c r="S101" s="96">
        <f t="shared" ref="S101" si="211">R101/Q101*100</f>
        <v>30.877561744613764</v>
      </c>
      <c r="T101" s="96">
        <f>T69+T40-T120</f>
        <v>2383.2000000000003</v>
      </c>
      <c r="U101" s="96">
        <f>U69+U40-U120</f>
        <v>2210.7999999999997</v>
      </c>
      <c r="V101" s="96">
        <f t="shared" ref="V101" si="212">U101/T101*100</f>
        <v>92.766028868747881</v>
      </c>
      <c r="W101" s="96">
        <f>W69+W40-W120</f>
        <v>3704.9000000000005</v>
      </c>
      <c r="X101" s="96">
        <f>X69+X40-X120</f>
        <v>1486.3</v>
      </c>
      <c r="Y101" s="96">
        <f t="shared" ref="Y101" si="213">X101/W101*100</f>
        <v>40.117142163081319</v>
      </c>
      <c r="Z101" s="96">
        <f>Z69+Z40-Z120</f>
        <v>921.3</v>
      </c>
      <c r="AA101" s="96">
        <v>0</v>
      </c>
      <c r="AB101" s="96">
        <f t="shared" si="201"/>
        <v>0</v>
      </c>
      <c r="AC101" s="96">
        <f>AC69+AC40-AC120</f>
        <v>871.5</v>
      </c>
      <c r="AD101" s="96">
        <v>0</v>
      </c>
      <c r="AE101" s="96">
        <f t="shared" si="202"/>
        <v>0</v>
      </c>
      <c r="AF101" s="96">
        <f>AF69+AF40-AF120</f>
        <v>871.4</v>
      </c>
      <c r="AG101" s="96">
        <v>0</v>
      </c>
      <c r="AH101" s="96">
        <f t="shared" si="203"/>
        <v>0</v>
      </c>
      <c r="AI101" s="96">
        <f>AI69+AI40-AI120</f>
        <v>598.70000000000005</v>
      </c>
      <c r="AJ101" s="96">
        <v>0</v>
      </c>
      <c r="AK101" s="96">
        <f t="shared" si="204"/>
        <v>0</v>
      </c>
      <c r="AL101" s="96">
        <f>AL69+AL40-AL120</f>
        <v>328.5</v>
      </c>
      <c r="AM101" s="96">
        <v>0</v>
      </c>
      <c r="AN101" s="96">
        <f t="shared" si="205"/>
        <v>0</v>
      </c>
      <c r="AO101" s="96">
        <f>AO69+AO40-AO120</f>
        <v>282.7</v>
      </c>
      <c r="AP101" s="96">
        <v>0</v>
      </c>
      <c r="AQ101" s="96">
        <f t="shared" si="206"/>
        <v>0</v>
      </c>
      <c r="AR101" s="223"/>
      <c r="AS101" s="261"/>
      <c r="AT101" s="117"/>
      <c r="AU101" s="117"/>
      <c r="AV101" s="118"/>
    </row>
    <row r="102" spans="1:48" s="119" customFormat="1" ht="69" customHeight="1">
      <c r="A102" s="278"/>
      <c r="B102" s="279"/>
      <c r="C102" s="280"/>
      <c r="D102" s="99" t="s">
        <v>285</v>
      </c>
      <c r="E102" s="96">
        <f>H102+K102+N102+Q102+T102+W102+Z102+AC102+AF102+AI102+AL102+AO102</f>
        <v>0</v>
      </c>
      <c r="F102" s="96">
        <f>I102+L102+O102+R102+U102+X102+AA102+AD102+AG102+AJ102+AM102+AP102</f>
        <v>0</v>
      </c>
      <c r="G102" s="96">
        <v>0</v>
      </c>
      <c r="H102" s="96">
        <v>0</v>
      </c>
      <c r="I102" s="96">
        <v>0</v>
      </c>
      <c r="J102" s="96">
        <v>0</v>
      </c>
      <c r="K102" s="97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5">
        <v>0</v>
      </c>
      <c r="U102" s="95">
        <v>0</v>
      </c>
      <c r="V102" s="96">
        <v>0</v>
      </c>
      <c r="W102" s="95">
        <v>0</v>
      </c>
      <c r="X102" s="95">
        <v>0</v>
      </c>
      <c r="Y102" s="95">
        <v>0</v>
      </c>
      <c r="Z102" s="95">
        <v>0</v>
      </c>
      <c r="AA102" s="95">
        <v>0</v>
      </c>
      <c r="AB102" s="95">
        <v>0</v>
      </c>
      <c r="AC102" s="95">
        <v>0</v>
      </c>
      <c r="AD102" s="95">
        <v>0</v>
      </c>
      <c r="AE102" s="95">
        <v>0</v>
      </c>
      <c r="AF102" s="95">
        <v>0</v>
      </c>
      <c r="AG102" s="95">
        <v>0</v>
      </c>
      <c r="AH102" s="95">
        <v>0</v>
      </c>
      <c r="AI102" s="96">
        <v>0</v>
      </c>
      <c r="AJ102" s="96">
        <v>0</v>
      </c>
      <c r="AK102" s="95">
        <v>0</v>
      </c>
      <c r="AL102" s="96">
        <v>0</v>
      </c>
      <c r="AM102" s="96">
        <v>0</v>
      </c>
      <c r="AN102" s="95">
        <v>0</v>
      </c>
      <c r="AO102" s="96">
        <v>0</v>
      </c>
      <c r="AP102" s="96">
        <v>0</v>
      </c>
      <c r="AQ102" s="95">
        <v>0</v>
      </c>
      <c r="AR102" s="223"/>
      <c r="AS102" s="261"/>
      <c r="AT102" s="117"/>
      <c r="AU102" s="117"/>
      <c r="AV102" s="118"/>
    </row>
    <row r="103" spans="1:48" s="119" customFormat="1" ht="12.75" customHeight="1">
      <c r="A103" s="272" t="s">
        <v>323</v>
      </c>
      <c r="B103" s="273"/>
      <c r="C103" s="274"/>
      <c r="D103" s="99" t="s">
        <v>269</v>
      </c>
      <c r="E103" s="96">
        <f>E104+E105+E106</f>
        <v>2999.9999999999995</v>
      </c>
      <c r="F103" s="96">
        <f>F104+F105+F106</f>
        <v>741.6</v>
      </c>
      <c r="G103" s="96">
        <f>F103/E103*100</f>
        <v>24.720000000000006</v>
      </c>
      <c r="H103" s="96">
        <f t="shared" ref="H103:I103" si="214">H104+H105+H106</f>
        <v>0</v>
      </c>
      <c r="I103" s="96">
        <f t="shared" si="214"/>
        <v>0</v>
      </c>
      <c r="J103" s="96">
        <v>0</v>
      </c>
      <c r="K103" s="96">
        <f t="shared" ref="K103:L103" si="215">K104+K105+K106</f>
        <v>0</v>
      </c>
      <c r="L103" s="96">
        <f t="shared" si="215"/>
        <v>0</v>
      </c>
      <c r="M103" s="96">
        <v>0</v>
      </c>
      <c r="N103" s="96">
        <f t="shared" ref="N103:O103" si="216">N104+N105+N106</f>
        <v>0</v>
      </c>
      <c r="O103" s="96">
        <f t="shared" si="216"/>
        <v>0</v>
      </c>
      <c r="P103" s="96">
        <v>0</v>
      </c>
      <c r="Q103" s="96">
        <f t="shared" ref="Q103:R103" si="217">Q104+Q105+Q106</f>
        <v>302</v>
      </c>
      <c r="R103" s="96">
        <f t="shared" si="217"/>
        <v>49.1</v>
      </c>
      <c r="S103" s="96">
        <f t="shared" ref="S103:S104" si="218">R103/Q103*100</f>
        <v>16.258278145695364</v>
      </c>
      <c r="T103" s="96">
        <f t="shared" ref="T103:U103" si="219">T104+T105+T106</f>
        <v>327</v>
      </c>
      <c r="U103" s="96">
        <f t="shared" si="219"/>
        <v>237.5</v>
      </c>
      <c r="V103" s="96">
        <f>U103/T103*100</f>
        <v>72.629969418960243</v>
      </c>
      <c r="W103" s="96">
        <f t="shared" ref="W103:X103" si="220">W104+W105+W106</f>
        <v>478.3</v>
      </c>
      <c r="X103" s="96">
        <f t="shared" si="220"/>
        <v>455</v>
      </c>
      <c r="Y103" s="96">
        <f>X103/W103*100</f>
        <v>95.128580388877268</v>
      </c>
      <c r="Z103" s="96">
        <f t="shared" ref="Z103:AA103" si="221">Z104+Z105+Z106</f>
        <v>450.2</v>
      </c>
      <c r="AA103" s="96">
        <f t="shared" si="221"/>
        <v>0</v>
      </c>
      <c r="AB103" s="96">
        <f>AA103/Z103*100</f>
        <v>0</v>
      </c>
      <c r="AC103" s="96">
        <f t="shared" ref="AC103:AD103" si="222">AC104+AC105+AC106</f>
        <v>471</v>
      </c>
      <c r="AD103" s="96">
        <f t="shared" si="222"/>
        <v>0</v>
      </c>
      <c r="AE103" s="96">
        <f>AD103/AC103*100</f>
        <v>0</v>
      </c>
      <c r="AF103" s="96">
        <f t="shared" ref="AF103:AG103" si="223">AF104+AF105+AF106</f>
        <v>450.2</v>
      </c>
      <c r="AG103" s="96">
        <f t="shared" si="223"/>
        <v>0</v>
      </c>
      <c r="AH103" s="96">
        <f>AG103/AF103*100</f>
        <v>0</v>
      </c>
      <c r="AI103" s="96">
        <f t="shared" ref="AI103:AJ103" si="224">AI104+AI105+AI106</f>
        <v>173.7</v>
      </c>
      <c r="AJ103" s="96">
        <f t="shared" si="224"/>
        <v>0</v>
      </c>
      <c r="AK103" s="96">
        <f>AJ103/AI103*100</f>
        <v>0</v>
      </c>
      <c r="AL103" s="96">
        <f t="shared" ref="AL103:AM103" si="225">AL104+AL105+AL106</f>
        <v>173.7</v>
      </c>
      <c r="AM103" s="96">
        <f t="shared" si="225"/>
        <v>0</v>
      </c>
      <c r="AN103" s="96">
        <f>AM103/AL103*100</f>
        <v>0</v>
      </c>
      <c r="AO103" s="96">
        <f t="shared" ref="AO103:AP103" si="226">AO104+AO105+AO106</f>
        <v>173.9</v>
      </c>
      <c r="AP103" s="96">
        <f t="shared" si="226"/>
        <v>0</v>
      </c>
      <c r="AQ103" s="96">
        <f>AP103/AO103*100</f>
        <v>0</v>
      </c>
      <c r="AR103" s="223"/>
      <c r="AS103" s="261"/>
      <c r="AT103" s="117"/>
      <c r="AU103" s="117"/>
      <c r="AV103" s="118"/>
    </row>
    <row r="104" spans="1:48" s="119" customFormat="1" ht="54.75" customHeight="1">
      <c r="A104" s="275"/>
      <c r="B104" s="276"/>
      <c r="C104" s="277"/>
      <c r="D104" s="109" t="s">
        <v>267</v>
      </c>
      <c r="E104" s="96">
        <f>H104+K104+N104+Q104+T104+W104+Z104+AC104+AF104+AI104+AL104+AO104</f>
        <v>2999.9999999999995</v>
      </c>
      <c r="F104" s="96">
        <f>I104+L104+O104+R104+U104+X104+AA104+AD104+AG104+AJ104+AM104+AP104</f>
        <v>741.6</v>
      </c>
      <c r="G104" s="96">
        <f>F104/E104*100</f>
        <v>24.720000000000006</v>
      </c>
      <c r="H104" s="96">
        <v>0</v>
      </c>
      <c r="I104" s="96">
        <v>0</v>
      </c>
      <c r="J104" s="96">
        <v>0</v>
      </c>
      <c r="K104" s="96">
        <v>0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f>327+145.8-20.8-150</f>
        <v>302</v>
      </c>
      <c r="R104" s="96">
        <v>49.1</v>
      </c>
      <c r="S104" s="96">
        <f t="shared" si="218"/>
        <v>16.258278145695364</v>
      </c>
      <c r="T104" s="96">
        <v>327</v>
      </c>
      <c r="U104" s="96">
        <v>237.5</v>
      </c>
      <c r="V104" s="96">
        <f>U104/T104*100</f>
        <v>72.629969418960243</v>
      </c>
      <c r="W104" s="96">
        <f>328.3+150</f>
        <v>478.3</v>
      </c>
      <c r="X104" s="96">
        <v>455</v>
      </c>
      <c r="Y104" s="96">
        <f>X104/W104*100</f>
        <v>95.128580388877268</v>
      </c>
      <c r="Z104" s="96">
        <v>450.2</v>
      </c>
      <c r="AA104" s="96">
        <v>0</v>
      </c>
      <c r="AB104" s="96">
        <v>0</v>
      </c>
      <c r="AC104" s="96">
        <f>450.2+20.8</f>
        <v>471</v>
      </c>
      <c r="AD104" s="96">
        <v>0</v>
      </c>
      <c r="AE104" s="96">
        <v>0</v>
      </c>
      <c r="AF104" s="96">
        <v>450.2</v>
      </c>
      <c r="AG104" s="96">
        <v>0</v>
      </c>
      <c r="AH104" s="96">
        <v>0</v>
      </c>
      <c r="AI104" s="96">
        <v>173.7</v>
      </c>
      <c r="AJ104" s="96">
        <v>0</v>
      </c>
      <c r="AK104" s="96">
        <v>0</v>
      </c>
      <c r="AL104" s="96">
        <v>173.7</v>
      </c>
      <c r="AM104" s="96">
        <v>0</v>
      </c>
      <c r="AN104" s="96">
        <v>0</v>
      </c>
      <c r="AO104" s="96">
        <v>173.9</v>
      </c>
      <c r="AP104" s="96">
        <v>0</v>
      </c>
      <c r="AQ104" s="96">
        <f>AP104/AO104*100</f>
        <v>0</v>
      </c>
      <c r="AR104" s="223"/>
      <c r="AS104" s="261"/>
      <c r="AT104" s="117"/>
      <c r="AU104" s="117"/>
      <c r="AV104" s="118"/>
    </row>
    <row r="105" spans="1:48" s="119" customFormat="1" ht="12.75" customHeight="1">
      <c r="A105" s="275"/>
      <c r="B105" s="276"/>
      <c r="C105" s="277"/>
      <c r="D105" s="109" t="s">
        <v>280</v>
      </c>
      <c r="E105" s="96">
        <f t="shared" ref="E105:F106" si="227">H105+K105+N105+Q105+T105+W105+Z105+AC105+AF105+AI105+AL105+AO105</f>
        <v>0</v>
      </c>
      <c r="F105" s="96">
        <f>I105+L105+O105+R105+U105+X105+AA105+AD105+AG105+AJ105+AM105+AP105</f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0</v>
      </c>
      <c r="L105" s="96">
        <v>0</v>
      </c>
      <c r="M105" s="96">
        <v>0</v>
      </c>
      <c r="N105" s="96">
        <v>0</v>
      </c>
      <c r="O105" s="96">
        <v>0</v>
      </c>
      <c r="P105" s="96">
        <v>0</v>
      </c>
      <c r="Q105" s="96">
        <v>0</v>
      </c>
      <c r="R105" s="96">
        <v>0</v>
      </c>
      <c r="S105" s="96">
        <v>0</v>
      </c>
      <c r="T105" s="96">
        <v>0</v>
      </c>
      <c r="U105" s="96">
        <v>0</v>
      </c>
      <c r="V105" s="96">
        <v>0</v>
      </c>
      <c r="W105" s="96">
        <v>0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6">
        <v>0</v>
      </c>
      <c r="AH105" s="96">
        <v>0</v>
      </c>
      <c r="AI105" s="96">
        <v>0</v>
      </c>
      <c r="AJ105" s="96">
        <v>0</v>
      </c>
      <c r="AK105" s="96">
        <v>0</v>
      </c>
      <c r="AL105" s="96">
        <v>0</v>
      </c>
      <c r="AM105" s="96">
        <v>0</v>
      </c>
      <c r="AN105" s="96">
        <v>0</v>
      </c>
      <c r="AO105" s="96">
        <v>0</v>
      </c>
      <c r="AP105" s="96">
        <v>0</v>
      </c>
      <c r="AQ105" s="96">
        <v>0</v>
      </c>
      <c r="AR105" s="223"/>
      <c r="AS105" s="261"/>
      <c r="AT105" s="117"/>
      <c r="AU105" s="117"/>
      <c r="AV105" s="118"/>
    </row>
    <row r="106" spans="1:48" s="119" customFormat="1" ht="24">
      <c r="A106" s="275"/>
      <c r="B106" s="276"/>
      <c r="C106" s="277"/>
      <c r="D106" s="99" t="s">
        <v>255</v>
      </c>
      <c r="E106" s="96">
        <f t="shared" si="227"/>
        <v>0</v>
      </c>
      <c r="F106" s="96">
        <f t="shared" si="227"/>
        <v>0</v>
      </c>
      <c r="G106" s="96">
        <v>0</v>
      </c>
      <c r="H106" s="96">
        <v>0</v>
      </c>
      <c r="I106" s="96">
        <v>0</v>
      </c>
      <c r="J106" s="96">
        <v>0</v>
      </c>
      <c r="K106" s="96">
        <v>0</v>
      </c>
      <c r="L106" s="96">
        <v>0</v>
      </c>
      <c r="M106" s="96">
        <v>0</v>
      </c>
      <c r="N106" s="96">
        <v>0</v>
      </c>
      <c r="O106" s="96">
        <v>0</v>
      </c>
      <c r="P106" s="96">
        <v>0</v>
      </c>
      <c r="Q106" s="96">
        <v>0</v>
      </c>
      <c r="R106" s="96">
        <v>0</v>
      </c>
      <c r="S106" s="96">
        <v>0</v>
      </c>
      <c r="T106" s="96">
        <v>0</v>
      </c>
      <c r="U106" s="96">
        <v>0</v>
      </c>
      <c r="V106" s="96">
        <v>0</v>
      </c>
      <c r="W106" s="96">
        <v>0</v>
      </c>
      <c r="X106" s="96">
        <v>0</v>
      </c>
      <c r="Y106" s="96">
        <v>0</v>
      </c>
      <c r="Z106" s="96">
        <v>0</v>
      </c>
      <c r="AA106" s="96">
        <v>0</v>
      </c>
      <c r="AB106" s="96">
        <v>0</v>
      </c>
      <c r="AC106" s="96">
        <v>0</v>
      </c>
      <c r="AD106" s="96">
        <v>0</v>
      </c>
      <c r="AE106" s="96">
        <v>0</v>
      </c>
      <c r="AF106" s="96">
        <v>0</v>
      </c>
      <c r="AG106" s="96">
        <v>0</v>
      </c>
      <c r="AH106" s="96">
        <v>0</v>
      </c>
      <c r="AI106" s="96">
        <v>0</v>
      </c>
      <c r="AJ106" s="96">
        <v>0</v>
      </c>
      <c r="AK106" s="96">
        <v>0</v>
      </c>
      <c r="AL106" s="96">
        <v>0</v>
      </c>
      <c r="AM106" s="96">
        <v>0</v>
      </c>
      <c r="AN106" s="96">
        <v>0</v>
      </c>
      <c r="AO106" s="96">
        <v>0</v>
      </c>
      <c r="AP106" s="96">
        <v>0</v>
      </c>
      <c r="AQ106" s="96">
        <v>0</v>
      </c>
      <c r="AR106" s="223"/>
      <c r="AS106" s="261"/>
      <c r="AT106" s="117"/>
      <c r="AU106" s="117"/>
      <c r="AV106" s="118"/>
    </row>
    <row r="107" spans="1:48" s="119" customFormat="1" ht="24">
      <c r="A107" s="278"/>
      <c r="B107" s="279"/>
      <c r="C107" s="280"/>
      <c r="D107" s="99" t="s">
        <v>285</v>
      </c>
      <c r="E107" s="96">
        <f>H107+K107+N107+Q107+T107+W107+Z107+AC107+AF107+AI107+AL107+AO107</f>
        <v>0</v>
      </c>
      <c r="F107" s="96">
        <f>I107+L107+O107+R107+U107+X107+AA107+AD107+AG107+AJ107+AM107+AP107</f>
        <v>0</v>
      </c>
      <c r="G107" s="96">
        <v>0</v>
      </c>
      <c r="H107" s="96">
        <v>0</v>
      </c>
      <c r="I107" s="96">
        <v>0</v>
      </c>
      <c r="J107" s="96">
        <v>0</v>
      </c>
      <c r="K107" s="97">
        <v>0</v>
      </c>
      <c r="L107" s="96">
        <v>0</v>
      </c>
      <c r="M107" s="96">
        <v>0</v>
      </c>
      <c r="N107" s="96">
        <v>0</v>
      </c>
      <c r="O107" s="96">
        <v>0</v>
      </c>
      <c r="P107" s="96">
        <v>0</v>
      </c>
      <c r="Q107" s="96">
        <v>0</v>
      </c>
      <c r="R107" s="96">
        <v>0</v>
      </c>
      <c r="S107" s="96">
        <v>0</v>
      </c>
      <c r="T107" s="95">
        <v>0</v>
      </c>
      <c r="U107" s="95">
        <v>0</v>
      </c>
      <c r="V107" s="96">
        <v>0</v>
      </c>
      <c r="W107" s="95">
        <v>0</v>
      </c>
      <c r="X107" s="95">
        <v>0</v>
      </c>
      <c r="Y107" s="95">
        <v>0</v>
      </c>
      <c r="Z107" s="95">
        <v>0</v>
      </c>
      <c r="AA107" s="95">
        <v>0</v>
      </c>
      <c r="AB107" s="95">
        <v>0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  <c r="AH107" s="95">
        <v>0</v>
      </c>
      <c r="AI107" s="96">
        <v>0</v>
      </c>
      <c r="AJ107" s="96">
        <v>0</v>
      </c>
      <c r="AK107" s="95">
        <v>0</v>
      </c>
      <c r="AL107" s="95">
        <v>0</v>
      </c>
      <c r="AM107" s="95">
        <v>0</v>
      </c>
      <c r="AN107" s="95">
        <v>0</v>
      </c>
      <c r="AO107" s="96">
        <v>0</v>
      </c>
      <c r="AP107" s="96">
        <v>0</v>
      </c>
      <c r="AQ107" s="95">
        <v>0</v>
      </c>
      <c r="AR107" s="223"/>
      <c r="AS107" s="261"/>
      <c r="AT107" s="117"/>
      <c r="AU107" s="117"/>
      <c r="AV107" s="118"/>
    </row>
    <row r="108" spans="1:48" s="119" customFormat="1" ht="12.75" customHeight="1">
      <c r="A108" s="272" t="s">
        <v>300</v>
      </c>
      <c r="B108" s="273"/>
      <c r="C108" s="274"/>
      <c r="D108" s="99" t="s">
        <v>269</v>
      </c>
      <c r="E108" s="96">
        <f>E109+E110+E111</f>
        <v>0</v>
      </c>
      <c r="F108" s="96">
        <f>F109+F110+F111</f>
        <v>0</v>
      </c>
      <c r="G108" s="96">
        <v>0</v>
      </c>
      <c r="H108" s="96">
        <f t="shared" ref="H108:I108" si="228">H109+H110+H111</f>
        <v>0</v>
      </c>
      <c r="I108" s="96">
        <f t="shared" si="228"/>
        <v>0</v>
      </c>
      <c r="J108" s="96">
        <v>0</v>
      </c>
      <c r="K108" s="96">
        <f t="shared" ref="K108:L108" si="229">K109+K110+K111</f>
        <v>0</v>
      </c>
      <c r="L108" s="96">
        <f t="shared" si="229"/>
        <v>0</v>
      </c>
      <c r="M108" s="96">
        <v>0</v>
      </c>
      <c r="N108" s="96">
        <f t="shared" ref="N108:O108" si="230">N109+N110+N111</f>
        <v>0</v>
      </c>
      <c r="O108" s="96">
        <f t="shared" si="230"/>
        <v>0</v>
      </c>
      <c r="P108" s="96">
        <v>0</v>
      </c>
      <c r="Q108" s="96">
        <f t="shared" ref="Q108:R108" si="231">Q109+Q110+Q111</f>
        <v>0</v>
      </c>
      <c r="R108" s="96">
        <f t="shared" si="231"/>
        <v>0</v>
      </c>
      <c r="S108" s="96">
        <v>0</v>
      </c>
      <c r="T108" s="96">
        <f t="shared" ref="T108:U108" si="232">T109+T110+T111</f>
        <v>0</v>
      </c>
      <c r="U108" s="96">
        <f t="shared" si="232"/>
        <v>0</v>
      </c>
      <c r="V108" s="96">
        <v>0</v>
      </c>
      <c r="W108" s="96">
        <f t="shared" ref="W108:X108" si="233">W109+W110+W111</f>
        <v>0</v>
      </c>
      <c r="X108" s="96">
        <f t="shared" si="233"/>
        <v>0</v>
      </c>
      <c r="Y108" s="96">
        <v>0</v>
      </c>
      <c r="Z108" s="96">
        <f t="shared" ref="Z108:AA108" si="234">Z109+Z110+Z111</f>
        <v>0</v>
      </c>
      <c r="AA108" s="96">
        <f t="shared" si="234"/>
        <v>0</v>
      </c>
      <c r="AB108" s="96" t="e">
        <f>AA108/Z108*100</f>
        <v>#DIV/0!</v>
      </c>
      <c r="AC108" s="96">
        <f t="shared" ref="AC108:AD108" si="235">AC109+AC110+AC111</f>
        <v>0</v>
      </c>
      <c r="AD108" s="96">
        <f t="shared" si="235"/>
        <v>0</v>
      </c>
      <c r="AE108" s="96" t="e">
        <f>AD108/AC108*100</f>
        <v>#DIV/0!</v>
      </c>
      <c r="AF108" s="96">
        <f t="shared" ref="AF108:AG108" si="236">AF109+AF110+AF111</f>
        <v>0</v>
      </c>
      <c r="AG108" s="96">
        <f t="shared" si="236"/>
        <v>0</v>
      </c>
      <c r="AH108" s="96" t="e">
        <f>AG108/AF108*100</f>
        <v>#DIV/0!</v>
      </c>
      <c r="AI108" s="96">
        <f t="shared" ref="AI108:AJ108" si="237">AI109+AI110+AI111</f>
        <v>0</v>
      </c>
      <c r="AJ108" s="96">
        <f t="shared" si="237"/>
        <v>0</v>
      </c>
      <c r="AK108" s="96" t="e">
        <f>AJ108/AI108*100</f>
        <v>#DIV/0!</v>
      </c>
      <c r="AL108" s="96">
        <f t="shared" ref="AL108:AM108" si="238">AL109+AL110+AL111</f>
        <v>0</v>
      </c>
      <c r="AM108" s="96">
        <f t="shared" si="238"/>
        <v>0</v>
      </c>
      <c r="AN108" s="96" t="e">
        <f>AM108/AL108*100</f>
        <v>#DIV/0!</v>
      </c>
      <c r="AO108" s="96">
        <f t="shared" ref="AO108:AQ108" si="239">AO109+AO110+AO111</f>
        <v>0</v>
      </c>
      <c r="AP108" s="96">
        <f t="shared" si="239"/>
        <v>0</v>
      </c>
      <c r="AQ108" s="96">
        <f t="shared" si="239"/>
        <v>0</v>
      </c>
      <c r="AR108" s="223"/>
      <c r="AS108" s="261"/>
      <c r="AT108" s="117"/>
      <c r="AU108" s="117"/>
      <c r="AV108" s="118"/>
    </row>
    <row r="109" spans="1:48" s="119" customFormat="1" ht="49.5" customHeight="1">
      <c r="A109" s="275"/>
      <c r="B109" s="276"/>
      <c r="C109" s="277"/>
      <c r="D109" s="109" t="s">
        <v>267</v>
      </c>
      <c r="E109" s="96">
        <f>H109+K109+N109+Q109+T109+W109+Z109+AC109+AF109+AI109+AL109+AO109</f>
        <v>0</v>
      </c>
      <c r="F109" s="96">
        <f>I109+L109+O109+R109+U109+X109+AA109+AD109+AG109+AJ109+AM109+AP109</f>
        <v>0</v>
      </c>
      <c r="G109" s="96">
        <v>0</v>
      </c>
      <c r="H109" s="96">
        <v>0</v>
      </c>
      <c r="I109" s="96">
        <v>0</v>
      </c>
      <c r="J109" s="96">
        <v>0</v>
      </c>
      <c r="K109" s="96">
        <v>0</v>
      </c>
      <c r="L109" s="96">
        <v>0</v>
      </c>
      <c r="M109" s="96">
        <v>0</v>
      </c>
      <c r="N109" s="96">
        <v>0</v>
      </c>
      <c r="O109" s="96">
        <v>0</v>
      </c>
      <c r="P109" s="96">
        <v>0</v>
      </c>
      <c r="Q109" s="96">
        <v>0</v>
      </c>
      <c r="R109" s="96">
        <v>0</v>
      </c>
      <c r="S109" s="96">
        <v>0</v>
      </c>
      <c r="T109" s="96">
        <v>0</v>
      </c>
      <c r="U109" s="96">
        <v>0</v>
      </c>
      <c r="V109" s="96">
        <v>0</v>
      </c>
      <c r="W109" s="96">
        <v>0</v>
      </c>
      <c r="X109" s="96">
        <v>0</v>
      </c>
      <c r="Y109" s="96">
        <v>0</v>
      </c>
      <c r="Z109" s="96">
        <v>0</v>
      </c>
      <c r="AA109" s="96">
        <v>0</v>
      </c>
      <c r="AB109" s="96" t="e">
        <f>AA109/Z109*100</f>
        <v>#DIV/0!</v>
      </c>
      <c r="AC109" s="96">
        <v>0</v>
      </c>
      <c r="AD109" s="96">
        <v>0</v>
      </c>
      <c r="AE109" s="96" t="e">
        <f>AD109/AC109*100</f>
        <v>#DIV/0!</v>
      </c>
      <c r="AF109" s="96">
        <v>0</v>
      </c>
      <c r="AG109" s="96">
        <v>0</v>
      </c>
      <c r="AH109" s="96" t="e">
        <f>AG109/AF109*100</f>
        <v>#DIV/0!</v>
      </c>
      <c r="AI109" s="96">
        <v>0</v>
      </c>
      <c r="AJ109" s="96">
        <v>0</v>
      </c>
      <c r="AK109" s="96" t="e">
        <f>AJ109/AI109*100</f>
        <v>#DIV/0!</v>
      </c>
      <c r="AL109" s="96">
        <v>0</v>
      </c>
      <c r="AM109" s="96">
        <v>0</v>
      </c>
      <c r="AN109" s="96" t="e">
        <f>AM109/AL109*100</f>
        <v>#DIV/0!</v>
      </c>
      <c r="AO109" s="96">
        <v>0</v>
      </c>
      <c r="AP109" s="96">
        <v>0</v>
      </c>
      <c r="AQ109" s="96">
        <v>0</v>
      </c>
      <c r="AR109" s="223"/>
      <c r="AS109" s="261"/>
      <c r="AT109" s="117"/>
      <c r="AU109" s="117"/>
      <c r="AV109" s="118"/>
    </row>
    <row r="110" spans="1:48" s="119" customFormat="1" ht="18" customHeight="1">
      <c r="A110" s="275"/>
      <c r="B110" s="276"/>
      <c r="C110" s="277"/>
      <c r="D110" s="109" t="s">
        <v>280</v>
      </c>
      <c r="E110" s="96">
        <f t="shared" ref="E110:F111" si="240">H110+K110+N110+Q110+T110+W110+Z110+AC110+AF110+AI110+AL110+AO110</f>
        <v>0</v>
      </c>
      <c r="F110" s="96">
        <f>I110+L110+O110+R110+U110+X110+AA110+AD110+AG110+AJ110+AM110+AP110</f>
        <v>0</v>
      </c>
      <c r="G110" s="96">
        <v>0</v>
      </c>
      <c r="H110" s="96">
        <v>0</v>
      </c>
      <c r="I110" s="96">
        <v>0</v>
      </c>
      <c r="J110" s="96">
        <v>0</v>
      </c>
      <c r="K110" s="96">
        <v>0</v>
      </c>
      <c r="L110" s="96">
        <v>0</v>
      </c>
      <c r="M110" s="96">
        <v>0</v>
      </c>
      <c r="N110" s="96">
        <v>0</v>
      </c>
      <c r="O110" s="96">
        <v>0</v>
      </c>
      <c r="P110" s="96">
        <v>0</v>
      </c>
      <c r="Q110" s="96">
        <v>0</v>
      </c>
      <c r="R110" s="96">
        <v>0</v>
      </c>
      <c r="S110" s="96">
        <v>0</v>
      </c>
      <c r="T110" s="96">
        <v>0</v>
      </c>
      <c r="U110" s="96">
        <v>0</v>
      </c>
      <c r="V110" s="96">
        <v>0</v>
      </c>
      <c r="W110" s="96">
        <v>0</v>
      </c>
      <c r="X110" s="96">
        <v>0</v>
      </c>
      <c r="Y110" s="96">
        <v>0</v>
      </c>
      <c r="Z110" s="96">
        <v>0</v>
      </c>
      <c r="AA110" s="96">
        <v>0</v>
      </c>
      <c r="AB110" s="96">
        <v>0</v>
      </c>
      <c r="AC110" s="96">
        <v>0</v>
      </c>
      <c r="AD110" s="96">
        <v>0</v>
      </c>
      <c r="AE110" s="96" t="e">
        <f>AD110/AC110*100</f>
        <v>#DIV/0!</v>
      </c>
      <c r="AF110" s="96">
        <v>0</v>
      </c>
      <c r="AG110" s="96">
        <v>0</v>
      </c>
      <c r="AH110" s="96" t="e">
        <f>AG110/AF110*100</f>
        <v>#DIV/0!</v>
      </c>
      <c r="AI110" s="96">
        <v>0</v>
      </c>
      <c r="AJ110" s="96">
        <v>0</v>
      </c>
      <c r="AK110" s="96" t="e">
        <f>AJ110/AI110*100</f>
        <v>#DIV/0!</v>
      </c>
      <c r="AL110" s="96">
        <v>0</v>
      </c>
      <c r="AM110" s="96">
        <v>0</v>
      </c>
      <c r="AN110" s="96">
        <v>0</v>
      </c>
      <c r="AO110" s="96">
        <v>0</v>
      </c>
      <c r="AP110" s="96">
        <v>0</v>
      </c>
      <c r="AQ110" s="96">
        <v>0</v>
      </c>
      <c r="AR110" s="223"/>
      <c r="AS110" s="261"/>
      <c r="AT110" s="117"/>
      <c r="AU110" s="117"/>
      <c r="AV110" s="118"/>
    </row>
    <row r="111" spans="1:48" s="119" customFormat="1" ht="30" customHeight="1">
      <c r="A111" s="275"/>
      <c r="B111" s="276"/>
      <c r="C111" s="277"/>
      <c r="D111" s="99" t="s">
        <v>255</v>
      </c>
      <c r="E111" s="96">
        <f t="shared" si="240"/>
        <v>0</v>
      </c>
      <c r="F111" s="96">
        <f t="shared" si="240"/>
        <v>0</v>
      </c>
      <c r="G111" s="96">
        <v>0</v>
      </c>
      <c r="H111" s="96">
        <v>0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6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  <c r="AD111" s="96">
        <v>0</v>
      </c>
      <c r="AE111" s="96">
        <v>0</v>
      </c>
      <c r="AF111" s="96">
        <v>0</v>
      </c>
      <c r="AG111" s="96">
        <v>0</v>
      </c>
      <c r="AH111" s="96">
        <v>0</v>
      </c>
      <c r="AI111" s="96">
        <v>0</v>
      </c>
      <c r="AJ111" s="96">
        <v>0</v>
      </c>
      <c r="AK111" s="96">
        <v>0</v>
      </c>
      <c r="AL111" s="96">
        <v>0</v>
      </c>
      <c r="AM111" s="96">
        <v>0</v>
      </c>
      <c r="AN111" s="96">
        <v>0</v>
      </c>
      <c r="AO111" s="96">
        <v>0</v>
      </c>
      <c r="AP111" s="96">
        <v>0</v>
      </c>
      <c r="AQ111" s="116">
        <v>0</v>
      </c>
      <c r="AR111" s="223"/>
      <c r="AS111" s="261"/>
      <c r="AT111" s="117"/>
      <c r="AU111" s="117"/>
      <c r="AV111" s="118"/>
    </row>
    <row r="112" spans="1:48" s="119" customFormat="1" ht="24">
      <c r="A112" s="278"/>
      <c r="B112" s="279"/>
      <c r="C112" s="280"/>
      <c r="D112" s="99" t="s">
        <v>285</v>
      </c>
      <c r="E112" s="96">
        <f>H112+K112+N112+Q112+T112+W112+Z112+AC112+AF112+AI112+AL112+AO112</f>
        <v>0</v>
      </c>
      <c r="F112" s="96">
        <f>I112+L112+O112+R112+U112+X112+AA112+AD112+AG112+AJ112+AM112+AP112</f>
        <v>0</v>
      </c>
      <c r="G112" s="96">
        <v>0</v>
      </c>
      <c r="H112" s="96">
        <v>0</v>
      </c>
      <c r="I112" s="96">
        <v>0</v>
      </c>
      <c r="J112" s="96">
        <v>0</v>
      </c>
      <c r="K112" s="97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5">
        <v>0</v>
      </c>
      <c r="U112" s="95">
        <v>0</v>
      </c>
      <c r="V112" s="96">
        <v>0</v>
      </c>
      <c r="W112" s="95">
        <v>0</v>
      </c>
      <c r="X112" s="95">
        <v>0</v>
      </c>
      <c r="Y112" s="95">
        <v>0</v>
      </c>
      <c r="Z112" s="95">
        <v>0</v>
      </c>
      <c r="AA112" s="95">
        <v>0</v>
      </c>
      <c r="AB112" s="95">
        <v>0</v>
      </c>
      <c r="AC112" s="95">
        <v>0</v>
      </c>
      <c r="AD112" s="95">
        <v>0</v>
      </c>
      <c r="AE112" s="95">
        <v>0</v>
      </c>
      <c r="AF112" s="95">
        <v>0</v>
      </c>
      <c r="AG112" s="95">
        <v>0</v>
      </c>
      <c r="AH112" s="96">
        <v>0</v>
      </c>
      <c r="AI112" s="96">
        <v>0</v>
      </c>
      <c r="AJ112" s="96">
        <v>0</v>
      </c>
      <c r="AK112" s="96">
        <v>0</v>
      </c>
      <c r="AL112" s="95">
        <v>0</v>
      </c>
      <c r="AM112" s="95">
        <v>0</v>
      </c>
      <c r="AN112" s="95">
        <v>0</v>
      </c>
      <c r="AO112" s="96">
        <v>0</v>
      </c>
      <c r="AP112" s="96">
        <v>0</v>
      </c>
      <c r="AQ112" s="96">
        <v>0</v>
      </c>
      <c r="AR112" s="223"/>
      <c r="AS112" s="261"/>
      <c r="AT112" s="117"/>
      <c r="AU112" s="117"/>
      <c r="AV112" s="118"/>
    </row>
    <row r="113" spans="1:48" s="119" customFormat="1" ht="12.75" customHeight="1">
      <c r="A113" s="272" t="s">
        <v>301</v>
      </c>
      <c r="B113" s="273"/>
      <c r="C113" s="274"/>
      <c r="D113" s="99" t="s">
        <v>269</v>
      </c>
      <c r="E113" s="96">
        <f>E114+E115+E116</f>
        <v>0</v>
      </c>
      <c r="F113" s="96">
        <f>F114+F115+F116</f>
        <v>0</v>
      </c>
      <c r="G113" s="96">
        <v>0</v>
      </c>
      <c r="H113" s="96">
        <f t="shared" ref="H113:I113" si="241">H114+H115+H116</f>
        <v>0</v>
      </c>
      <c r="I113" s="96">
        <f t="shared" si="241"/>
        <v>0</v>
      </c>
      <c r="J113" s="96">
        <v>0</v>
      </c>
      <c r="K113" s="96">
        <f t="shared" ref="K113:L113" si="242">K114+K115+K116</f>
        <v>0</v>
      </c>
      <c r="L113" s="96">
        <f t="shared" si="242"/>
        <v>0</v>
      </c>
      <c r="M113" s="96">
        <v>0</v>
      </c>
      <c r="N113" s="96">
        <f t="shared" ref="N113:O113" si="243">N114+N115+N116</f>
        <v>0</v>
      </c>
      <c r="O113" s="96">
        <f t="shared" si="243"/>
        <v>0</v>
      </c>
      <c r="P113" s="96">
        <v>0</v>
      </c>
      <c r="Q113" s="96">
        <f t="shared" ref="Q113:R113" si="244">Q114+Q115+Q116</f>
        <v>0</v>
      </c>
      <c r="R113" s="96">
        <f t="shared" si="244"/>
        <v>0</v>
      </c>
      <c r="S113" s="96">
        <v>0</v>
      </c>
      <c r="T113" s="96">
        <f t="shared" ref="T113:U113" si="245">T114+T115+T116</f>
        <v>0</v>
      </c>
      <c r="U113" s="96">
        <f t="shared" si="245"/>
        <v>0</v>
      </c>
      <c r="V113" s="96">
        <v>0</v>
      </c>
      <c r="W113" s="96">
        <f t="shared" ref="W113:X113" si="246">W114+W115+W116</f>
        <v>0</v>
      </c>
      <c r="X113" s="96">
        <f t="shared" si="246"/>
        <v>0</v>
      </c>
      <c r="Y113" s="96">
        <v>0</v>
      </c>
      <c r="Z113" s="96">
        <f t="shared" ref="Z113:AA113" si="247">Z114+Z115+Z116</f>
        <v>0</v>
      </c>
      <c r="AA113" s="96">
        <f t="shared" si="247"/>
        <v>0</v>
      </c>
      <c r="AB113" s="96" t="e">
        <f>AA113/Z113*100</f>
        <v>#DIV/0!</v>
      </c>
      <c r="AC113" s="96">
        <f t="shared" ref="AC113:AD113" si="248">AC114+AC115+AC116</f>
        <v>0</v>
      </c>
      <c r="AD113" s="96">
        <f t="shared" si="248"/>
        <v>0</v>
      </c>
      <c r="AE113" s="96" t="e">
        <f>AD113/AC113*100</f>
        <v>#DIV/0!</v>
      </c>
      <c r="AF113" s="96">
        <f t="shared" ref="AF113:AG113" si="249">AF114+AF115+AF116</f>
        <v>0</v>
      </c>
      <c r="AG113" s="96">
        <f t="shared" si="249"/>
        <v>0</v>
      </c>
      <c r="AH113" s="96" t="e">
        <f>AG113/AF113*100</f>
        <v>#DIV/0!</v>
      </c>
      <c r="AI113" s="96">
        <f t="shared" ref="AI113:AJ113" si="250">AI114+AI115+AI116</f>
        <v>0</v>
      </c>
      <c r="AJ113" s="96">
        <f t="shared" si="250"/>
        <v>0</v>
      </c>
      <c r="AK113" s="96">
        <v>0</v>
      </c>
      <c r="AL113" s="96">
        <f t="shared" ref="AL113:AM113" si="251">AL114+AL115+AL116</f>
        <v>0</v>
      </c>
      <c r="AM113" s="96">
        <f t="shared" si="251"/>
        <v>0</v>
      </c>
      <c r="AN113" s="96">
        <v>0</v>
      </c>
      <c r="AO113" s="96">
        <f t="shared" ref="AO113" si="252">AO114+AO115+AO116</f>
        <v>0</v>
      </c>
      <c r="AP113" s="96">
        <v>0</v>
      </c>
      <c r="AQ113" s="116">
        <v>0</v>
      </c>
      <c r="AR113" s="223"/>
      <c r="AS113" s="261"/>
      <c r="AT113" s="117"/>
      <c r="AU113" s="117"/>
      <c r="AV113" s="118"/>
    </row>
    <row r="114" spans="1:48" s="119" customFormat="1" ht="48">
      <c r="A114" s="275"/>
      <c r="B114" s="276"/>
      <c r="C114" s="277"/>
      <c r="D114" s="109" t="s">
        <v>267</v>
      </c>
      <c r="E114" s="96">
        <f>H114+K114+N114+Q114+T114+W114+Z114+AC114+AF114+AI114+AL114+AO114</f>
        <v>0</v>
      </c>
      <c r="F114" s="96">
        <f>I114+L114+O114+R114+U114+X114+AA114+AD114+AG114+AJ114+AM114+AP114</f>
        <v>0</v>
      </c>
      <c r="G114" s="96">
        <v>0</v>
      </c>
      <c r="H114" s="96">
        <v>0</v>
      </c>
      <c r="I114" s="96">
        <v>0</v>
      </c>
      <c r="J114" s="96">
        <v>0</v>
      </c>
      <c r="K114" s="96">
        <v>0</v>
      </c>
      <c r="L114" s="96">
        <v>0</v>
      </c>
      <c r="M114" s="96">
        <v>0</v>
      </c>
      <c r="N114" s="96">
        <v>0</v>
      </c>
      <c r="O114" s="96">
        <v>0</v>
      </c>
      <c r="P114" s="96">
        <v>0</v>
      </c>
      <c r="Q114" s="96">
        <v>0</v>
      </c>
      <c r="R114" s="96">
        <v>0</v>
      </c>
      <c r="S114" s="96">
        <v>0</v>
      </c>
      <c r="T114" s="96">
        <v>0</v>
      </c>
      <c r="U114" s="96">
        <v>0</v>
      </c>
      <c r="V114" s="96">
        <v>0</v>
      </c>
      <c r="W114" s="96">
        <v>0</v>
      </c>
      <c r="X114" s="96">
        <v>0</v>
      </c>
      <c r="Y114" s="96">
        <v>0</v>
      </c>
      <c r="Z114" s="96">
        <v>0</v>
      </c>
      <c r="AA114" s="96">
        <v>0</v>
      </c>
      <c r="AB114" s="96" t="e">
        <f>AA114/Z114*100</f>
        <v>#DIV/0!</v>
      </c>
      <c r="AC114" s="96">
        <v>0</v>
      </c>
      <c r="AD114" s="96">
        <v>0</v>
      </c>
      <c r="AE114" s="96" t="e">
        <f>AD114/AC114*100</f>
        <v>#DIV/0!</v>
      </c>
      <c r="AF114" s="96">
        <v>0</v>
      </c>
      <c r="AG114" s="96">
        <v>0</v>
      </c>
      <c r="AH114" s="96" t="e">
        <f>AG114/AF114*100</f>
        <v>#DIV/0!</v>
      </c>
      <c r="AI114" s="96">
        <v>0</v>
      </c>
      <c r="AJ114" s="96">
        <v>0</v>
      </c>
      <c r="AK114" s="96">
        <v>0</v>
      </c>
      <c r="AL114" s="96">
        <v>0</v>
      </c>
      <c r="AM114" s="96">
        <v>0</v>
      </c>
      <c r="AN114" s="96">
        <v>0</v>
      </c>
      <c r="AO114" s="96">
        <v>0</v>
      </c>
      <c r="AP114" s="96">
        <v>0</v>
      </c>
      <c r="AQ114" s="116">
        <v>0</v>
      </c>
      <c r="AR114" s="223"/>
      <c r="AS114" s="261"/>
      <c r="AT114" s="117"/>
      <c r="AU114" s="117"/>
      <c r="AV114" s="118"/>
    </row>
    <row r="115" spans="1:48" s="119" customFormat="1" ht="12.75" customHeight="1">
      <c r="A115" s="275"/>
      <c r="B115" s="276"/>
      <c r="C115" s="277"/>
      <c r="D115" s="109" t="s">
        <v>280</v>
      </c>
      <c r="E115" s="96">
        <f>H115+K115+N115+Q115+T115+W115+Z115+AC115+AF115+AI115+AL115+AO115</f>
        <v>0</v>
      </c>
      <c r="F115" s="96">
        <f>I115+L115+O115+R115+U115+X115+AA115+AD115+AG115+AJ115+AM115+AP115</f>
        <v>0</v>
      </c>
      <c r="G115" s="96">
        <v>0</v>
      </c>
      <c r="H115" s="96">
        <v>0</v>
      </c>
      <c r="I115" s="96">
        <v>0</v>
      </c>
      <c r="J115" s="96">
        <v>0</v>
      </c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96">
        <v>0</v>
      </c>
      <c r="X115" s="96">
        <v>0</v>
      </c>
      <c r="Y115" s="96">
        <v>0</v>
      </c>
      <c r="Z115" s="96">
        <v>0</v>
      </c>
      <c r="AA115" s="96">
        <v>0</v>
      </c>
      <c r="AB115" s="96" t="e">
        <f>AA115/Z115*100</f>
        <v>#DIV/0!</v>
      </c>
      <c r="AC115" s="96">
        <v>0</v>
      </c>
      <c r="AD115" s="96">
        <v>0</v>
      </c>
      <c r="AE115" s="96" t="e">
        <f>AD115/AC115*100</f>
        <v>#DIV/0!</v>
      </c>
      <c r="AF115" s="96">
        <v>0</v>
      </c>
      <c r="AG115" s="96">
        <v>0</v>
      </c>
      <c r="AH115" s="96">
        <v>0</v>
      </c>
      <c r="AI115" s="96">
        <v>0</v>
      </c>
      <c r="AJ115" s="96">
        <v>0</v>
      </c>
      <c r="AK115" s="96">
        <v>0</v>
      </c>
      <c r="AL115" s="96">
        <v>0</v>
      </c>
      <c r="AM115" s="96">
        <v>0</v>
      </c>
      <c r="AN115" s="96">
        <v>0</v>
      </c>
      <c r="AO115" s="96">
        <v>0</v>
      </c>
      <c r="AP115" s="96">
        <v>0</v>
      </c>
      <c r="AQ115" s="116">
        <v>0</v>
      </c>
      <c r="AR115" s="223"/>
      <c r="AS115" s="261"/>
      <c r="AT115" s="117"/>
      <c r="AU115" s="117"/>
      <c r="AV115" s="118"/>
    </row>
    <row r="116" spans="1:48" s="119" customFormat="1" ht="24">
      <c r="A116" s="275"/>
      <c r="B116" s="276"/>
      <c r="C116" s="277"/>
      <c r="D116" s="99" t="s">
        <v>255</v>
      </c>
      <c r="E116" s="96">
        <f t="shared" ref="E116:F116" si="253">H116+K116+N116+Q116+T116+W116+Z116+AC116+AF116+AI116+AL116+AO116</f>
        <v>0</v>
      </c>
      <c r="F116" s="96">
        <f t="shared" si="253"/>
        <v>0</v>
      </c>
      <c r="G116" s="96">
        <v>0</v>
      </c>
      <c r="H116" s="96">
        <v>0</v>
      </c>
      <c r="I116" s="96">
        <v>0</v>
      </c>
      <c r="J116" s="96">
        <v>0</v>
      </c>
      <c r="K116" s="96">
        <v>0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0</v>
      </c>
      <c r="T116" s="96">
        <v>0</v>
      </c>
      <c r="U116" s="96">
        <v>0</v>
      </c>
      <c r="V116" s="96">
        <v>0</v>
      </c>
      <c r="W116" s="96">
        <v>0</v>
      </c>
      <c r="X116" s="96">
        <v>0</v>
      </c>
      <c r="Y116" s="96">
        <v>0</v>
      </c>
      <c r="Z116" s="96">
        <v>0</v>
      </c>
      <c r="AA116" s="96">
        <v>0</v>
      </c>
      <c r="AB116" s="96">
        <v>0</v>
      </c>
      <c r="AC116" s="96">
        <v>0</v>
      </c>
      <c r="AD116" s="96">
        <v>0</v>
      </c>
      <c r="AE116" s="96">
        <v>0</v>
      </c>
      <c r="AF116" s="96">
        <v>0</v>
      </c>
      <c r="AG116" s="96">
        <v>0</v>
      </c>
      <c r="AH116" s="96">
        <v>0</v>
      </c>
      <c r="AI116" s="96">
        <v>0</v>
      </c>
      <c r="AJ116" s="96">
        <v>0</v>
      </c>
      <c r="AK116" s="96">
        <v>0</v>
      </c>
      <c r="AL116" s="96">
        <v>0</v>
      </c>
      <c r="AM116" s="96">
        <v>0</v>
      </c>
      <c r="AN116" s="96">
        <v>0</v>
      </c>
      <c r="AO116" s="96">
        <v>0</v>
      </c>
      <c r="AP116" s="96">
        <v>0</v>
      </c>
      <c r="AQ116" s="116">
        <v>0</v>
      </c>
      <c r="AR116" s="223"/>
      <c r="AS116" s="261"/>
      <c r="AT116" s="117"/>
      <c r="AU116" s="117"/>
      <c r="AV116" s="118"/>
    </row>
    <row r="117" spans="1:48" s="119" customFormat="1" ht="12.75" customHeight="1">
      <c r="A117" s="278"/>
      <c r="B117" s="279"/>
      <c r="C117" s="280"/>
      <c r="D117" s="99" t="s">
        <v>285</v>
      </c>
      <c r="E117" s="96">
        <f>H117+K117+N117+Q117+T117+W117+Z117+AC117+AF117+AI117+AL117+AO117</f>
        <v>0</v>
      </c>
      <c r="F117" s="96">
        <f>I117+L117+O117+R117+U117+X117+AA117+AD117+AG117+AJ117+AM117+AP117</f>
        <v>0</v>
      </c>
      <c r="G117" s="96">
        <v>0</v>
      </c>
      <c r="H117" s="96">
        <v>0</v>
      </c>
      <c r="I117" s="96">
        <v>0</v>
      </c>
      <c r="J117" s="96">
        <v>0</v>
      </c>
      <c r="K117" s="97">
        <v>0</v>
      </c>
      <c r="L117" s="96">
        <v>0</v>
      </c>
      <c r="M117" s="96">
        <v>0</v>
      </c>
      <c r="N117" s="96">
        <v>0</v>
      </c>
      <c r="O117" s="96">
        <v>0</v>
      </c>
      <c r="P117" s="96">
        <v>0</v>
      </c>
      <c r="Q117" s="96">
        <v>0</v>
      </c>
      <c r="R117" s="96">
        <v>0</v>
      </c>
      <c r="S117" s="96">
        <v>0</v>
      </c>
      <c r="T117" s="95">
        <v>0</v>
      </c>
      <c r="U117" s="95">
        <v>0</v>
      </c>
      <c r="V117" s="96">
        <v>0</v>
      </c>
      <c r="W117" s="95">
        <v>0</v>
      </c>
      <c r="X117" s="95">
        <v>0</v>
      </c>
      <c r="Y117" s="95">
        <v>0</v>
      </c>
      <c r="Z117" s="95">
        <v>0</v>
      </c>
      <c r="AA117" s="95">
        <v>0</v>
      </c>
      <c r="AB117" s="95">
        <v>0</v>
      </c>
      <c r="AC117" s="95">
        <v>0</v>
      </c>
      <c r="AD117" s="95">
        <v>0</v>
      </c>
      <c r="AE117" s="95">
        <v>0</v>
      </c>
      <c r="AF117" s="95">
        <v>0</v>
      </c>
      <c r="AG117" s="95">
        <v>0</v>
      </c>
      <c r="AH117" s="96">
        <v>0</v>
      </c>
      <c r="AI117" s="96">
        <v>0</v>
      </c>
      <c r="AJ117" s="96">
        <v>0</v>
      </c>
      <c r="AK117" s="96">
        <v>0</v>
      </c>
      <c r="AL117" s="95">
        <v>0</v>
      </c>
      <c r="AM117" s="95">
        <v>0</v>
      </c>
      <c r="AN117" s="95">
        <v>0</v>
      </c>
      <c r="AO117" s="96">
        <v>0</v>
      </c>
      <c r="AP117" s="96">
        <v>0</v>
      </c>
      <c r="AQ117" s="96">
        <v>0</v>
      </c>
      <c r="AR117" s="223"/>
      <c r="AS117" s="261"/>
      <c r="AT117" s="117"/>
      <c r="AU117" s="117"/>
      <c r="AV117" s="118"/>
    </row>
    <row r="118" spans="1:48" s="119" customFormat="1" ht="12.75" customHeight="1">
      <c r="A118" s="272" t="s">
        <v>302</v>
      </c>
      <c r="B118" s="273"/>
      <c r="C118" s="274"/>
      <c r="D118" s="99" t="s">
        <v>269</v>
      </c>
      <c r="E118" s="96">
        <f>E119+E120+E121</f>
        <v>380.7</v>
      </c>
      <c r="F118" s="96">
        <f>F119+F120+F121</f>
        <v>206.2</v>
      </c>
      <c r="G118" s="96">
        <f>F118/E118*100</f>
        <v>54.163383241397426</v>
      </c>
      <c r="H118" s="96">
        <f t="shared" ref="H118:I118" si="254">H119+H120+H121</f>
        <v>0</v>
      </c>
      <c r="I118" s="96">
        <f t="shared" si="254"/>
        <v>0</v>
      </c>
      <c r="J118" s="96">
        <v>0</v>
      </c>
      <c r="K118" s="96">
        <f t="shared" ref="K118:L118" si="255">K119+K120+K121</f>
        <v>26</v>
      </c>
      <c r="L118" s="96">
        <f t="shared" si="255"/>
        <v>25.3</v>
      </c>
      <c r="M118" s="96">
        <f>L118/K118*100</f>
        <v>97.307692307692307</v>
      </c>
      <c r="N118" s="96">
        <f t="shared" ref="N118:O118" si="256">N119+N120+N121</f>
        <v>21.6</v>
      </c>
      <c r="O118" s="96">
        <f t="shared" si="256"/>
        <v>21.8</v>
      </c>
      <c r="P118" s="96">
        <f>O118/N118*100</f>
        <v>100.92592592592592</v>
      </c>
      <c r="Q118" s="96">
        <f t="shared" ref="Q118:R118" si="257">Q119+Q120+Q121</f>
        <v>122.1</v>
      </c>
      <c r="R118" s="96">
        <f t="shared" si="257"/>
        <v>121.8</v>
      </c>
      <c r="S118" s="96">
        <f>R118/Q118*100</f>
        <v>99.754299754299751</v>
      </c>
      <c r="T118" s="96">
        <f>T119+T120+T121</f>
        <v>18</v>
      </c>
      <c r="U118" s="96">
        <f t="shared" ref="U118" si="258">U119+U120+U121</f>
        <v>17.899999999999999</v>
      </c>
      <c r="V118" s="96">
        <f>U118/T118*100</f>
        <v>99.444444444444429</v>
      </c>
      <c r="W118" s="96">
        <f t="shared" ref="W118:X118" si="259">W119+W120+W121</f>
        <v>22</v>
      </c>
      <c r="X118" s="96">
        <f t="shared" si="259"/>
        <v>19.399999999999999</v>
      </c>
      <c r="Y118" s="96">
        <f>X118/W118*100</f>
        <v>88.181818181818173</v>
      </c>
      <c r="Z118" s="96">
        <f t="shared" ref="Z118:AA118" si="260">Z119+Z120+Z121</f>
        <v>9.5</v>
      </c>
      <c r="AA118" s="96">
        <f t="shared" si="260"/>
        <v>0</v>
      </c>
      <c r="AB118" s="96">
        <f>AA118/Z118*100</f>
        <v>0</v>
      </c>
      <c r="AC118" s="96">
        <f t="shared" ref="AC118:AD118" si="261">AC119+AC120+AC121</f>
        <v>9.5</v>
      </c>
      <c r="AD118" s="96">
        <f t="shared" si="261"/>
        <v>0</v>
      </c>
      <c r="AE118" s="96">
        <f>AD118/AC118*100</f>
        <v>0</v>
      </c>
      <c r="AF118" s="96">
        <f t="shared" ref="AF118:AG118" si="262">AF119+AF120+AF121</f>
        <v>9.5</v>
      </c>
      <c r="AG118" s="96">
        <f t="shared" si="262"/>
        <v>0</v>
      </c>
      <c r="AH118" s="96">
        <f>AG118/AF118*100</f>
        <v>0</v>
      </c>
      <c r="AI118" s="96">
        <f t="shared" ref="AI118:AJ118" si="263">AI119+AI120+AI121</f>
        <v>9</v>
      </c>
      <c r="AJ118" s="96">
        <f t="shared" si="263"/>
        <v>0</v>
      </c>
      <c r="AK118" s="96">
        <f>AJ118/AI118*100</f>
        <v>0</v>
      </c>
      <c r="AL118" s="96">
        <f t="shared" ref="AL118:AM118" si="264">AL119+AL120+AL121</f>
        <v>20</v>
      </c>
      <c r="AM118" s="96">
        <f t="shared" si="264"/>
        <v>0</v>
      </c>
      <c r="AN118" s="96">
        <f>AM118/AL118*100</f>
        <v>0</v>
      </c>
      <c r="AO118" s="96">
        <f t="shared" ref="AO118:AP118" si="265">AO119+AO120+AO121</f>
        <v>113.5</v>
      </c>
      <c r="AP118" s="96">
        <f t="shared" si="265"/>
        <v>0</v>
      </c>
      <c r="AQ118" s="96">
        <f>AP118/AO118*100</f>
        <v>0</v>
      </c>
      <c r="AR118" s="223"/>
      <c r="AS118" s="261"/>
      <c r="AT118" s="117"/>
      <c r="AU118" s="117"/>
      <c r="AV118" s="118"/>
    </row>
    <row r="119" spans="1:48" s="119" customFormat="1" ht="48">
      <c r="A119" s="275"/>
      <c r="B119" s="276"/>
      <c r="C119" s="277"/>
      <c r="D119" s="109" t="s">
        <v>267</v>
      </c>
      <c r="E119" s="96">
        <f>H119+K119+N119+Q119+T119+W119+Z119+AC119+AF119+AI119+AL119+AO119</f>
        <v>112.5</v>
      </c>
      <c r="F119" s="96">
        <f>I119+L119+O119+R119+U119+X119+AA119+AD119+AG119+AJ119+AM119+AP119</f>
        <v>112.5</v>
      </c>
      <c r="G119" s="96">
        <f>F119/E119*100</f>
        <v>100</v>
      </c>
      <c r="H119" s="96">
        <v>0</v>
      </c>
      <c r="I119" s="96">
        <v>0</v>
      </c>
      <c r="J119" s="96">
        <v>0</v>
      </c>
      <c r="K119" s="96">
        <v>0</v>
      </c>
      <c r="L119" s="96">
        <v>0</v>
      </c>
      <c r="M119" s="96">
        <v>0</v>
      </c>
      <c r="N119" s="96">
        <v>0</v>
      </c>
      <c r="O119" s="96">
        <v>0</v>
      </c>
      <c r="P119" s="96">
        <v>0</v>
      </c>
      <c r="Q119" s="96">
        <v>103.1</v>
      </c>
      <c r="R119" s="96">
        <v>103.1</v>
      </c>
      <c r="S119" s="96">
        <f>R119/Q119*100</f>
        <v>100</v>
      </c>
      <c r="T119" s="96">
        <v>0</v>
      </c>
      <c r="U119" s="96">
        <v>0</v>
      </c>
      <c r="V119" s="96">
        <v>0</v>
      </c>
      <c r="W119" s="96">
        <v>9.4</v>
      </c>
      <c r="X119" s="96">
        <v>9.4</v>
      </c>
      <c r="Y119" s="96">
        <f t="shared" ref="Y119:Y120" si="266">X119/W119*100</f>
        <v>100</v>
      </c>
      <c r="Z119" s="96">
        <v>0</v>
      </c>
      <c r="AA119" s="96">
        <v>0</v>
      </c>
      <c r="AB119" s="96" t="e">
        <f t="shared" ref="AB119:AB120" si="267">AA119/Z119*100</f>
        <v>#DIV/0!</v>
      </c>
      <c r="AC119" s="96">
        <v>0</v>
      </c>
      <c r="AD119" s="96">
        <v>0</v>
      </c>
      <c r="AE119" s="96" t="e">
        <f t="shared" ref="AE119:AE120" si="268">AD119/AC119*100</f>
        <v>#DIV/0!</v>
      </c>
      <c r="AF119" s="96">
        <v>0</v>
      </c>
      <c r="AG119" s="96">
        <v>0</v>
      </c>
      <c r="AH119" s="96" t="e">
        <f t="shared" ref="AH119:AH120" si="269">AG119/AF119*100</f>
        <v>#DIV/0!</v>
      </c>
      <c r="AI119" s="96">
        <v>0</v>
      </c>
      <c r="AJ119" s="96">
        <v>0</v>
      </c>
      <c r="AK119" s="96" t="e">
        <f t="shared" ref="AK119:AK120" si="270">AJ119/AI119*100</f>
        <v>#DIV/0!</v>
      </c>
      <c r="AL119" s="96">
        <v>0</v>
      </c>
      <c r="AM119" s="96">
        <v>0</v>
      </c>
      <c r="AN119" s="96">
        <v>0</v>
      </c>
      <c r="AO119" s="96">
        <v>0</v>
      </c>
      <c r="AP119" s="96">
        <v>0</v>
      </c>
      <c r="AQ119" s="96">
        <v>0</v>
      </c>
      <c r="AR119" s="223"/>
      <c r="AS119" s="261"/>
      <c r="AT119" s="117"/>
      <c r="AU119" s="117"/>
      <c r="AV119" s="118"/>
    </row>
    <row r="120" spans="1:48" s="119" customFormat="1" ht="24.75" customHeight="1">
      <c r="A120" s="275"/>
      <c r="B120" s="276"/>
      <c r="C120" s="277"/>
      <c r="D120" s="109" t="s">
        <v>280</v>
      </c>
      <c r="E120" s="96">
        <f>H120+K120+N120+Q120+T120+W120+Z120+AC120+AF120+AI120+AL120+AO120</f>
        <v>268.2</v>
      </c>
      <c r="F120" s="96">
        <f t="shared" ref="E120:F122" si="271">I120+L120+O120+R120+U120+X120+AA120+AD120+AG120+AJ120+AM120+AP120</f>
        <v>93.699999999999989</v>
      </c>
      <c r="G120" s="96">
        <f>F120/E120*100</f>
        <v>34.936614466815804</v>
      </c>
      <c r="H120" s="96">
        <v>0</v>
      </c>
      <c r="I120" s="96">
        <v>0</v>
      </c>
      <c r="J120" s="96">
        <v>0</v>
      </c>
      <c r="K120" s="96">
        <v>26</v>
      </c>
      <c r="L120" s="96">
        <v>25.3</v>
      </c>
      <c r="M120" s="96">
        <f t="shared" ref="M120" si="272">L120/K120*100</f>
        <v>97.307692307692307</v>
      </c>
      <c r="N120" s="96">
        <v>21.6</v>
      </c>
      <c r="O120" s="96">
        <v>21.8</v>
      </c>
      <c r="P120" s="96">
        <f t="shared" ref="P120" si="273">O120/N120*100</f>
        <v>100.92592592592592</v>
      </c>
      <c r="Q120" s="96">
        <v>19</v>
      </c>
      <c r="R120" s="96">
        <v>18.7</v>
      </c>
      <c r="S120" s="96">
        <f t="shared" ref="S120" si="274">R120/Q120*100</f>
        <v>98.421052631578945</v>
      </c>
      <c r="T120" s="96">
        <v>18</v>
      </c>
      <c r="U120" s="96">
        <v>17.899999999999999</v>
      </c>
      <c r="V120" s="96">
        <f t="shared" ref="V120" si="275">U120/T120*100</f>
        <v>99.444444444444429</v>
      </c>
      <c r="W120" s="96">
        <v>12.6</v>
      </c>
      <c r="X120" s="96">
        <v>10</v>
      </c>
      <c r="Y120" s="96">
        <f t="shared" si="266"/>
        <v>79.365079365079367</v>
      </c>
      <c r="Z120" s="96">
        <v>9.5</v>
      </c>
      <c r="AA120" s="96">
        <v>0</v>
      </c>
      <c r="AB120" s="96">
        <f t="shared" si="267"/>
        <v>0</v>
      </c>
      <c r="AC120" s="96">
        <v>9.5</v>
      </c>
      <c r="AD120" s="96">
        <v>0</v>
      </c>
      <c r="AE120" s="96">
        <f t="shared" si="268"/>
        <v>0</v>
      </c>
      <c r="AF120" s="96">
        <v>9.5</v>
      </c>
      <c r="AG120" s="96">
        <v>0</v>
      </c>
      <c r="AH120" s="96">
        <f t="shared" si="269"/>
        <v>0</v>
      </c>
      <c r="AI120" s="96">
        <v>9</v>
      </c>
      <c r="AJ120" s="96">
        <v>0</v>
      </c>
      <c r="AK120" s="96">
        <f t="shared" si="270"/>
        <v>0</v>
      </c>
      <c r="AL120" s="96">
        <v>20</v>
      </c>
      <c r="AM120" s="96">
        <v>0</v>
      </c>
      <c r="AN120" s="96">
        <f t="shared" ref="AN120" si="276">AM120/AL120*100</f>
        <v>0</v>
      </c>
      <c r="AO120" s="96">
        <v>113.5</v>
      </c>
      <c r="AP120" s="96">
        <v>0</v>
      </c>
      <c r="AQ120" s="96">
        <f t="shared" ref="AQ120" si="277">AP120/AO120*100</f>
        <v>0</v>
      </c>
      <c r="AR120" s="223"/>
      <c r="AS120" s="261"/>
      <c r="AT120" s="117"/>
      <c r="AU120" s="117"/>
      <c r="AV120" s="118"/>
    </row>
    <row r="121" spans="1:48" s="119" customFormat="1" ht="24">
      <c r="A121" s="275"/>
      <c r="B121" s="276"/>
      <c r="C121" s="277"/>
      <c r="D121" s="99" t="s">
        <v>255</v>
      </c>
      <c r="E121" s="96">
        <f t="shared" si="271"/>
        <v>0</v>
      </c>
      <c r="F121" s="96">
        <f t="shared" si="271"/>
        <v>0</v>
      </c>
      <c r="G121" s="96">
        <v>0</v>
      </c>
      <c r="H121" s="96">
        <v>0</v>
      </c>
      <c r="I121" s="96">
        <v>0</v>
      </c>
      <c r="J121" s="96">
        <v>0</v>
      </c>
      <c r="K121" s="96">
        <v>0</v>
      </c>
      <c r="L121" s="96">
        <v>0</v>
      </c>
      <c r="M121" s="96">
        <v>0</v>
      </c>
      <c r="N121" s="96">
        <v>0</v>
      </c>
      <c r="O121" s="96">
        <v>0</v>
      </c>
      <c r="P121" s="96">
        <v>0</v>
      </c>
      <c r="Q121" s="96">
        <v>0</v>
      </c>
      <c r="R121" s="96">
        <v>0</v>
      </c>
      <c r="S121" s="96">
        <v>0</v>
      </c>
      <c r="T121" s="96">
        <v>0</v>
      </c>
      <c r="U121" s="96">
        <v>0</v>
      </c>
      <c r="V121" s="96">
        <v>0</v>
      </c>
      <c r="W121" s="96">
        <v>0</v>
      </c>
      <c r="X121" s="96">
        <v>0</v>
      </c>
      <c r="Y121" s="96">
        <v>0</v>
      </c>
      <c r="Z121" s="96">
        <v>0</v>
      </c>
      <c r="AA121" s="96">
        <v>0</v>
      </c>
      <c r="AB121" s="96">
        <v>0</v>
      </c>
      <c r="AC121" s="96">
        <v>0</v>
      </c>
      <c r="AD121" s="96">
        <v>0</v>
      </c>
      <c r="AE121" s="96">
        <v>0</v>
      </c>
      <c r="AF121" s="96">
        <v>0</v>
      </c>
      <c r="AG121" s="96">
        <v>0</v>
      </c>
      <c r="AH121" s="96">
        <v>0</v>
      </c>
      <c r="AI121" s="96">
        <v>0</v>
      </c>
      <c r="AJ121" s="96">
        <v>0</v>
      </c>
      <c r="AK121" s="96">
        <v>0</v>
      </c>
      <c r="AL121" s="96">
        <v>0</v>
      </c>
      <c r="AM121" s="96">
        <v>0</v>
      </c>
      <c r="AN121" s="96">
        <v>0</v>
      </c>
      <c r="AO121" s="96">
        <v>0</v>
      </c>
      <c r="AP121" s="96">
        <v>0</v>
      </c>
      <c r="AQ121" s="116">
        <v>0</v>
      </c>
      <c r="AR121" s="223"/>
      <c r="AS121" s="261"/>
      <c r="AT121" s="117"/>
      <c r="AU121" s="117"/>
      <c r="AV121" s="118"/>
    </row>
    <row r="122" spans="1:48" s="119" customFormat="1" ht="28.5" customHeight="1">
      <c r="A122" s="278"/>
      <c r="B122" s="279"/>
      <c r="C122" s="280"/>
      <c r="D122" s="99" t="s">
        <v>285</v>
      </c>
      <c r="E122" s="96">
        <f t="shared" si="271"/>
        <v>0</v>
      </c>
      <c r="F122" s="96">
        <f t="shared" si="271"/>
        <v>0</v>
      </c>
      <c r="G122" s="96">
        <v>0</v>
      </c>
      <c r="H122" s="96">
        <v>0</v>
      </c>
      <c r="I122" s="96">
        <v>0</v>
      </c>
      <c r="J122" s="96">
        <v>0</v>
      </c>
      <c r="K122" s="96">
        <v>0</v>
      </c>
      <c r="L122" s="96">
        <v>0</v>
      </c>
      <c r="M122" s="96">
        <v>0</v>
      </c>
      <c r="N122" s="96">
        <v>0</v>
      </c>
      <c r="O122" s="96">
        <v>0</v>
      </c>
      <c r="P122" s="96">
        <v>0</v>
      </c>
      <c r="Q122" s="96">
        <v>0</v>
      </c>
      <c r="R122" s="96">
        <v>0</v>
      </c>
      <c r="S122" s="96">
        <v>0</v>
      </c>
      <c r="T122" s="96">
        <v>0</v>
      </c>
      <c r="U122" s="96">
        <v>0</v>
      </c>
      <c r="V122" s="96">
        <v>0</v>
      </c>
      <c r="W122" s="96">
        <v>0</v>
      </c>
      <c r="X122" s="96">
        <v>0</v>
      </c>
      <c r="Y122" s="96">
        <v>0</v>
      </c>
      <c r="Z122" s="96">
        <v>0</v>
      </c>
      <c r="AA122" s="96">
        <v>0</v>
      </c>
      <c r="AB122" s="96">
        <v>0</v>
      </c>
      <c r="AC122" s="96">
        <v>0</v>
      </c>
      <c r="AD122" s="96">
        <v>0</v>
      </c>
      <c r="AE122" s="96">
        <v>0</v>
      </c>
      <c r="AF122" s="96">
        <v>0</v>
      </c>
      <c r="AG122" s="96">
        <v>0</v>
      </c>
      <c r="AH122" s="96">
        <v>0</v>
      </c>
      <c r="AI122" s="96">
        <v>0</v>
      </c>
      <c r="AJ122" s="96">
        <v>0</v>
      </c>
      <c r="AK122" s="96">
        <v>0</v>
      </c>
      <c r="AL122" s="96">
        <v>0</v>
      </c>
      <c r="AM122" s="96">
        <v>0</v>
      </c>
      <c r="AN122" s="96">
        <v>0</v>
      </c>
      <c r="AO122" s="96">
        <v>0</v>
      </c>
      <c r="AP122" s="96">
        <v>0</v>
      </c>
      <c r="AQ122" s="116">
        <v>0</v>
      </c>
      <c r="AR122" s="223"/>
      <c r="AS122" s="261"/>
      <c r="AT122" s="117"/>
      <c r="AU122" s="117"/>
      <c r="AV122" s="118"/>
    </row>
    <row r="123" spans="1:48" s="119" customFormat="1" ht="15.75" customHeight="1">
      <c r="A123" s="272" t="s">
        <v>305</v>
      </c>
      <c r="B123" s="273"/>
      <c r="C123" s="274"/>
      <c r="D123" s="99" t="s">
        <v>269</v>
      </c>
      <c r="E123" s="96">
        <f>E124+E125+E126</f>
        <v>42062.2</v>
      </c>
      <c r="F123" s="96">
        <f>F124+F125+F126</f>
        <v>18057.7</v>
      </c>
      <c r="G123" s="96">
        <f>F123/E123*100</f>
        <v>42.930945124125699</v>
      </c>
      <c r="H123" s="96">
        <f t="shared" ref="H123:I123" si="278">H124+H125+H126</f>
        <v>865.5</v>
      </c>
      <c r="I123" s="96">
        <f t="shared" si="278"/>
        <v>865.5</v>
      </c>
      <c r="J123" s="96">
        <f>I123/H123*100</f>
        <v>100</v>
      </c>
      <c r="K123" s="96">
        <f t="shared" ref="K123:L123" si="279">K124+K125+K126</f>
        <v>3647.4</v>
      </c>
      <c r="L123" s="96">
        <f t="shared" si="279"/>
        <v>3390.9</v>
      </c>
      <c r="M123" s="96">
        <f>L123/K123*100</f>
        <v>92.967593354170091</v>
      </c>
      <c r="N123" s="96">
        <f t="shared" ref="N123:O123" si="280">N124+N125+N126</f>
        <v>3126.3</v>
      </c>
      <c r="O123" s="96">
        <f t="shared" si="280"/>
        <v>3108.2</v>
      </c>
      <c r="P123" s="96">
        <f>O123/N123*100</f>
        <v>99.421040847007632</v>
      </c>
      <c r="Q123" s="96">
        <f t="shared" ref="Q123:R123" si="281">Q124+Q125+Q126</f>
        <v>3330.5</v>
      </c>
      <c r="R123" s="96">
        <f t="shared" si="281"/>
        <v>3359.7</v>
      </c>
      <c r="S123" s="96">
        <f t="shared" ref="S123" si="282">R123/Q123*100</f>
        <v>100.87674523344843</v>
      </c>
      <c r="T123" s="96">
        <f>T124+T125+T126</f>
        <v>3792.7</v>
      </c>
      <c r="U123" s="96">
        <f t="shared" ref="U123" si="283">U124+U125+U126</f>
        <v>3782.4</v>
      </c>
      <c r="V123" s="96">
        <f t="shared" ref="V123:V125" si="284">U123/T123*100</f>
        <v>99.728425659820189</v>
      </c>
      <c r="W123" s="96">
        <f t="shared" ref="W123:AD123" si="285">W124+W125+W126</f>
        <v>3546.3</v>
      </c>
      <c r="X123" s="96">
        <f t="shared" si="285"/>
        <v>3551</v>
      </c>
      <c r="Y123" s="96">
        <f t="shared" ref="Y123:Y125" si="286">X123/W123*100</f>
        <v>100.13253249866057</v>
      </c>
      <c r="Z123" s="96">
        <f t="shared" si="285"/>
        <v>3376.4</v>
      </c>
      <c r="AA123" s="96">
        <f t="shared" si="285"/>
        <v>0</v>
      </c>
      <c r="AB123" s="96">
        <f t="shared" ref="AB123:AB125" si="287">AA123/Z123*100</f>
        <v>0</v>
      </c>
      <c r="AC123" s="96">
        <f t="shared" si="285"/>
        <v>3664.3</v>
      </c>
      <c r="AD123" s="96">
        <f t="shared" si="285"/>
        <v>0</v>
      </c>
      <c r="AE123" s="96">
        <f t="shared" ref="AE123:AE125" si="288">AD123/AC123*100</f>
        <v>0</v>
      </c>
      <c r="AF123" s="96">
        <f t="shared" ref="AF123:AG123" si="289">AF124+AF125+AF126</f>
        <v>3240.6</v>
      </c>
      <c r="AG123" s="96">
        <f t="shared" si="289"/>
        <v>0</v>
      </c>
      <c r="AH123" s="96">
        <f t="shared" ref="AH123:AH125" si="290">AG123/AF123*100</f>
        <v>0</v>
      </c>
      <c r="AI123" s="96">
        <f t="shared" ref="AI123:AJ123" si="291">AI124+AI125+AI126</f>
        <v>3487.1</v>
      </c>
      <c r="AJ123" s="96">
        <f t="shared" si="291"/>
        <v>0</v>
      </c>
      <c r="AK123" s="96">
        <f t="shared" ref="AK123:AK125" si="292">AJ123/AI123*100</f>
        <v>0</v>
      </c>
      <c r="AL123" s="96">
        <f t="shared" ref="AL123:AM123" si="293">AL124+AL125+AL126</f>
        <v>3594.1</v>
      </c>
      <c r="AM123" s="96">
        <f t="shared" si="293"/>
        <v>0</v>
      </c>
      <c r="AN123" s="96">
        <f t="shared" ref="AN123:AN125" si="294">AM123/AL123*100</f>
        <v>0</v>
      </c>
      <c r="AO123" s="96">
        <f t="shared" ref="AO123:AP123" si="295">AO124+AO125+AO126</f>
        <v>6391.0000000000009</v>
      </c>
      <c r="AP123" s="96">
        <f t="shared" si="295"/>
        <v>0</v>
      </c>
      <c r="AQ123" s="96">
        <f t="shared" ref="AQ123:AQ125" si="296">AP123/AO123*100</f>
        <v>0</v>
      </c>
      <c r="AR123" s="223"/>
      <c r="AS123" s="261"/>
      <c r="AT123" s="117"/>
      <c r="AU123" s="117"/>
      <c r="AV123" s="118"/>
    </row>
    <row r="124" spans="1:48" s="119" customFormat="1" ht="35.25" customHeight="1">
      <c r="A124" s="275"/>
      <c r="B124" s="276"/>
      <c r="C124" s="277"/>
      <c r="D124" s="109" t="s">
        <v>267</v>
      </c>
      <c r="E124" s="96">
        <f>H124+K124+N124+Q124+T124+W124+Z124+AC124+AF124+AI124+AL124+AO124</f>
        <v>160</v>
      </c>
      <c r="F124" s="96">
        <f>I124+L124+O124+R124+U124+X124+AA124+AD124+AG124+AJ124+AM124+AP124</f>
        <v>15.4</v>
      </c>
      <c r="G124" s="96">
        <f>F124/E124*100</f>
        <v>9.625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0</v>
      </c>
      <c r="O124" s="96">
        <v>0</v>
      </c>
      <c r="P124" s="96">
        <v>0</v>
      </c>
      <c r="Q124" s="96">
        <v>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96">
        <v>20</v>
      </c>
      <c r="X124" s="96">
        <v>15.4</v>
      </c>
      <c r="Y124" s="96">
        <f t="shared" si="286"/>
        <v>77</v>
      </c>
      <c r="Z124" s="96">
        <v>13</v>
      </c>
      <c r="AA124" s="96">
        <v>0</v>
      </c>
      <c r="AB124" s="96">
        <f t="shared" si="287"/>
        <v>0</v>
      </c>
      <c r="AC124" s="96">
        <v>27</v>
      </c>
      <c r="AD124" s="96">
        <v>0</v>
      </c>
      <c r="AE124" s="96">
        <f t="shared" si="288"/>
        <v>0</v>
      </c>
      <c r="AF124" s="96">
        <v>0</v>
      </c>
      <c r="AG124" s="96">
        <v>0</v>
      </c>
      <c r="AH124" s="96" t="e">
        <f t="shared" si="290"/>
        <v>#DIV/0!</v>
      </c>
      <c r="AI124" s="96">
        <v>80</v>
      </c>
      <c r="AJ124" s="96">
        <v>0</v>
      </c>
      <c r="AK124" s="96">
        <f t="shared" si="292"/>
        <v>0</v>
      </c>
      <c r="AL124" s="96">
        <v>20</v>
      </c>
      <c r="AM124" s="96">
        <v>0</v>
      </c>
      <c r="AN124" s="96">
        <f t="shared" si="294"/>
        <v>0</v>
      </c>
      <c r="AO124" s="96">
        <v>0</v>
      </c>
      <c r="AP124" s="96">
        <v>0</v>
      </c>
      <c r="AQ124" s="96">
        <v>0</v>
      </c>
      <c r="AR124" s="223"/>
      <c r="AS124" s="261"/>
      <c r="AT124" s="117"/>
      <c r="AU124" s="117"/>
      <c r="AV124" s="118"/>
    </row>
    <row r="125" spans="1:48" s="119" customFormat="1" ht="12.75" customHeight="1">
      <c r="A125" s="275"/>
      <c r="B125" s="276"/>
      <c r="C125" s="277"/>
      <c r="D125" s="109" t="s">
        <v>280</v>
      </c>
      <c r="E125" s="96">
        <f>H125+K125+N125+Q125+T125+W125+Z125+AC125+AF125+AI125+AL125+AO125</f>
        <v>41902.199999999997</v>
      </c>
      <c r="F125" s="96">
        <f t="shared" ref="F125:F127" si="297">I125+L125+O125+R125+U125+X125+AA125+AD125+AG125+AJ125+AM125+AP125</f>
        <v>18042.3</v>
      </c>
      <c r="G125" s="96">
        <f>F125/E125*100</f>
        <v>43.058121053309847</v>
      </c>
      <c r="H125" s="96">
        <f>940.1-74.6</f>
        <v>865.5</v>
      </c>
      <c r="I125" s="96">
        <v>865.5</v>
      </c>
      <c r="J125" s="96">
        <f>I125/H125*100</f>
        <v>100</v>
      </c>
      <c r="K125" s="96">
        <f>3347.9+189.5+39.9+74.6-4.5</f>
        <v>3647.4</v>
      </c>
      <c r="L125" s="96">
        <v>3390.9</v>
      </c>
      <c r="M125" s="96">
        <f>L125/K125*100</f>
        <v>92.967593354170091</v>
      </c>
      <c r="N125" s="96">
        <v>3126.3</v>
      </c>
      <c r="O125" s="96">
        <v>3108.2</v>
      </c>
      <c r="P125" s="96">
        <f>O125/N125*100</f>
        <v>99.421040847007632</v>
      </c>
      <c r="Q125" s="96">
        <f>3030.4+300.1</f>
        <v>3330.5</v>
      </c>
      <c r="R125" s="96">
        <v>3359.7</v>
      </c>
      <c r="S125" s="96">
        <f t="shared" ref="S125" si="298">R125/Q125*100</f>
        <v>100.87674523344843</v>
      </c>
      <c r="T125" s="96">
        <f>3443.2+349.5</f>
        <v>3792.7</v>
      </c>
      <c r="U125" s="96">
        <v>3782.4</v>
      </c>
      <c r="V125" s="96">
        <f t="shared" si="284"/>
        <v>99.728425659820189</v>
      </c>
      <c r="W125" s="96">
        <f>3126.3+400</f>
        <v>3526.3</v>
      </c>
      <c r="X125" s="96">
        <v>3535.6</v>
      </c>
      <c r="Y125" s="96">
        <f t="shared" si="286"/>
        <v>100.26373252417547</v>
      </c>
      <c r="Z125" s="96">
        <f>4182.3-818.9</f>
        <v>3363.4</v>
      </c>
      <c r="AA125" s="96">
        <v>0</v>
      </c>
      <c r="AB125" s="96">
        <f t="shared" si="287"/>
        <v>0</v>
      </c>
      <c r="AC125" s="96">
        <f>3637.3</f>
        <v>3637.3</v>
      </c>
      <c r="AD125" s="96">
        <v>0</v>
      </c>
      <c r="AE125" s="96">
        <f t="shared" si="288"/>
        <v>0</v>
      </c>
      <c r="AF125" s="96">
        <v>3240.6</v>
      </c>
      <c r="AG125" s="96">
        <v>0</v>
      </c>
      <c r="AH125" s="96">
        <f t="shared" si="290"/>
        <v>0</v>
      </c>
      <c r="AI125" s="96">
        <v>3407.1</v>
      </c>
      <c r="AJ125" s="96">
        <v>0</v>
      </c>
      <c r="AK125" s="96">
        <f t="shared" si="292"/>
        <v>0</v>
      </c>
      <c r="AL125" s="96">
        <v>3574.1</v>
      </c>
      <c r="AM125" s="96">
        <v>0</v>
      </c>
      <c r="AN125" s="96">
        <f t="shared" si="294"/>
        <v>0</v>
      </c>
      <c r="AO125" s="96">
        <f>6846.6-229.4-226.2</f>
        <v>6391.0000000000009</v>
      </c>
      <c r="AP125" s="96">
        <v>0</v>
      </c>
      <c r="AQ125" s="96">
        <f t="shared" si="296"/>
        <v>0</v>
      </c>
      <c r="AR125" s="223"/>
      <c r="AS125" s="261"/>
      <c r="AT125" s="117"/>
      <c r="AU125" s="117"/>
      <c r="AV125" s="118"/>
    </row>
    <row r="126" spans="1:48" s="119" customFormat="1" ht="24">
      <c r="A126" s="275"/>
      <c r="B126" s="276"/>
      <c r="C126" s="277"/>
      <c r="D126" s="99" t="s">
        <v>255</v>
      </c>
      <c r="E126" s="96">
        <f t="shared" ref="E126:E127" si="299">H126+K126+N126+Q126+T126+W126+Z126+AC126+AF126+AI126+AL126+AO126</f>
        <v>0</v>
      </c>
      <c r="F126" s="96">
        <f t="shared" si="297"/>
        <v>0</v>
      </c>
      <c r="G126" s="96">
        <v>0</v>
      </c>
      <c r="H126" s="96">
        <v>0</v>
      </c>
      <c r="I126" s="96">
        <v>0</v>
      </c>
      <c r="J126" s="96">
        <v>0</v>
      </c>
      <c r="K126" s="96">
        <v>0</v>
      </c>
      <c r="L126" s="96">
        <v>0</v>
      </c>
      <c r="M126" s="96">
        <v>0</v>
      </c>
      <c r="N126" s="96">
        <v>0</v>
      </c>
      <c r="O126" s="96">
        <v>0</v>
      </c>
      <c r="P126" s="96">
        <v>0</v>
      </c>
      <c r="Q126" s="96">
        <v>0</v>
      </c>
      <c r="R126" s="96">
        <v>0</v>
      </c>
      <c r="S126" s="96">
        <v>0</v>
      </c>
      <c r="T126" s="96">
        <v>0</v>
      </c>
      <c r="U126" s="96">
        <v>0</v>
      </c>
      <c r="V126" s="96">
        <v>0</v>
      </c>
      <c r="W126" s="96">
        <v>0</v>
      </c>
      <c r="X126" s="96">
        <v>0</v>
      </c>
      <c r="Y126" s="96">
        <v>0</v>
      </c>
      <c r="Z126" s="96">
        <v>0</v>
      </c>
      <c r="AA126" s="96">
        <v>0</v>
      </c>
      <c r="AB126" s="96">
        <v>0</v>
      </c>
      <c r="AC126" s="96">
        <v>0</v>
      </c>
      <c r="AD126" s="96">
        <v>0</v>
      </c>
      <c r="AE126" s="96">
        <v>0</v>
      </c>
      <c r="AF126" s="96">
        <v>0</v>
      </c>
      <c r="AG126" s="96">
        <v>0</v>
      </c>
      <c r="AH126" s="96">
        <v>0</v>
      </c>
      <c r="AI126" s="96">
        <v>0</v>
      </c>
      <c r="AJ126" s="96">
        <v>0</v>
      </c>
      <c r="AK126" s="96">
        <v>0</v>
      </c>
      <c r="AL126" s="96">
        <v>0</v>
      </c>
      <c r="AM126" s="96">
        <v>0</v>
      </c>
      <c r="AN126" s="96">
        <v>0</v>
      </c>
      <c r="AO126" s="96">
        <v>0</v>
      </c>
      <c r="AP126" s="96">
        <v>0</v>
      </c>
      <c r="AQ126" s="96">
        <v>0</v>
      </c>
      <c r="AR126" s="223"/>
      <c r="AS126" s="261"/>
      <c r="AT126" s="117"/>
      <c r="AU126" s="117"/>
      <c r="AV126" s="118"/>
    </row>
    <row r="127" spans="1:48" s="119" customFormat="1" ht="12.75" customHeight="1">
      <c r="A127" s="278"/>
      <c r="B127" s="279"/>
      <c r="C127" s="280"/>
      <c r="D127" s="99" t="s">
        <v>285</v>
      </c>
      <c r="E127" s="96">
        <f t="shared" si="299"/>
        <v>0</v>
      </c>
      <c r="F127" s="96">
        <f t="shared" si="297"/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0</v>
      </c>
      <c r="L127" s="96">
        <v>0</v>
      </c>
      <c r="M127" s="96">
        <v>0</v>
      </c>
      <c r="N127" s="96">
        <v>0</v>
      </c>
      <c r="O127" s="96">
        <v>0</v>
      </c>
      <c r="P127" s="96">
        <v>0</v>
      </c>
      <c r="Q127" s="96">
        <v>0</v>
      </c>
      <c r="R127" s="96">
        <v>0</v>
      </c>
      <c r="S127" s="96">
        <v>0</v>
      </c>
      <c r="T127" s="96">
        <v>0</v>
      </c>
      <c r="U127" s="96">
        <v>0</v>
      </c>
      <c r="V127" s="96">
        <v>0</v>
      </c>
      <c r="W127" s="96">
        <v>0</v>
      </c>
      <c r="X127" s="96">
        <v>0</v>
      </c>
      <c r="Y127" s="96">
        <v>0</v>
      </c>
      <c r="Z127" s="96">
        <v>0</v>
      </c>
      <c r="AA127" s="96">
        <v>0</v>
      </c>
      <c r="AB127" s="96">
        <v>0</v>
      </c>
      <c r="AC127" s="96">
        <v>0</v>
      </c>
      <c r="AD127" s="96">
        <v>0</v>
      </c>
      <c r="AE127" s="96">
        <v>0</v>
      </c>
      <c r="AF127" s="96">
        <v>0</v>
      </c>
      <c r="AG127" s="96">
        <v>0</v>
      </c>
      <c r="AH127" s="96">
        <v>0</v>
      </c>
      <c r="AI127" s="96">
        <v>0</v>
      </c>
      <c r="AJ127" s="96">
        <v>0</v>
      </c>
      <c r="AK127" s="96">
        <v>0</v>
      </c>
      <c r="AL127" s="96">
        <v>0</v>
      </c>
      <c r="AM127" s="96">
        <v>0</v>
      </c>
      <c r="AN127" s="96">
        <v>0</v>
      </c>
      <c r="AO127" s="96">
        <v>0</v>
      </c>
      <c r="AP127" s="96">
        <v>0</v>
      </c>
      <c r="AQ127" s="96">
        <v>0</v>
      </c>
      <c r="AR127" s="223"/>
      <c r="AS127" s="261"/>
      <c r="AT127" s="117"/>
      <c r="AU127" s="117"/>
      <c r="AV127" s="118"/>
    </row>
    <row r="128" spans="1:48" s="119" customFormat="1" ht="12.75">
      <c r="A128" s="272" t="s">
        <v>320</v>
      </c>
      <c r="B128" s="273"/>
      <c r="C128" s="274"/>
      <c r="D128" s="99" t="s">
        <v>269</v>
      </c>
      <c r="E128" s="96">
        <f>E129+E130+E131</f>
        <v>0</v>
      </c>
      <c r="F128" s="96">
        <f>F129+F130+F131</f>
        <v>0</v>
      </c>
      <c r="G128" s="96">
        <v>0</v>
      </c>
      <c r="H128" s="96">
        <f t="shared" ref="H128:I128" si="300">H129+H130+H131</f>
        <v>0</v>
      </c>
      <c r="I128" s="96">
        <f t="shared" si="300"/>
        <v>0</v>
      </c>
      <c r="J128" s="96">
        <v>0</v>
      </c>
      <c r="K128" s="96">
        <f t="shared" ref="K128:L128" si="301">K129+K130+K131</f>
        <v>0</v>
      </c>
      <c r="L128" s="96">
        <f t="shared" si="301"/>
        <v>0</v>
      </c>
      <c r="M128" s="96">
        <v>0</v>
      </c>
      <c r="N128" s="96">
        <f t="shared" ref="N128:O128" si="302">N129+N130+N131</f>
        <v>0</v>
      </c>
      <c r="O128" s="96">
        <f t="shared" si="302"/>
        <v>0</v>
      </c>
      <c r="P128" s="96">
        <v>0</v>
      </c>
      <c r="Q128" s="96">
        <f t="shared" ref="Q128:R128" si="303">Q129+Q130+Q131</f>
        <v>0</v>
      </c>
      <c r="R128" s="96">
        <f t="shared" si="303"/>
        <v>0</v>
      </c>
      <c r="S128" s="96">
        <v>0</v>
      </c>
      <c r="T128" s="96">
        <f>T129+T130+T131</f>
        <v>0</v>
      </c>
      <c r="U128" s="96">
        <f t="shared" ref="U128" si="304">U129+U130+U131</f>
        <v>0</v>
      </c>
      <c r="V128" s="96">
        <v>0</v>
      </c>
      <c r="W128" s="96">
        <f t="shared" ref="W128:X128" si="305">W129+W130+W131</f>
        <v>0</v>
      </c>
      <c r="X128" s="96">
        <f t="shared" si="305"/>
        <v>0</v>
      </c>
      <c r="Y128" s="96">
        <v>0</v>
      </c>
      <c r="Z128" s="96">
        <f t="shared" ref="Z128:AA128" si="306">Z129+Z130+Z131</f>
        <v>0</v>
      </c>
      <c r="AA128" s="96">
        <f t="shared" si="306"/>
        <v>0</v>
      </c>
      <c r="AB128" s="96" t="e">
        <f>AA128/Z128*100</f>
        <v>#DIV/0!</v>
      </c>
      <c r="AC128" s="96">
        <f t="shared" ref="AC128:AD128" si="307">AC129+AC130+AC131</f>
        <v>0</v>
      </c>
      <c r="AD128" s="96">
        <f t="shared" si="307"/>
        <v>0</v>
      </c>
      <c r="AE128" s="96" t="e">
        <f t="shared" ref="AE128:AE130" si="308">AD128/AC128*100</f>
        <v>#DIV/0!</v>
      </c>
      <c r="AF128" s="96">
        <f t="shared" ref="AF128:AG128" si="309">AF129+AF130+AF131</f>
        <v>0</v>
      </c>
      <c r="AG128" s="96">
        <f t="shared" si="309"/>
        <v>0</v>
      </c>
      <c r="AH128" s="96" t="e">
        <f t="shared" ref="AH128:AH129" si="310">AG128/AF128*100</f>
        <v>#DIV/0!</v>
      </c>
      <c r="AI128" s="96">
        <v>0</v>
      </c>
      <c r="AJ128" s="96">
        <f t="shared" ref="AJ128" si="311">AJ129+AJ130+AJ131</f>
        <v>0</v>
      </c>
      <c r="AK128" s="96">
        <v>0</v>
      </c>
      <c r="AL128" s="96">
        <f t="shared" ref="AL128:AM128" si="312">AL129+AL130+AL131</f>
        <v>0</v>
      </c>
      <c r="AM128" s="96">
        <f t="shared" si="312"/>
        <v>0</v>
      </c>
      <c r="AN128" s="96">
        <v>0</v>
      </c>
      <c r="AO128" s="96">
        <f t="shared" ref="AO128:AP128" si="313">AO129+AO130+AO131</f>
        <v>0</v>
      </c>
      <c r="AP128" s="96">
        <f t="shared" si="313"/>
        <v>0</v>
      </c>
      <c r="AQ128" s="116">
        <v>0</v>
      </c>
      <c r="AR128" s="223"/>
      <c r="AS128" s="261"/>
      <c r="AT128" s="117"/>
      <c r="AU128" s="117"/>
      <c r="AV128" s="118"/>
    </row>
    <row r="129" spans="1:48" s="119" customFormat="1" ht="48">
      <c r="A129" s="275"/>
      <c r="B129" s="276"/>
      <c r="C129" s="277"/>
      <c r="D129" s="109" t="s">
        <v>267</v>
      </c>
      <c r="E129" s="96">
        <f>H129+K129+N129+Q129+T129+W129+Z129+AC129+AF129+AI129+AL129+AO129</f>
        <v>0</v>
      </c>
      <c r="F129" s="96">
        <f>I129+L129+O129+R129+U129+X129+AA129+AD129+AG129+AJ129+AM129+AP129</f>
        <v>0</v>
      </c>
      <c r="G129" s="96">
        <v>0</v>
      </c>
      <c r="H129" s="96">
        <v>0</v>
      </c>
      <c r="I129" s="96">
        <v>0</v>
      </c>
      <c r="J129" s="96">
        <v>0</v>
      </c>
      <c r="K129" s="96">
        <v>0</v>
      </c>
      <c r="L129" s="96">
        <v>0</v>
      </c>
      <c r="M129" s="96">
        <v>0</v>
      </c>
      <c r="N129" s="96">
        <v>0</v>
      </c>
      <c r="O129" s="96">
        <v>0</v>
      </c>
      <c r="P129" s="96">
        <v>0</v>
      </c>
      <c r="Q129" s="96">
        <v>0</v>
      </c>
      <c r="R129" s="96">
        <v>0</v>
      </c>
      <c r="S129" s="96">
        <v>0</v>
      </c>
      <c r="T129" s="96">
        <v>0</v>
      </c>
      <c r="U129" s="96">
        <v>0</v>
      </c>
      <c r="V129" s="96">
        <v>0</v>
      </c>
      <c r="W129" s="96">
        <v>0</v>
      </c>
      <c r="X129" s="96">
        <v>0</v>
      </c>
      <c r="Y129" s="96">
        <v>0</v>
      </c>
      <c r="Z129" s="96">
        <v>0</v>
      </c>
      <c r="AA129" s="96">
        <v>0</v>
      </c>
      <c r="AB129" s="96" t="e">
        <f t="shared" ref="AB129:AB130" si="314">AA129/Z129*100</f>
        <v>#DIV/0!</v>
      </c>
      <c r="AC129" s="96">
        <v>0</v>
      </c>
      <c r="AD129" s="96">
        <v>0</v>
      </c>
      <c r="AE129" s="96" t="e">
        <f t="shared" si="308"/>
        <v>#DIV/0!</v>
      </c>
      <c r="AF129" s="96">
        <v>0</v>
      </c>
      <c r="AG129" s="96">
        <v>0</v>
      </c>
      <c r="AH129" s="96" t="e">
        <f t="shared" si="310"/>
        <v>#DIV/0!</v>
      </c>
      <c r="AI129" s="96">
        <v>0</v>
      </c>
      <c r="AJ129" s="96">
        <v>0</v>
      </c>
      <c r="AK129" s="96">
        <v>0</v>
      </c>
      <c r="AL129" s="96">
        <v>0</v>
      </c>
      <c r="AM129" s="96">
        <v>0</v>
      </c>
      <c r="AN129" s="96">
        <v>0</v>
      </c>
      <c r="AO129" s="96">
        <v>0</v>
      </c>
      <c r="AP129" s="96">
        <v>0</v>
      </c>
      <c r="AQ129" s="116">
        <v>0</v>
      </c>
      <c r="AR129" s="223"/>
      <c r="AS129" s="261"/>
      <c r="AT129" s="117"/>
      <c r="AU129" s="117"/>
      <c r="AV129" s="118"/>
    </row>
    <row r="130" spans="1:48" s="119" customFormat="1" ht="12.75" customHeight="1">
      <c r="A130" s="275"/>
      <c r="B130" s="276"/>
      <c r="C130" s="277"/>
      <c r="D130" s="109" t="s">
        <v>280</v>
      </c>
      <c r="E130" s="96">
        <f>H130+K130+N130+Q130+T130+W130+Z130+AC130+AF130+AI130+AL130+AO130</f>
        <v>0</v>
      </c>
      <c r="F130" s="96">
        <f t="shared" ref="F130:F132" si="315">I130+L130+O130+R130+U130+X130+AA130+AD130+AG130+AJ130+AM130+AP130</f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0</v>
      </c>
      <c r="L130" s="96">
        <v>0</v>
      </c>
      <c r="M130" s="96">
        <v>0</v>
      </c>
      <c r="N130" s="96">
        <v>0</v>
      </c>
      <c r="O130" s="96">
        <v>0</v>
      </c>
      <c r="P130" s="96">
        <v>0</v>
      </c>
      <c r="Q130" s="96">
        <v>0</v>
      </c>
      <c r="R130" s="96">
        <v>0</v>
      </c>
      <c r="S130" s="96">
        <v>0</v>
      </c>
      <c r="T130" s="96">
        <v>0</v>
      </c>
      <c r="U130" s="96">
        <v>0</v>
      </c>
      <c r="V130" s="96">
        <v>0</v>
      </c>
      <c r="W130" s="96">
        <v>0</v>
      </c>
      <c r="X130" s="96">
        <v>0</v>
      </c>
      <c r="Y130" s="96">
        <v>0</v>
      </c>
      <c r="Z130" s="96">
        <v>0</v>
      </c>
      <c r="AA130" s="96">
        <v>0</v>
      </c>
      <c r="AB130" s="96" t="e">
        <f t="shared" si="314"/>
        <v>#DIV/0!</v>
      </c>
      <c r="AC130" s="96">
        <v>0</v>
      </c>
      <c r="AD130" s="96">
        <v>0</v>
      </c>
      <c r="AE130" s="96" t="e">
        <f t="shared" si="308"/>
        <v>#DIV/0!</v>
      </c>
      <c r="AF130" s="96">
        <v>0</v>
      </c>
      <c r="AG130" s="96">
        <v>0</v>
      </c>
      <c r="AH130" s="96">
        <v>0</v>
      </c>
      <c r="AI130" s="96">
        <v>0</v>
      </c>
      <c r="AJ130" s="96">
        <v>0</v>
      </c>
      <c r="AK130" s="96">
        <v>0</v>
      </c>
      <c r="AL130" s="96">
        <v>0</v>
      </c>
      <c r="AM130" s="96">
        <v>0</v>
      </c>
      <c r="AN130" s="96">
        <v>0</v>
      </c>
      <c r="AO130" s="96">
        <v>0</v>
      </c>
      <c r="AP130" s="96">
        <v>0</v>
      </c>
      <c r="AQ130" s="116">
        <v>0</v>
      </c>
      <c r="AR130" s="223"/>
      <c r="AS130" s="261"/>
      <c r="AT130" s="117"/>
      <c r="AU130" s="117"/>
      <c r="AV130" s="118"/>
    </row>
    <row r="131" spans="1:48" s="119" customFormat="1" ht="24">
      <c r="A131" s="275"/>
      <c r="B131" s="276"/>
      <c r="C131" s="277"/>
      <c r="D131" s="99" t="s">
        <v>255</v>
      </c>
      <c r="E131" s="96">
        <f t="shared" ref="E131:E132" si="316">H131+K131+N131+Q131+T131+W131+Z131+AC131+AF131+AI131+AL131+AO131</f>
        <v>0</v>
      </c>
      <c r="F131" s="96">
        <f t="shared" si="315"/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96">
        <v>0</v>
      </c>
      <c r="T131" s="96">
        <v>0</v>
      </c>
      <c r="U131" s="96">
        <v>0</v>
      </c>
      <c r="V131" s="96">
        <v>0</v>
      </c>
      <c r="W131" s="96">
        <v>0</v>
      </c>
      <c r="X131" s="96">
        <v>0</v>
      </c>
      <c r="Y131" s="96">
        <v>0</v>
      </c>
      <c r="Z131" s="96">
        <v>0</v>
      </c>
      <c r="AA131" s="96">
        <v>0</v>
      </c>
      <c r="AB131" s="96">
        <v>0</v>
      </c>
      <c r="AC131" s="96">
        <v>0</v>
      </c>
      <c r="AD131" s="96">
        <v>0</v>
      </c>
      <c r="AE131" s="96">
        <v>0</v>
      </c>
      <c r="AF131" s="96">
        <v>0</v>
      </c>
      <c r="AG131" s="96">
        <v>0</v>
      </c>
      <c r="AH131" s="96">
        <v>0</v>
      </c>
      <c r="AI131" s="96">
        <v>0</v>
      </c>
      <c r="AJ131" s="96">
        <v>0</v>
      </c>
      <c r="AK131" s="96">
        <v>0</v>
      </c>
      <c r="AL131" s="96">
        <v>0</v>
      </c>
      <c r="AM131" s="96">
        <v>0</v>
      </c>
      <c r="AN131" s="96">
        <v>0</v>
      </c>
      <c r="AO131" s="96">
        <v>0</v>
      </c>
      <c r="AP131" s="96">
        <v>0</v>
      </c>
      <c r="AQ131" s="116">
        <v>0</v>
      </c>
      <c r="AR131" s="223"/>
      <c r="AS131" s="261"/>
      <c r="AT131" s="117"/>
      <c r="AU131" s="117"/>
      <c r="AV131" s="118"/>
    </row>
    <row r="132" spans="1:48" s="119" customFormat="1" ht="24">
      <c r="A132" s="278"/>
      <c r="B132" s="279"/>
      <c r="C132" s="280"/>
      <c r="D132" s="99" t="s">
        <v>285</v>
      </c>
      <c r="E132" s="96">
        <f t="shared" si="316"/>
        <v>0</v>
      </c>
      <c r="F132" s="96">
        <f t="shared" si="315"/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0</v>
      </c>
      <c r="O132" s="96">
        <v>0</v>
      </c>
      <c r="P132" s="96">
        <v>0</v>
      </c>
      <c r="Q132" s="96">
        <v>0</v>
      </c>
      <c r="R132" s="96">
        <v>0</v>
      </c>
      <c r="S132" s="96">
        <v>0</v>
      </c>
      <c r="T132" s="96">
        <v>0</v>
      </c>
      <c r="U132" s="96">
        <v>0</v>
      </c>
      <c r="V132" s="96">
        <v>0</v>
      </c>
      <c r="W132" s="96">
        <v>0</v>
      </c>
      <c r="X132" s="96">
        <v>0</v>
      </c>
      <c r="Y132" s="96">
        <v>0</v>
      </c>
      <c r="Z132" s="96">
        <v>0</v>
      </c>
      <c r="AA132" s="96">
        <v>0</v>
      </c>
      <c r="AB132" s="96">
        <v>0</v>
      </c>
      <c r="AC132" s="96">
        <v>0</v>
      </c>
      <c r="AD132" s="96">
        <v>0</v>
      </c>
      <c r="AE132" s="96">
        <v>0</v>
      </c>
      <c r="AF132" s="96">
        <v>0</v>
      </c>
      <c r="AG132" s="96">
        <v>0</v>
      </c>
      <c r="AH132" s="96">
        <v>0</v>
      </c>
      <c r="AI132" s="96">
        <v>0</v>
      </c>
      <c r="AJ132" s="96">
        <v>0</v>
      </c>
      <c r="AK132" s="96">
        <v>0</v>
      </c>
      <c r="AL132" s="96">
        <v>0</v>
      </c>
      <c r="AM132" s="96">
        <v>0</v>
      </c>
      <c r="AN132" s="96">
        <v>0</v>
      </c>
      <c r="AO132" s="96">
        <v>0</v>
      </c>
      <c r="AP132" s="96">
        <v>0</v>
      </c>
      <c r="AQ132" s="116">
        <v>0</v>
      </c>
      <c r="AR132" s="223"/>
      <c r="AS132" s="261"/>
      <c r="AT132" s="117"/>
      <c r="AU132" s="117"/>
      <c r="AV132" s="118"/>
    </row>
    <row r="133" spans="1:48" s="119" customFormat="1">
      <c r="A133" s="153"/>
      <c r="B133" s="153"/>
      <c r="C133" s="153"/>
      <c r="D133" s="13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58"/>
      <c r="AS133" s="152"/>
      <c r="AT133" s="117"/>
      <c r="AU133" s="117"/>
      <c r="AV133" s="118"/>
    </row>
    <row r="134" spans="1:48" s="119" customFormat="1" ht="12.75">
      <c r="A134" s="272" t="s">
        <v>332</v>
      </c>
      <c r="B134" s="273"/>
      <c r="C134" s="274"/>
      <c r="D134" s="99" t="s">
        <v>269</v>
      </c>
      <c r="E134" s="96">
        <f>E135+E136+E137</f>
        <v>2.8776980798284058E-12</v>
      </c>
      <c r="F134" s="96">
        <f>F135+F136+F137</f>
        <v>2.8244073746463982E-12</v>
      </c>
      <c r="G134" s="96">
        <v>0</v>
      </c>
      <c r="H134" s="96">
        <f t="shared" ref="H134:I134" si="317">H135+H136+H137</f>
        <v>-2.2737367544323206E-13</v>
      </c>
      <c r="I134" s="96">
        <f t="shared" si="317"/>
        <v>-4.5474735088646412E-13</v>
      </c>
      <c r="J134" s="96">
        <v>0</v>
      </c>
      <c r="K134" s="96">
        <f t="shared" ref="K134:L134" si="318">K135+K136+K137</f>
        <v>4.1211478674085811E-12</v>
      </c>
      <c r="L134" s="96">
        <f t="shared" si="318"/>
        <v>9.3791641120333225E-13</v>
      </c>
      <c r="M134" s="96">
        <v>0</v>
      </c>
      <c r="N134" s="96">
        <f t="shared" ref="N134:O134" si="319">N135+N136+N137</f>
        <v>9.0949470177292824E-13</v>
      </c>
      <c r="O134" s="96">
        <f t="shared" si="319"/>
        <v>1.8474111129762605E-12</v>
      </c>
      <c r="P134" s="96">
        <v>0</v>
      </c>
      <c r="Q134" s="96">
        <f t="shared" ref="Q134:R134" si="320">Q135+Q136+Q137</f>
        <v>2.8421709430404007E-14</v>
      </c>
      <c r="R134" s="96">
        <f t="shared" si="320"/>
        <v>4.8316906031686813E-13</v>
      </c>
      <c r="S134" s="96">
        <v>0</v>
      </c>
      <c r="T134" s="96">
        <f>T135+T136+T137</f>
        <v>1.3642420526593924E-12</v>
      </c>
      <c r="U134" s="96">
        <f t="shared" ref="U134" si="321">U135+U136+U137</f>
        <v>2.2737367544323206E-12</v>
      </c>
      <c r="V134" s="96">
        <v>0</v>
      </c>
      <c r="W134" s="96">
        <f t="shared" ref="W134:X134" si="322">W135+W136+W137</f>
        <v>-1.3855583347321954E-12</v>
      </c>
      <c r="X134" s="96">
        <f t="shared" si="322"/>
        <v>-2.2630786133959191E-12</v>
      </c>
      <c r="Y134" s="96">
        <v>0</v>
      </c>
      <c r="Z134" s="96">
        <f t="shared" ref="Z134:AA134" si="323">Z135+Z136+Z137</f>
        <v>-1.2505552149377763E-12</v>
      </c>
      <c r="AA134" s="96">
        <f t="shared" si="323"/>
        <v>0</v>
      </c>
      <c r="AB134" s="96">
        <f>AA134/Z134*100</f>
        <v>0</v>
      </c>
      <c r="AC134" s="96">
        <f t="shared" ref="AC134:AD134" si="324">AC135+AC136+AC137</f>
        <v>1.1368683772161603E-13</v>
      </c>
      <c r="AD134" s="96">
        <f t="shared" si="324"/>
        <v>0</v>
      </c>
      <c r="AE134" s="96">
        <f t="shared" ref="AE134:AE136" si="325">AD134/AC134*100</f>
        <v>0</v>
      </c>
      <c r="AF134" s="96">
        <f t="shared" ref="AF134:AG134" si="326">AF135+AF136+AF137</f>
        <v>1.7621459846850485E-12</v>
      </c>
      <c r="AG134" s="96">
        <f t="shared" si="326"/>
        <v>0</v>
      </c>
      <c r="AH134" s="96">
        <f t="shared" ref="AH134:AH135" si="327">AG134/AF134*100</f>
        <v>0</v>
      </c>
      <c r="AI134" s="96">
        <v>0</v>
      </c>
      <c r="AJ134" s="96">
        <f t="shared" ref="AJ134" si="328">AJ135+AJ136+AJ137</f>
        <v>0</v>
      </c>
      <c r="AK134" s="96">
        <v>0</v>
      </c>
      <c r="AL134" s="96">
        <f t="shared" ref="AL134:AM134" si="329">AL135+AL136+AL137</f>
        <v>-2.1032064978498966E-12</v>
      </c>
      <c r="AM134" s="96">
        <f t="shared" si="329"/>
        <v>0</v>
      </c>
      <c r="AN134" s="96">
        <v>0</v>
      </c>
      <c r="AO134" s="96">
        <f t="shared" ref="AO134:AP134" si="330">AO135+AO136+AO137</f>
        <v>0</v>
      </c>
      <c r="AP134" s="96">
        <f t="shared" si="330"/>
        <v>0</v>
      </c>
      <c r="AQ134" s="116">
        <v>0</v>
      </c>
      <c r="AR134" s="223"/>
      <c r="AS134" s="261"/>
      <c r="AT134" s="117"/>
      <c r="AU134" s="117"/>
      <c r="AV134" s="118"/>
    </row>
    <row r="135" spans="1:48" s="119" customFormat="1" ht="48">
      <c r="A135" s="275"/>
      <c r="B135" s="276"/>
      <c r="C135" s="277"/>
      <c r="D135" s="109" t="s">
        <v>267</v>
      </c>
      <c r="E135" s="96">
        <f>H135+K135+N135+Q135+T135+W135+Z135+AC135+AF135+AI135+AL135+AO135</f>
        <v>3.765876499528531E-13</v>
      </c>
      <c r="F135" s="96">
        <f>I135+L135+O135+R135+U135+X135+AA135+AD135+AG135+AJ135+AM135+AP135</f>
        <v>9.5923269327613525E-14</v>
      </c>
      <c r="G135" s="96">
        <v>0</v>
      </c>
      <c r="H135" s="96">
        <f>H73-H90-H95-H100-H104-H109-H114-H119-H124-H129</f>
        <v>0</v>
      </c>
      <c r="I135" s="96">
        <f>I73-I90-I95-I100-I104-I109-I114-I119-I124-I129</f>
        <v>0</v>
      </c>
      <c r="J135" s="96">
        <v>0</v>
      </c>
      <c r="K135" s="96">
        <f t="shared" ref="K135:L135" si="331">K73-K90-K95-K100-K104-K109-K114-K119-K124-K129</f>
        <v>2.8421709430404007E-14</v>
      </c>
      <c r="L135" s="96">
        <f t="shared" si="331"/>
        <v>2.8421709430404007E-14</v>
      </c>
      <c r="M135" s="96">
        <v>0</v>
      </c>
      <c r="N135" s="96">
        <f t="shared" ref="N135:O135" si="332">N73-N90-N95-N100-N104-N109-N114-N119-N124-N129</f>
        <v>0</v>
      </c>
      <c r="O135" s="96">
        <f t="shared" si="332"/>
        <v>2.8421709430404007E-14</v>
      </c>
      <c r="P135" s="96">
        <v>0</v>
      </c>
      <c r="Q135" s="96">
        <f t="shared" ref="Q135:R135" si="333">Q73-Q90-Q95-Q100-Q104-Q109-Q114-Q119-Q124-Q129</f>
        <v>2.8421709430404007E-14</v>
      </c>
      <c r="R135" s="96">
        <f t="shared" si="333"/>
        <v>2.8421709430404007E-14</v>
      </c>
      <c r="S135" s="96">
        <v>0</v>
      </c>
      <c r="T135" s="96">
        <f t="shared" ref="T135:U135" si="334">T73-T90-T95-T100-T104-T109-T114-T119-T124-T129</f>
        <v>0</v>
      </c>
      <c r="U135" s="96">
        <f t="shared" si="334"/>
        <v>0</v>
      </c>
      <c r="V135" s="96">
        <v>0</v>
      </c>
      <c r="W135" s="96">
        <f t="shared" ref="W135:X135" si="335">W73-W90-W95-W100-W104-W109-W114-W119-W124-W129</f>
        <v>-2.1316282072803006E-14</v>
      </c>
      <c r="X135" s="96">
        <f t="shared" si="335"/>
        <v>1.0658141036401503E-14</v>
      </c>
      <c r="Y135" s="96">
        <v>0</v>
      </c>
      <c r="Z135" s="96">
        <f>Z73-Z90-Z95-Z100-Z104-Z109-Z114-Z119-Z124-Z129</f>
        <v>1.1368683772161603E-13</v>
      </c>
      <c r="AA135" s="96">
        <v>0</v>
      </c>
      <c r="AB135" s="96">
        <f t="shared" ref="AB135:AB136" si="336">AA135/Z135*100</f>
        <v>0</v>
      </c>
      <c r="AC135" s="96">
        <f>AC73-AC90-AC95-AC100-AC104-AC109-AC114-AC119-AC124-AC129</f>
        <v>1.1368683772161603E-13</v>
      </c>
      <c r="AD135" s="96">
        <v>0</v>
      </c>
      <c r="AE135" s="96">
        <f t="shared" si="325"/>
        <v>0</v>
      </c>
      <c r="AF135" s="96">
        <f>AF73-AF90-AF95-AF100-AF104-AF109-AF114-AF119-AF124-AF129</f>
        <v>-5.6843418860808015E-14</v>
      </c>
      <c r="AG135" s="96">
        <v>0</v>
      </c>
      <c r="AH135" s="96">
        <f t="shared" si="327"/>
        <v>0</v>
      </c>
      <c r="AI135" s="96">
        <f>AI73-AI90-AI95-AI100-AI104-AI109-AI114-AI119-AI124-AI129</f>
        <v>0</v>
      </c>
      <c r="AJ135" s="96">
        <v>0</v>
      </c>
      <c r="AK135" s="96">
        <v>0</v>
      </c>
      <c r="AL135" s="96">
        <f>AL73-AL90-AL95-AL100-AL104-AL109-AL114-AL119-AL124-AL129</f>
        <v>1.7053025658242404E-13</v>
      </c>
      <c r="AM135" s="96">
        <v>0</v>
      </c>
      <c r="AN135" s="96">
        <v>0</v>
      </c>
      <c r="AO135" s="96">
        <f t="shared" ref="AO135:AP135" si="337">AO73-AO90-AO95-AO100-AO104-AO109-AO114-AO119-AO124-AO129</f>
        <v>0</v>
      </c>
      <c r="AP135" s="96">
        <f t="shared" si="337"/>
        <v>0</v>
      </c>
      <c r="AQ135" s="116">
        <v>0</v>
      </c>
      <c r="AR135" s="223"/>
      <c r="AS135" s="261"/>
      <c r="AT135" s="117"/>
      <c r="AU135" s="117"/>
      <c r="AV135" s="118"/>
    </row>
    <row r="136" spans="1:48" s="119" customFormat="1" ht="12.75" customHeight="1">
      <c r="A136" s="275"/>
      <c r="B136" s="276"/>
      <c r="C136" s="277"/>
      <c r="D136" s="109" t="s">
        <v>280</v>
      </c>
      <c r="E136" s="96">
        <f>H136+K136+N136+Q136+T136+W136+Z136+AC136+AF136+AI136+AL136+AO136</f>
        <v>2.5011104298755527E-12</v>
      </c>
      <c r="F136" s="96">
        <f t="shared" ref="F136:F138" si="338">I136+L136+O136+R136+U136+X136+AA136+AD136+AG136+AJ136+AM136+AP136</f>
        <v>2.7284841053187847E-12</v>
      </c>
      <c r="G136" s="96">
        <v>0</v>
      </c>
      <c r="H136" s="96">
        <f>H74-H91-H96-H101-H105-H110-H115-H120-H125-H130</f>
        <v>-2.2737367544323206E-13</v>
      </c>
      <c r="I136" s="96">
        <f>I74-I91-I96-I101-I105-I110-I115-I120-I125-I130</f>
        <v>-4.5474735088646412E-13</v>
      </c>
      <c r="J136" s="96">
        <v>0</v>
      </c>
      <c r="K136" s="96">
        <f t="shared" ref="K136:L136" si="339">K74-K91-K96-K101-K105-K110-K115-K120-K125-K130</f>
        <v>4.0927261579781771E-12</v>
      </c>
      <c r="L136" s="96">
        <f t="shared" si="339"/>
        <v>9.0949470177292824E-13</v>
      </c>
      <c r="M136" s="96">
        <v>0</v>
      </c>
      <c r="N136" s="96">
        <f t="shared" ref="N136:O136" si="340">N74-N91-N96-N101-N105-N110-N115-N120-N125-N130</f>
        <v>9.0949470177292824E-13</v>
      </c>
      <c r="O136" s="96">
        <f t="shared" si="340"/>
        <v>1.8189894035458565E-12</v>
      </c>
      <c r="P136" s="96">
        <v>0</v>
      </c>
      <c r="Q136" s="96">
        <f t="shared" ref="Q136:R136" si="341">Q74-Q91-Q96-Q101-Q105-Q110-Q115-Q120-Q125-Q130</f>
        <v>0</v>
      </c>
      <c r="R136" s="96">
        <f t="shared" si="341"/>
        <v>4.5474735088646412E-13</v>
      </c>
      <c r="S136" s="96">
        <v>0</v>
      </c>
      <c r="T136" s="96">
        <f t="shared" ref="T136:U136" si="342">T74-T91-T96-T101-T105-T110-T115-T120-T125-T130</f>
        <v>1.3642420526593924E-12</v>
      </c>
      <c r="U136" s="96">
        <f t="shared" si="342"/>
        <v>2.2737367544323206E-12</v>
      </c>
      <c r="V136" s="96">
        <v>0</v>
      </c>
      <c r="W136" s="96">
        <f t="shared" ref="W136:X136" si="343">W74-W91-W96-W101-W105-W110-W115-W120-W125-W130</f>
        <v>-1.3642420526593924E-12</v>
      </c>
      <c r="X136" s="96">
        <f t="shared" si="343"/>
        <v>-2.2737367544323206E-12</v>
      </c>
      <c r="Y136" s="96">
        <v>0</v>
      </c>
      <c r="Z136" s="96">
        <f>Z74-Z91-Z96-Z101-Z105-Z110-Z115-Z120-Z125-Z130</f>
        <v>-1.3642420526593924E-12</v>
      </c>
      <c r="AA136" s="96">
        <v>0</v>
      </c>
      <c r="AB136" s="96">
        <f t="shared" si="336"/>
        <v>0</v>
      </c>
      <c r="AC136" s="96">
        <f>AC74-AC91-AC96-AC101-AC105-AC110-AC115-AC120-AC125-AC130</f>
        <v>0</v>
      </c>
      <c r="AD136" s="96">
        <v>0</v>
      </c>
      <c r="AE136" s="96" t="e">
        <f t="shared" si="325"/>
        <v>#DIV/0!</v>
      </c>
      <c r="AF136" s="96">
        <f>AF74-AF91-AF96-AF101-AF105-AF110-AF115-AF120-AF125-AF130</f>
        <v>1.8189894035458565E-12</v>
      </c>
      <c r="AG136" s="96">
        <v>0</v>
      </c>
      <c r="AH136" s="96">
        <v>0</v>
      </c>
      <c r="AI136" s="96">
        <f>AI74-AI91-AI96-AI101-AI105-AI110-AI115-AI120-AI125-AI130</f>
        <v>-4.5474735088646412E-13</v>
      </c>
      <c r="AJ136" s="96">
        <v>0</v>
      </c>
      <c r="AK136" s="96">
        <v>0</v>
      </c>
      <c r="AL136" s="96">
        <f>AL74-AL91-AL96-AL101-AL105-AL110-AL115-AL120-AL125-AL130</f>
        <v>-2.2737367544323206E-12</v>
      </c>
      <c r="AM136" s="96">
        <v>0</v>
      </c>
      <c r="AN136" s="96">
        <v>0</v>
      </c>
      <c r="AO136" s="96">
        <f t="shared" ref="AO136:AP136" si="344">AO74-AO91-AO96-AO101-AO105-AO110-AO115-AO120-AO125-AO130</f>
        <v>0</v>
      </c>
      <c r="AP136" s="96">
        <f t="shared" si="344"/>
        <v>0</v>
      </c>
      <c r="AQ136" s="116">
        <v>0</v>
      </c>
      <c r="AR136" s="223"/>
      <c r="AS136" s="261"/>
      <c r="AT136" s="117"/>
      <c r="AU136" s="117"/>
      <c r="AV136" s="118"/>
    </row>
    <row r="137" spans="1:48" s="119" customFormat="1" ht="24">
      <c r="A137" s="275"/>
      <c r="B137" s="276"/>
      <c r="C137" s="277"/>
      <c r="D137" s="99" t="s">
        <v>255</v>
      </c>
      <c r="E137" s="96">
        <f t="shared" ref="E137:E138" si="345">H137+K137+N137+Q137+T137+W137+Z137+AC137+AF137+AI137+AL137+AO137</f>
        <v>0</v>
      </c>
      <c r="F137" s="96">
        <f t="shared" si="338"/>
        <v>0</v>
      </c>
      <c r="G137" s="96">
        <v>0</v>
      </c>
      <c r="H137" s="96">
        <f>H76-H92-H97-H106-H111-H116-H121-H126-H131</f>
        <v>0</v>
      </c>
      <c r="I137" s="96">
        <f>I76-I92-I97-I106-I111-I116-I121-I126-I131</f>
        <v>0</v>
      </c>
      <c r="J137" s="96">
        <v>0</v>
      </c>
      <c r="K137" s="96">
        <f t="shared" ref="K137:L137" si="346">K76-K92-K97-K106-K111-K116-K121-K126-K131</f>
        <v>0</v>
      </c>
      <c r="L137" s="96">
        <f t="shared" si="346"/>
        <v>0</v>
      </c>
      <c r="M137" s="96">
        <v>0</v>
      </c>
      <c r="N137" s="96">
        <f t="shared" ref="N137:O137" si="347">N76-N92-N97-N106-N111-N116-N121-N126-N131</f>
        <v>0</v>
      </c>
      <c r="O137" s="96">
        <f t="shared" si="347"/>
        <v>0</v>
      </c>
      <c r="P137" s="96">
        <v>0</v>
      </c>
      <c r="Q137" s="96">
        <f t="shared" ref="Q137:R137" si="348">Q76-Q92-Q97-Q106-Q111-Q116-Q121-Q126-Q131</f>
        <v>0</v>
      </c>
      <c r="R137" s="96">
        <f t="shared" si="348"/>
        <v>0</v>
      </c>
      <c r="S137" s="96">
        <v>0</v>
      </c>
      <c r="T137" s="96">
        <f t="shared" ref="T137:U137" si="349">T76-T92-T97-T106-T111-T116-T121-T126-T131</f>
        <v>0</v>
      </c>
      <c r="U137" s="96">
        <f t="shared" si="349"/>
        <v>0</v>
      </c>
      <c r="V137" s="96">
        <v>0</v>
      </c>
      <c r="W137" s="96">
        <f t="shared" ref="W137:X137" si="350">W76-W92-W97-W106-W111-W116-W121-W126-W131</f>
        <v>0</v>
      </c>
      <c r="X137" s="96">
        <f t="shared" si="350"/>
        <v>0</v>
      </c>
      <c r="Y137" s="96">
        <v>0</v>
      </c>
      <c r="Z137" s="96">
        <f>Z76-Z92-Z97-Z106-Z111-Z116-Z121-Z126-Z131</f>
        <v>0</v>
      </c>
      <c r="AA137" s="96">
        <v>0</v>
      </c>
      <c r="AB137" s="96">
        <v>0</v>
      </c>
      <c r="AC137" s="96">
        <f>AC76-AC92-AC97-AC106-AC111-AC116-AC121-AC126-AC131</f>
        <v>0</v>
      </c>
      <c r="AD137" s="96">
        <v>0</v>
      </c>
      <c r="AE137" s="96">
        <v>0</v>
      </c>
      <c r="AF137" s="96">
        <f>AF76-AF92-AF97-AF106-AF111-AF116-AF121-AF126-AF131</f>
        <v>0</v>
      </c>
      <c r="AG137" s="96">
        <v>0</v>
      </c>
      <c r="AH137" s="96">
        <v>0</v>
      </c>
      <c r="AI137" s="96">
        <f>AI76-AI92-AI97-AI106-AI111-AI116-AI121-AI126-AI131</f>
        <v>0</v>
      </c>
      <c r="AJ137" s="96">
        <v>0</v>
      </c>
      <c r="AK137" s="96">
        <v>0</v>
      </c>
      <c r="AL137" s="96">
        <f>AL76-AL92-AL97-AL106-AL111-AL116-AL121-AL126-AL131</f>
        <v>0</v>
      </c>
      <c r="AM137" s="96">
        <v>0</v>
      </c>
      <c r="AN137" s="96">
        <v>0</v>
      </c>
      <c r="AO137" s="96">
        <f t="shared" ref="AO137:AP137" si="351">AO76-AO92-AO97-AO106-AO111-AO116-AO121-AO126-AO131</f>
        <v>0</v>
      </c>
      <c r="AP137" s="96">
        <f t="shared" si="351"/>
        <v>0</v>
      </c>
      <c r="AQ137" s="116">
        <v>0</v>
      </c>
      <c r="AR137" s="223"/>
      <c r="AS137" s="261"/>
      <c r="AT137" s="117"/>
      <c r="AU137" s="117"/>
      <c r="AV137" s="118"/>
    </row>
    <row r="138" spans="1:48" s="119" customFormat="1" ht="24">
      <c r="A138" s="278"/>
      <c r="B138" s="279"/>
      <c r="C138" s="280"/>
      <c r="D138" s="99" t="s">
        <v>285</v>
      </c>
      <c r="E138" s="96">
        <f t="shared" si="345"/>
        <v>0</v>
      </c>
      <c r="F138" s="96">
        <f t="shared" si="338"/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0</v>
      </c>
      <c r="L138" s="96">
        <v>0</v>
      </c>
      <c r="M138" s="96">
        <v>0</v>
      </c>
      <c r="N138" s="96">
        <v>0</v>
      </c>
      <c r="O138" s="96">
        <v>0</v>
      </c>
      <c r="P138" s="96">
        <v>0</v>
      </c>
      <c r="Q138" s="96">
        <v>0</v>
      </c>
      <c r="R138" s="96">
        <v>0</v>
      </c>
      <c r="S138" s="96">
        <v>0</v>
      </c>
      <c r="T138" s="96">
        <v>0</v>
      </c>
      <c r="U138" s="96">
        <v>0</v>
      </c>
      <c r="V138" s="96">
        <v>0</v>
      </c>
      <c r="W138" s="96">
        <v>0</v>
      </c>
      <c r="X138" s="96">
        <v>0</v>
      </c>
      <c r="Y138" s="96">
        <v>0</v>
      </c>
      <c r="Z138" s="96">
        <v>0</v>
      </c>
      <c r="AA138" s="96">
        <v>0</v>
      </c>
      <c r="AB138" s="96">
        <v>0</v>
      </c>
      <c r="AC138" s="96">
        <v>0</v>
      </c>
      <c r="AD138" s="96">
        <v>0</v>
      </c>
      <c r="AE138" s="96">
        <v>0</v>
      </c>
      <c r="AF138" s="96">
        <v>0</v>
      </c>
      <c r="AG138" s="96">
        <v>0</v>
      </c>
      <c r="AH138" s="96">
        <v>0</v>
      </c>
      <c r="AI138" s="96">
        <v>0</v>
      </c>
      <c r="AJ138" s="96">
        <v>0</v>
      </c>
      <c r="AK138" s="96">
        <v>0</v>
      </c>
      <c r="AL138" s="96">
        <v>0</v>
      </c>
      <c r="AM138" s="96">
        <v>0</v>
      </c>
      <c r="AN138" s="96">
        <v>0</v>
      </c>
      <c r="AO138" s="96">
        <v>0</v>
      </c>
      <c r="AP138" s="96">
        <v>0</v>
      </c>
      <c r="AQ138" s="116">
        <v>0</v>
      </c>
      <c r="AR138" s="223"/>
      <c r="AS138" s="261"/>
      <c r="AT138" s="117"/>
      <c r="AU138" s="117"/>
      <c r="AV138" s="118"/>
    </row>
    <row r="139" spans="1:48" s="119" customFormat="1">
      <c r="A139" s="153"/>
      <c r="B139" s="153"/>
      <c r="C139" s="153"/>
      <c r="D139" s="13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58"/>
      <c r="AS139" s="152"/>
      <c r="AT139" s="117"/>
      <c r="AU139" s="117"/>
      <c r="AV139" s="118"/>
    </row>
    <row r="140" spans="1:48" s="119" customFormat="1">
      <c r="A140" s="153"/>
      <c r="B140" s="153"/>
      <c r="C140" s="153"/>
      <c r="D140" s="13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58"/>
      <c r="AS140" s="152"/>
      <c r="AT140" s="117"/>
      <c r="AU140" s="117"/>
      <c r="AV140" s="118"/>
    </row>
    <row r="141" spans="1:48" s="119" customFormat="1">
      <c r="A141" s="153"/>
      <c r="B141" s="153"/>
      <c r="C141" s="153"/>
      <c r="D141" s="13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58"/>
      <c r="AS141" s="152"/>
      <c r="AT141" s="117"/>
      <c r="AU141" s="117"/>
      <c r="AV141" s="118"/>
    </row>
    <row r="142" spans="1:48" s="119" customFormat="1">
      <c r="A142" s="153"/>
      <c r="B142" s="153"/>
      <c r="C142" s="153"/>
      <c r="D142" s="13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58"/>
      <c r="AS142" s="152"/>
      <c r="AT142" s="117"/>
      <c r="AU142" s="117"/>
      <c r="AV142" s="118"/>
    </row>
    <row r="143" spans="1:48" s="119" customFormat="1">
      <c r="A143" s="153"/>
      <c r="B143" s="153"/>
      <c r="C143" s="153"/>
      <c r="D143" s="13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58"/>
      <c r="AS143" s="152"/>
      <c r="AT143" s="117"/>
      <c r="AU143" s="117"/>
      <c r="AV143" s="118"/>
    </row>
    <row r="144" spans="1:48" s="119" customFormat="1">
      <c r="A144" s="153"/>
      <c r="B144" s="153"/>
      <c r="C144" s="153"/>
      <c r="D144" s="13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58"/>
      <c r="AS144" s="152"/>
      <c r="AT144" s="117"/>
      <c r="AU144" s="117"/>
      <c r="AV144" s="118"/>
    </row>
    <row r="145" spans="1:64" s="119" customFormat="1">
      <c r="A145" s="153"/>
      <c r="B145" s="153"/>
      <c r="C145" s="153"/>
      <c r="D145" s="13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58"/>
      <c r="AS145" s="152"/>
      <c r="AT145" s="117"/>
      <c r="AU145" s="117"/>
      <c r="AV145" s="118"/>
    </row>
    <row r="146" spans="1:64" s="119" customFormat="1">
      <c r="A146" s="153"/>
      <c r="B146" s="153"/>
      <c r="C146" s="153"/>
      <c r="D146" s="13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58"/>
      <c r="AS146" s="152"/>
      <c r="AT146" s="117"/>
      <c r="AU146" s="117"/>
      <c r="AV146" s="118"/>
    </row>
    <row r="147" spans="1:64" s="119" customFormat="1">
      <c r="A147" s="153"/>
      <c r="B147" s="153"/>
      <c r="C147" s="153"/>
      <c r="D147" s="13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58"/>
      <c r="AS147" s="152"/>
      <c r="AT147" s="117"/>
      <c r="AU147" s="117"/>
      <c r="AV147" s="118"/>
    </row>
    <row r="148" spans="1:64" s="119" customFormat="1">
      <c r="A148" s="153"/>
      <c r="B148" s="153"/>
      <c r="C148" s="153"/>
      <c r="D148" s="13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58"/>
      <c r="AS148" s="152"/>
      <c r="AT148" s="117"/>
      <c r="AU148" s="117"/>
      <c r="AV148" s="118"/>
    </row>
    <row r="149" spans="1:64" s="119" customFormat="1">
      <c r="A149" s="153"/>
      <c r="B149" s="153"/>
      <c r="C149" s="153"/>
      <c r="D149" s="13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58"/>
      <c r="AS149" s="152"/>
      <c r="AT149" s="117"/>
      <c r="AU149" s="117"/>
      <c r="AV149" s="118"/>
    </row>
    <row r="150" spans="1:64" s="119" customFormat="1">
      <c r="A150" s="153"/>
      <c r="B150" s="153"/>
      <c r="C150" s="153"/>
      <c r="D150" s="13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58"/>
      <c r="AS150" s="152"/>
      <c r="AT150" s="117"/>
      <c r="AU150" s="117"/>
      <c r="AV150" s="118"/>
    </row>
    <row r="151" spans="1:64" s="119" customFormat="1">
      <c r="A151" s="147"/>
      <c r="B151" s="147"/>
      <c r="C151" s="147"/>
      <c r="D151" s="13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58"/>
      <c r="AS151" s="152"/>
      <c r="AT151" s="117"/>
      <c r="AU151" s="117"/>
      <c r="AV151" s="118"/>
    </row>
    <row r="152" spans="1:64" s="119" customFormat="1">
      <c r="A152" s="147"/>
      <c r="B152" s="147"/>
      <c r="C152" s="147"/>
      <c r="D152" s="13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58"/>
      <c r="AS152" s="152"/>
      <c r="AT152" s="117"/>
      <c r="AU152" s="117"/>
      <c r="AV152" s="118"/>
    </row>
    <row r="153" spans="1:64" s="119" customFormat="1" ht="15" customHeight="1">
      <c r="A153" s="132" t="s">
        <v>262</v>
      </c>
      <c r="B153" s="132"/>
      <c r="C153" s="132"/>
      <c r="D153" s="103"/>
      <c r="E153" s="124"/>
      <c r="F153" s="133"/>
      <c r="G153" s="113" t="s">
        <v>263</v>
      </c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02"/>
      <c r="AD153" s="102"/>
      <c r="AE153" s="102"/>
      <c r="AF153" s="102"/>
      <c r="AG153" s="102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1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  <c r="BE153" s="102"/>
      <c r="BF153" s="102"/>
      <c r="BG153" s="102"/>
      <c r="BH153" s="125"/>
      <c r="BI153" s="102"/>
      <c r="BJ153" s="102"/>
      <c r="BK153" s="102"/>
      <c r="BL153" s="102"/>
    </row>
    <row r="154" spans="1:64" s="119" customFormat="1" ht="15" customHeight="1">
      <c r="A154" s="281" t="s">
        <v>264</v>
      </c>
      <c r="B154" s="281"/>
      <c r="C154" s="281"/>
      <c r="D154" s="103"/>
      <c r="E154" s="124"/>
      <c r="F154" s="133"/>
      <c r="G154" s="113" t="s">
        <v>265</v>
      </c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02"/>
      <c r="AD154" s="102"/>
      <c r="AE154" s="102"/>
      <c r="AF154" s="102"/>
      <c r="AG154" s="102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1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  <c r="BE154" s="102"/>
      <c r="BF154" s="102"/>
      <c r="BG154" s="102"/>
      <c r="BH154" s="102"/>
      <c r="BI154" s="102"/>
      <c r="BJ154" s="102"/>
      <c r="BK154" s="102"/>
      <c r="BL154" s="102"/>
    </row>
    <row r="155" spans="1:64" s="119" customFormat="1" ht="24" customHeight="1">
      <c r="A155" s="282" t="s">
        <v>266</v>
      </c>
      <c r="B155" s="282"/>
      <c r="C155" s="282"/>
      <c r="D155" s="282"/>
      <c r="E155" s="282"/>
      <c r="F155" s="133"/>
      <c r="G155" s="113" t="s">
        <v>326</v>
      </c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02"/>
      <c r="AD155" s="102"/>
      <c r="AE155" s="102"/>
      <c r="AF155" s="102"/>
      <c r="AG155" s="102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1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  <c r="BE155" s="102"/>
      <c r="BF155" s="102"/>
      <c r="BG155" s="102"/>
      <c r="BH155" s="102"/>
      <c r="BI155" s="102"/>
      <c r="BJ155" s="102"/>
      <c r="BK155" s="102"/>
      <c r="BL155" s="102"/>
    </row>
    <row r="156" spans="1:64">
      <c r="AO156" s="130"/>
      <c r="AR156" s="157"/>
    </row>
    <row r="157" spans="1:64">
      <c r="AO157" s="130"/>
      <c r="AR157" s="157"/>
    </row>
    <row r="158" spans="1:64">
      <c r="AO158" s="130"/>
      <c r="AR158" s="157"/>
    </row>
    <row r="159" spans="1:64">
      <c r="AO159" s="130"/>
      <c r="AR159" s="157"/>
    </row>
    <row r="160" spans="1:64">
      <c r="AO160" s="130"/>
      <c r="AR160" s="157"/>
    </row>
    <row r="161" spans="41:44">
      <c r="AO161" s="130"/>
      <c r="AR161" s="157"/>
    </row>
    <row r="162" spans="41:44">
      <c r="AO162" s="130"/>
      <c r="AR162" s="157"/>
    </row>
    <row r="163" spans="41:44">
      <c r="AO163" s="130"/>
      <c r="AR163" s="157"/>
    </row>
    <row r="164" spans="41:44">
      <c r="AO164" s="130"/>
      <c r="AR164" s="157"/>
    </row>
    <row r="165" spans="41:44">
      <c r="AO165" s="130"/>
      <c r="AR165" s="157"/>
    </row>
    <row r="166" spans="41:44">
      <c r="AO166" s="130"/>
      <c r="AR166" s="157"/>
    </row>
    <row r="167" spans="41:44">
      <c r="AO167" s="130"/>
      <c r="AR167" s="157"/>
    </row>
    <row r="168" spans="41:44">
      <c r="AO168" s="130"/>
      <c r="AR168" s="157"/>
    </row>
    <row r="169" spans="41:44">
      <c r="AO169" s="130"/>
      <c r="AR169" s="157"/>
    </row>
    <row r="170" spans="41:44">
      <c r="AO170" s="130"/>
      <c r="AR170" s="157"/>
    </row>
    <row r="171" spans="41:44">
      <c r="AO171" s="130"/>
      <c r="AR171" s="157"/>
    </row>
    <row r="172" spans="41:44">
      <c r="AO172" s="130"/>
      <c r="AR172" s="157"/>
    </row>
    <row r="173" spans="41:44">
      <c r="AO173" s="130"/>
      <c r="AR173" s="157"/>
    </row>
    <row r="174" spans="41:44">
      <c r="AO174" s="130"/>
      <c r="AR174" s="157"/>
    </row>
    <row r="175" spans="41:44">
      <c r="AO175" s="130"/>
      <c r="AR175" s="157"/>
    </row>
    <row r="176" spans="41:44">
      <c r="AO176" s="130"/>
      <c r="AR176" s="157"/>
    </row>
    <row r="177" spans="41:44">
      <c r="AO177" s="130"/>
      <c r="AR177" s="157"/>
    </row>
  </sheetData>
  <mergeCells count="116">
    <mergeCell ref="A154:C154"/>
    <mergeCell ref="A155:E155"/>
    <mergeCell ref="A123:C127"/>
    <mergeCell ref="AR123:AR127"/>
    <mergeCell ref="AS123:AS127"/>
    <mergeCell ref="A128:C132"/>
    <mergeCell ref="AR128:AR132"/>
    <mergeCell ref="AS128:AS132"/>
    <mergeCell ref="A113:C117"/>
    <mergeCell ref="AR113:AR117"/>
    <mergeCell ref="AS113:AS117"/>
    <mergeCell ref="A118:C122"/>
    <mergeCell ref="AR118:AR122"/>
    <mergeCell ref="AS118:AS122"/>
    <mergeCell ref="A134:C138"/>
    <mergeCell ref="AR134:AR138"/>
    <mergeCell ref="AS134:AS138"/>
    <mergeCell ref="A103:C107"/>
    <mergeCell ref="AR103:AR107"/>
    <mergeCell ref="AS103:AS107"/>
    <mergeCell ref="A108:C112"/>
    <mergeCell ref="AR108:AR112"/>
    <mergeCell ref="AS108:AS112"/>
    <mergeCell ref="A94:C98"/>
    <mergeCell ref="AR94:AR98"/>
    <mergeCell ref="AS94:AS98"/>
    <mergeCell ref="A99:C102"/>
    <mergeCell ref="AR99:AR102"/>
    <mergeCell ref="AS99:AS102"/>
    <mergeCell ref="A83:C87"/>
    <mergeCell ref="AR83:AR87"/>
    <mergeCell ref="AS83:AS87"/>
    <mergeCell ref="A88:C88"/>
    <mergeCell ref="A89:C93"/>
    <mergeCell ref="AR89:AR93"/>
    <mergeCell ref="AS89:AS93"/>
    <mergeCell ref="A72:C77"/>
    <mergeCell ref="AR72:AR77"/>
    <mergeCell ref="AS72:AS77"/>
    <mergeCell ref="A78:C82"/>
    <mergeCell ref="AR78:AR82"/>
    <mergeCell ref="AS78:AS82"/>
    <mergeCell ref="A61:A65"/>
    <mergeCell ref="B61:C65"/>
    <mergeCell ref="AR61:AR65"/>
    <mergeCell ref="AS61:AS65"/>
    <mergeCell ref="A67:A71"/>
    <mergeCell ref="B67:B71"/>
    <mergeCell ref="C67:C71"/>
    <mergeCell ref="AR67:AR71"/>
    <mergeCell ref="AS67:AS71"/>
    <mergeCell ref="A50:A54"/>
    <mergeCell ref="B50:C54"/>
    <mergeCell ref="AR50:AR54"/>
    <mergeCell ref="AS50:AS54"/>
    <mergeCell ref="A56:A60"/>
    <mergeCell ref="B56:B60"/>
    <mergeCell ref="C56:C60"/>
    <mergeCell ref="AR56:AR60"/>
    <mergeCell ref="AS56:AS60"/>
    <mergeCell ref="A38:A43"/>
    <mergeCell ref="B38:B43"/>
    <mergeCell ref="C38:C43"/>
    <mergeCell ref="AR38:AR43"/>
    <mergeCell ref="AS38:AS43"/>
    <mergeCell ref="A44:A48"/>
    <mergeCell ref="B44:B48"/>
    <mergeCell ref="C44:C48"/>
    <mergeCell ref="AR44:AR48"/>
    <mergeCell ref="AS44:AS48"/>
    <mergeCell ref="A28:A32"/>
    <mergeCell ref="B28:B32"/>
    <mergeCell ref="C28:C32"/>
    <mergeCell ref="AR28:AR32"/>
    <mergeCell ref="AS28:AS32"/>
    <mergeCell ref="A33:A37"/>
    <mergeCell ref="B33:B37"/>
    <mergeCell ref="C33:C37"/>
    <mergeCell ref="AR33:AR37"/>
    <mergeCell ref="AS33:AS37"/>
    <mergeCell ref="AC9:AE9"/>
    <mergeCell ref="AF9:AH9"/>
    <mergeCell ref="A17:A22"/>
    <mergeCell ref="B17:B22"/>
    <mergeCell ref="C17:C22"/>
    <mergeCell ref="AR17:AR22"/>
    <mergeCell ref="AS17:AS22"/>
    <mergeCell ref="A23:A27"/>
    <mergeCell ref="B23:B27"/>
    <mergeCell ref="C23:C27"/>
    <mergeCell ref="AR23:AR27"/>
    <mergeCell ref="AS23:AS27"/>
    <mergeCell ref="AT26:AT28"/>
    <mergeCell ref="A6:AS6"/>
    <mergeCell ref="A7:AS7"/>
    <mergeCell ref="A9:A10"/>
    <mergeCell ref="B9:B10"/>
    <mergeCell ref="C9:C10"/>
    <mergeCell ref="D9:D10"/>
    <mergeCell ref="E9:G9"/>
    <mergeCell ref="H9:J9"/>
    <mergeCell ref="K9:M9"/>
    <mergeCell ref="N9:P9"/>
    <mergeCell ref="AI9:AK9"/>
    <mergeCell ref="AL9:AN9"/>
    <mergeCell ref="AO9:AQ9"/>
    <mergeCell ref="AR9:AR10"/>
    <mergeCell ref="AS9:AS10"/>
    <mergeCell ref="A11:A16"/>
    <mergeCell ref="B11:C16"/>
    <mergeCell ref="AR11:AR16"/>
    <mergeCell ref="AS11:AS16"/>
    <mergeCell ref="Q9:S9"/>
    <mergeCell ref="T9:V9"/>
    <mergeCell ref="W9:Y9"/>
    <mergeCell ref="Z9:AB9"/>
  </mergeCells>
  <conditionalFormatting sqref="H106 H117 H112 H123 S70 G75:G78 M75 P75 M67:M69 J69 P69 P67 E15:F15 T52 H34 G50 G45 H22 H15:I15 K15:L15 N15:O15 T49 G47 H41:H53 H32 G38:G39 G36 G56:G73 G41:G42 M41 P41 G20:H20 M20 P20 E14:I14 K14:P14 V41 Y41">
    <cfRule type="cellIs" dxfId="0" priority="26" stopIfTrue="1" operator="notEqual">
      <formula>#REF!</formula>
    </cfRule>
  </conditionalFormatting>
  <pageMargins left="0.39370078740157483" right="0.11811023622047245" top="0.11811023622047245" bottom="0.27559055118110237" header="0.11811023622047245" footer="0.31496062992125984"/>
  <pageSetup paperSize="8" scale="34" fitToHeight="1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подпрограммам</vt:lpstr>
      <vt:lpstr>оценка эффективности</vt:lpstr>
      <vt:lpstr>Выполнение работ</vt:lpstr>
      <vt:lpstr>на 01.07.2023</vt:lpstr>
      <vt:lpstr>'Выполнение работ'!Заголовки_для_печати</vt:lpstr>
      <vt:lpstr>'на 01.07.2023'!Заголовки_для_печати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Назарова</cp:lastModifiedBy>
  <cp:lastPrinted>2023-07-11T10:56:43Z</cp:lastPrinted>
  <dcterms:created xsi:type="dcterms:W3CDTF">2011-05-17T05:04:33Z</dcterms:created>
  <dcterms:modified xsi:type="dcterms:W3CDTF">2023-07-19T02:29:07Z</dcterms:modified>
</cp:coreProperties>
</file>