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аблица 1" sheetId="1" r:id="rId1"/>
    <sheet name="таблица 2" sheetId="2" r:id="rId2"/>
  </sheets>
  <calcPr calcId="125725"/>
</workbook>
</file>

<file path=xl/calcChain.xml><?xml version="1.0" encoding="utf-8"?>
<calcChain xmlns="http://schemas.openxmlformats.org/spreadsheetml/2006/main">
  <c r="F147" i="1"/>
  <c r="E147"/>
  <c r="F146"/>
  <c r="E146"/>
  <c r="F145"/>
  <c r="E145"/>
  <c r="F144"/>
  <c r="E144"/>
  <c r="AP143"/>
  <c r="AO143"/>
  <c r="AM143"/>
  <c r="AL143"/>
  <c r="AJ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F143"/>
  <c r="E143"/>
  <c r="F142"/>
  <c r="E142"/>
  <c r="F141"/>
  <c r="E141"/>
  <c r="AO140"/>
  <c r="AQ140" s="1"/>
  <c r="AN140"/>
  <c r="AI140"/>
  <c r="AK140" s="1"/>
  <c r="AH140"/>
  <c r="AC140"/>
  <c r="AE140" s="1"/>
  <c r="AA140"/>
  <c r="AB140" s="1"/>
  <c r="Z140"/>
  <c r="Y140"/>
  <c r="W140"/>
  <c r="V140"/>
  <c r="T140"/>
  <c r="S140"/>
  <c r="Q140"/>
  <c r="P140"/>
  <c r="K140"/>
  <c r="M140" s="1"/>
  <c r="H140"/>
  <c r="J140" s="1"/>
  <c r="F140"/>
  <c r="AQ139"/>
  <c r="AN139"/>
  <c r="AK139"/>
  <c r="AF139"/>
  <c r="AH139" s="1"/>
  <c r="AE139"/>
  <c r="AB139"/>
  <c r="Z139"/>
  <c r="Y139"/>
  <c r="F139"/>
  <c r="AP138"/>
  <c r="AO138"/>
  <c r="AQ138" s="1"/>
  <c r="AM138"/>
  <c r="AN138" s="1"/>
  <c r="AL138"/>
  <c r="AJ138"/>
  <c r="AI138"/>
  <c r="AK138" s="1"/>
  <c r="AG138"/>
  <c r="AD138"/>
  <c r="AC138"/>
  <c r="AE138" s="1"/>
  <c r="AA138"/>
  <c r="AB138" s="1"/>
  <c r="Z138"/>
  <c r="X138"/>
  <c r="W138"/>
  <c r="Y138" s="1"/>
  <c r="U138"/>
  <c r="V138" s="1"/>
  <c r="T138"/>
  <c r="R138"/>
  <c r="Q138"/>
  <c r="S138" s="1"/>
  <c r="O138"/>
  <c r="P138" s="1"/>
  <c r="N138"/>
  <c r="L138"/>
  <c r="K138"/>
  <c r="M138" s="1"/>
  <c r="I138"/>
  <c r="F137"/>
  <c r="E137"/>
  <c r="F136"/>
  <c r="E136"/>
  <c r="AO135"/>
  <c r="AQ135" s="1"/>
  <c r="AN135"/>
  <c r="AK135"/>
  <c r="AH135"/>
  <c r="AE135"/>
  <c r="AB135"/>
  <c r="Y135"/>
  <c r="V135"/>
  <c r="S135"/>
  <c r="P135"/>
  <c r="M135"/>
  <c r="F135"/>
  <c r="AN134"/>
  <c r="Y134"/>
  <c r="S134"/>
  <c r="F134"/>
  <c r="G134" s="1"/>
  <c r="E134"/>
  <c r="AP133"/>
  <c r="AO133"/>
  <c r="AQ133" s="1"/>
  <c r="AM133"/>
  <c r="AN133" s="1"/>
  <c r="AL133"/>
  <c r="AJ133"/>
  <c r="AI133"/>
  <c r="AK133" s="1"/>
  <c r="AG133"/>
  <c r="AH133" s="1"/>
  <c r="AF133"/>
  <c r="AD133"/>
  <c r="AC133"/>
  <c r="AE133" s="1"/>
  <c r="AA133"/>
  <c r="AB133" s="1"/>
  <c r="Z133"/>
  <c r="X133"/>
  <c r="W133"/>
  <c r="Y133" s="1"/>
  <c r="U133"/>
  <c r="V133" s="1"/>
  <c r="T133"/>
  <c r="R133"/>
  <c r="Q133"/>
  <c r="S133" s="1"/>
  <c r="O133"/>
  <c r="P133" s="1"/>
  <c r="N133"/>
  <c r="L133"/>
  <c r="K133"/>
  <c r="M133" s="1"/>
  <c r="I133"/>
  <c r="H133"/>
  <c r="F133"/>
  <c r="F132"/>
  <c r="E132"/>
  <c r="F131"/>
  <c r="E131"/>
  <c r="F130"/>
  <c r="E130"/>
  <c r="F129"/>
  <c r="F128" s="1"/>
  <c r="E129"/>
  <c r="AO128"/>
  <c r="AM128"/>
  <c r="AL128"/>
  <c r="AJ128"/>
  <c r="AI128"/>
  <c r="AG128"/>
  <c r="AF128"/>
  <c r="AD128"/>
  <c r="AC128"/>
  <c r="AA128"/>
  <c r="Z128"/>
  <c r="X128"/>
  <c r="W128"/>
  <c r="U128"/>
  <c r="T128"/>
  <c r="R128"/>
  <c r="Q128"/>
  <c r="O128"/>
  <c r="N128"/>
  <c r="L128"/>
  <c r="K128"/>
  <c r="I128"/>
  <c r="H128"/>
  <c r="E128"/>
  <c r="F127"/>
  <c r="E127"/>
  <c r="F126"/>
  <c r="E126"/>
  <c r="F125"/>
  <c r="E125"/>
  <c r="F124"/>
  <c r="E124"/>
  <c r="E123" s="1"/>
  <c r="AQ123"/>
  <c r="AP123"/>
  <c r="AO123"/>
  <c r="AM123"/>
  <c r="AL123"/>
  <c r="AJ123"/>
  <c r="AI123"/>
  <c r="AG123"/>
  <c r="AF123"/>
  <c r="AD123"/>
  <c r="AC123"/>
  <c r="AA123"/>
  <c r="Z123"/>
  <c r="X123"/>
  <c r="W123"/>
  <c r="U123"/>
  <c r="T123"/>
  <c r="R123"/>
  <c r="Q123"/>
  <c r="O123"/>
  <c r="N123"/>
  <c r="L123"/>
  <c r="K123"/>
  <c r="I123"/>
  <c r="H123"/>
  <c r="F123"/>
  <c r="F122"/>
  <c r="E122"/>
  <c r="F121"/>
  <c r="E121"/>
  <c r="F120"/>
  <c r="E120"/>
  <c r="AQ119"/>
  <c r="AO119"/>
  <c r="AH119"/>
  <c r="AF119"/>
  <c r="AE119"/>
  <c r="AC119"/>
  <c r="AB119"/>
  <c r="Z119"/>
  <c r="Y119"/>
  <c r="W119"/>
  <c r="V119"/>
  <c r="Q119"/>
  <c r="S119" s="1"/>
  <c r="F119"/>
  <c r="AP118"/>
  <c r="AO118"/>
  <c r="AQ118" s="1"/>
  <c r="AM118"/>
  <c r="AL118"/>
  <c r="AJ118"/>
  <c r="AI118"/>
  <c r="AG118"/>
  <c r="AH118" s="1"/>
  <c r="AF118"/>
  <c r="AD118"/>
  <c r="AC118"/>
  <c r="AE118" s="1"/>
  <c r="AA118"/>
  <c r="AB118" s="1"/>
  <c r="Z118"/>
  <c r="X118"/>
  <c r="W118"/>
  <c r="Y118" s="1"/>
  <c r="U118"/>
  <c r="V118" s="1"/>
  <c r="T118"/>
  <c r="R118"/>
  <c r="Q118"/>
  <c r="S118" s="1"/>
  <c r="O118"/>
  <c r="N118"/>
  <c r="L118"/>
  <c r="K118"/>
  <c r="I118"/>
  <c r="H118"/>
  <c r="F118"/>
  <c r="F117"/>
  <c r="E117"/>
  <c r="AA116"/>
  <c r="X116"/>
  <c r="U116"/>
  <c r="R116"/>
  <c r="O116"/>
  <c r="L116"/>
  <c r="I116"/>
  <c r="F116"/>
  <c r="I115"/>
  <c r="F115" s="1"/>
  <c r="F114" s="1"/>
  <c r="E115"/>
  <c r="AP114"/>
  <c r="AM114"/>
  <c r="AJ114"/>
  <c r="AG114"/>
  <c r="AD114"/>
  <c r="AA114"/>
  <c r="X114"/>
  <c r="U114"/>
  <c r="R114"/>
  <c r="O114"/>
  <c r="L114"/>
  <c r="F113"/>
  <c r="E113"/>
  <c r="AP112"/>
  <c r="AP109" s="1"/>
  <c r="AQ109" s="1"/>
  <c r="AO112"/>
  <c r="AM112"/>
  <c r="AL112"/>
  <c r="AJ112"/>
  <c r="AJ109" s="1"/>
  <c r="AK109" s="1"/>
  <c r="AI112"/>
  <c r="AG112"/>
  <c r="AF112"/>
  <c r="AD112"/>
  <c r="AD109" s="1"/>
  <c r="AE109" s="1"/>
  <c r="AC112"/>
  <c r="AA112"/>
  <c r="Z112"/>
  <c r="X112"/>
  <c r="X109" s="1"/>
  <c r="Y109" s="1"/>
  <c r="W112"/>
  <c r="U112"/>
  <c r="T112"/>
  <c r="R112"/>
  <c r="R109" s="1"/>
  <c r="S109" s="1"/>
  <c r="Q112"/>
  <c r="O112"/>
  <c r="N112"/>
  <c r="L112"/>
  <c r="L109" s="1"/>
  <c r="M109" s="1"/>
  <c r="K112"/>
  <c r="I112"/>
  <c r="H112"/>
  <c r="F112"/>
  <c r="E112"/>
  <c r="AQ111"/>
  <c r="AO111"/>
  <c r="AN111"/>
  <c r="AI111"/>
  <c r="AK111" s="1"/>
  <c r="AF111"/>
  <c r="AH111" s="1"/>
  <c r="AC111"/>
  <c r="AE111" s="1"/>
  <c r="Z111"/>
  <c r="AB111" s="1"/>
  <c r="W111"/>
  <c r="Y111" s="1"/>
  <c r="V111"/>
  <c r="S111"/>
  <c r="N111"/>
  <c r="P111" s="1"/>
  <c r="K111"/>
  <c r="M111" s="1"/>
  <c r="H111"/>
  <c r="J111" s="1"/>
  <c r="F111"/>
  <c r="AQ110"/>
  <c r="AO110"/>
  <c r="AN110"/>
  <c r="AL110"/>
  <c r="AK110"/>
  <c r="AH110"/>
  <c r="AE110"/>
  <c r="Z110"/>
  <c r="AB110" s="1"/>
  <c r="Y110"/>
  <c r="V110"/>
  <c r="S110"/>
  <c r="P110"/>
  <c r="M110"/>
  <c r="I110"/>
  <c r="F110"/>
  <c r="AO109"/>
  <c r="AM109"/>
  <c r="AN109" s="1"/>
  <c r="AL109"/>
  <c r="AI109"/>
  <c r="AG109"/>
  <c r="AC109"/>
  <c r="AA109"/>
  <c r="W109"/>
  <c r="U109"/>
  <c r="V109" s="1"/>
  <c r="T109"/>
  <c r="Q109"/>
  <c r="O109"/>
  <c r="K109"/>
  <c r="I109"/>
  <c r="F108"/>
  <c r="E108"/>
  <c r="F102"/>
  <c r="E102"/>
  <c r="F97"/>
  <c r="E97"/>
  <c r="F96"/>
  <c r="E96"/>
  <c r="AB95"/>
  <c r="F95"/>
  <c r="E95"/>
  <c r="G95" s="1"/>
  <c r="F94"/>
  <c r="E94"/>
  <c r="AP93"/>
  <c r="AO93"/>
  <c r="AM93"/>
  <c r="AL93"/>
  <c r="AJ93"/>
  <c r="AI93"/>
  <c r="AG93"/>
  <c r="AF93"/>
  <c r="AD93"/>
  <c r="AC93"/>
  <c r="AA93"/>
  <c r="AB93" s="1"/>
  <c r="Z93"/>
  <c r="X93"/>
  <c r="W93"/>
  <c r="U93"/>
  <c r="T93"/>
  <c r="R93"/>
  <c r="Q93"/>
  <c r="O93"/>
  <c r="N93"/>
  <c r="L93"/>
  <c r="K93"/>
  <c r="I93"/>
  <c r="H93"/>
  <c r="F93"/>
  <c r="E93"/>
  <c r="G93" s="1"/>
  <c r="F92"/>
  <c r="E92"/>
  <c r="F86"/>
  <c r="E86"/>
  <c r="F85"/>
  <c r="E85"/>
  <c r="F84"/>
  <c r="E84"/>
  <c r="F83"/>
  <c r="E83"/>
  <c r="AP82"/>
  <c r="AO82"/>
  <c r="AN82"/>
  <c r="AM82"/>
  <c r="AL82"/>
  <c r="AK82"/>
  <c r="AJ82"/>
  <c r="AI82"/>
  <c r="AH82"/>
  <c r="AG82"/>
  <c r="AF82"/>
  <c r="O82"/>
  <c r="L82"/>
  <c r="H82"/>
  <c r="F82"/>
  <c r="E82"/>
  <c r="F81"/>
  <c r="E81"/>
  <c r="F80"/>
  <c r="E80"/>
  <c r="F79"/>
  <c r="E79"/>
  <c r="F78"/>
  <c r="E78"/>
  <c r="F77"/>
  <c r="E77"/>
  <c r="F76"/>
  <c r="E76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AP74"/>
  <c r="AO74"/>
  <c r="AM74"/>
  <c r="AL74"/>
  <c r="AJ74"/>
  <c r="AI74"/>
  <c r="AG74"/>
  <c r="AF74"/>
  <c r="AD74"/>
  <c r="AC74"/>
  <c r="AA74"/>
  <c r="Z74"/>
  <c r="X74"/>
  <c r="W74"/>
  <c r="U74"/>
  <c r="T74"/>
  <c r="R74"/>
  <c r="Q74"/>
  <c r="O74"/>
  <c r="N74"/>
  <c r="L74"/>
  <c r="K74"/>
  <c r="I74"/>
  <c r="H74"/>
  <c r="F74"/>
  <c r="E74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AP72"/>
  <c r="AO72"/>
  <c r="AM72"/>
  <c r="AL72"/>
  <c r="AJ72"/>
  <c r="AI72"/>
  <c r="AG72"/>
  <c r="AF72"/>
  <c r="AD72"/>
  <c r="AC72"/>
  <c r="AA72"/>
  <c r="Z72"/>
  <c r="X72"/>
  <c r="W72"/>
  <c r="U72"/>
  <c r="T72"/>
  <c r="R72"/>
  <c r="Q72"/>
  <c r="O72"/>
  <c r="N72"/>
  <c r="L72"/>
  <c r="K72"/>
  <c r="I72"/>
  <c r="H72"/>
  <c r="F72"/>
  <c r="E72"/>
  <c r="F71"/>
  <c r="E71"/>
  <c r="F70"/>
  <c r="E70"/>
  <c r="AQ69"/>
  <c r="AN69"/>
  <c r="AK69"/>
  <c r="AH69"/>
  <c r="AE69"/>
  <c r="AB69"/>
  <c r="W69"/>
  <c r="T69"/>
  <c r="S69"/>
  <c r="P69"/>
  <c r="N69"/>
  <c r="M69"/>
  <c r="F69"/>
  <c r="G69" s="1"/>
  <c r="E69"/>
  <c r="F68"/>
  <c r="E68"/>
  <c r="AP67"/>
  <c r="AO67"/>
  <c r="AQ67" s="1"/>
  <c r="AM67"/>
  <c r="AN67" s="1"/>
  <c r="AL67"/>
  <c r="AJ67"/>
  <c r="AI67"/>
  <c r="AK67" s="1"/>
  <c r="AG67"/>
  <c r="AH67" s="1"/>
  <c r="AF67"/>
  <c r="AD67"/>
  <c r="AC67"/>
  <c r="AE67" s="1"/>
  <c r="AA67"/>
  <c r="AB67" s="1"/>
  <c r="Z67"/>
  <c r="X67"/>
  <c r="W67"/>
  <c r="Y67" s="1"/>
  <c r="U67"/>
  <c r="V67" s="1"/>
  <c r="T67"/>
  <c r="R67"/>
  <c r="Q67"/>
  <c r="S67" s="1"/>
  <c r="O67"/>
  <c r="P67" s="1"/>
  <c r="N67"/>
  <c r="L67"/>
  <c r="K67"/>
  <c r="M67" s="1"/>
  <c r="I67"/>
  <c r="H67"/>
  <c r="F67"/>
  <c r="G67" s="1"/>
  <c r="E67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J64"/>
  <c r="I64"/>
  <c r="H64"/>
  <c r="F64"/>
  <c r="E64"/>
  <c r="AP63"/>
  <c r="AQ63" s="1"/>
  <c r="AO63"/>
  <c r="AN63"/>
  <c r="AM63"/>
  <c r="AL63"/>
  <c r="AJ63"/>
  <c r="AK63" s="1"/>
  <c r="AI63"/>
  <c r="AG63"/>
  <c r="AF63"/>
  <c r="AH63" s="1"/>
  <c r="AD63"/>
  <c r="AE63" s="1"/>
  <c r="AC63"/>
  <c r="AA63"/>
  <c r="Z63"/>
  <c r="AB63" s="1"/>
  <c r="X63"/>
  <c r="Y63" s="1"/>
  <c r="W63"/>
  <c r="U63"/>
  <c r="T63"/>
  <c r="V63" s="1"/>
  <c r="R63"/>
  <c r="S63" s="1"/>
  <c r="Q63"/>
  <c r="O63"/>
  <c r="N63"/>
  <c r="P63" s="1"/>
  <c r="L63"/>
  <c r="M63" s="1"/>
  <c r="K63"/>
  <c r="I63"/>
  <c r="H63"/>
  <c r="F63"/>
  <c r="E63"/>
  <c r="G63" s="1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O62"/>
  <c r="N62"/>
  <c r="L62"/>
  <c r="K62"/>
  <c r="I62"/>
  <c r="H62"/>
  <c r="F62"/>
  <c r="E62"/>
  <c r="AP61"/>
  <c r="AO61"/>
  <c r="AQ61" s="1"/>
  <c r="AM61"/>
  <c r="AN61" s="1"/>
  <c r="AL61"/>
  <c r="AJ61"/>
  <c r="AI61"/>
  <c r="AK61" s="1"/>
  <c r="AG61"/>
  <c r="AH61" s="1"/>
  <c r="AF61"/>
  <c r="AD61"/>
  <c r="AC61"/>
  <c r="AE61" s="1"/>
  <c r="AA61"/>
  <c r="AB61" s="1"/>
  <c r="Z61"/>
  <c r="X61"/>
  <c r="W61"/>
  <c r="Y61" s="1"/>
  <c r="U61"/>
  <c r="V61" s="1"/>
  <c r="T61"/>
  <c r="R61"/>
  <c r="Q61"/>
  <c r="S61" s="1"/>
  <c r="O61"/>
  <c r="P61" s="1"/>
  <c r="N61"/>
  <c r="L61"/>
  <c r="K61"/>
  <c r="M61" s="1"/>
  <c r="I61"/>
  <c r="H61"/>
  <c r="F61"/>
  <c r="G61" s="1"/>
  <c r="E61"/>
  <c r="F60"/>
  <c r="E60"/>
  <c r="F59"/>
  <c r="E59"/>
  <c r="F58"/>
  <c r="E58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F53"/>
  <c r="E53"/>
  <c r="AQ52"/>
  <c r="AP52"/>
  <c r="AO52"/>
  <c r="AN52"/>
  <c r="AM52"/>
  <c r="AL52"/>
  <c r="AK52"/>
  <c r="AJ52"/>
  <c r="AI52"/>
  <c r="AH52"/>
  <c r="AG52"/>
  <c r="AF52"/>
  <c r="AD52"/>
  <c r="AC52"/>
  <c r="AB52"/>
  <c r="AA52"/>
  <c r="Z52"/>
  <c r="Y52"/>
  <c r="X52"/>
  <c r="W52"/>
  <c r="V52"/>
  <c r="U52"/>
  <c r="T52"/>
  <c r="R52"/>
  <c r="Q52"/>
  <c r="O52"/>
  <c r="N52"/>
  <c r="L52"/>
  <c r="K52"/>
  <c r="I52"/>
  <c r="H52"/>
  <c r="F52"/>
  <c r="E52"/>
  <c r="AQ51"/>
  <c r="AP51"/>
  <c r="AO51"/>
  <c r="AN51"/>
  <c r="AM51"/>
  <c r="AL51"/>
  <c r="AK51"/>
  <c r="AJ51"/>
  <c r="AI51"/>
  <c r="AH51"/>
  <c r="AG51"/>
  <c r="AF51"/>
  <c r="AD51"/>
  <c r="AC51"/>
  <c r="AB51"/>
  <c r="AA51"/>
  <c r="Z51"/>
  <c r="Y51"/>
  <c r="X51"/>
  <c r="W51"/>
  <c r="V51"/>
  <c r="U51"/>
  <c r="T51"/>
  <c r="R51"/>
  <c r="Q51"/>
  <c r="O51"/>
  <c r="N51"/>
  <c r="L51"/>
  <c r="K51"/>
  <c r="I51"/>
  <c r="H51"/>
  <c r="F51"/>
  <c r="E51"/>
  <c r="AP50"/>
  <c r="AO50"/>
  <c r="AM50"/>
  <c r="AL50"/>
  <c r="AJ50"/>
  <c r="AI50"/>
  <c r="AG50"/>
  <c r="AF50"/>
  <c r="AD50"/>
  <c r="AC50"/>
  <c r="AA50"/>
  <c r="Z50"/>
  <c r="X50"/>
  <c r="W50"/>
  <c r="U50"/>
  <c r="T50"/>
  <c r="R50"/>
  <c r="Q50"/>
  <c r="O50"/>
  <c r="N50"/>
  <c r="L50"/>
  <c r="K50"/>
  <c r="I50"/>
  <c r="H50"/>
  <c r="F50"/>
  <c r="E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P41"/>
  <c r="F41"/>
  <c r="G41" s="1"/>
  <c r="E41"/>
  <c r="AO40"/>
  <c r="AO116" s="1"/>
  <c r="AL40"/>
  <c r="AL116" s="1"/>
  <c r="AI40"/>
  <c r="AI116" s="1"/>
  <c r="AF40"/>
  <c r="AF116" s="1"/>
  <c r="AC40"/>
  <c r="AC116" s="1"/>
  <c r="Z40"/>
  <c r="Z116" s="1"/>
  <c r="W40"/>
  <c r="Y40" s="1"/>
  <c r="T40"/>
  <c r="V40" s="1"/>
  <c r="Q40"/>
  <c r="Q116" s="1"/>
  <c r="Q114" s="1"/>
  <c r="N40"/>
  <c r="P40" s="1"/>
  <c r="K40"/>
  <c r="K116" s="1"/>
  <c r="K114" s="1"/>
  <c r="H40"/>
  <c r="H116" s="1"/>
  <c r="F40"/>
  <c r="F39"/>
  <c r="E39"/>
  <c r="AP38"/>
  <c r="AO38"/>
  <c r="AQ38" s="1"/>
  <c r="AM38"/>
  <c r="AN38" s="1"/>
  <c r="AL38"/>
  <c r="AJ38"/>
  <c r="AI38"/>
  <c r="AK38" s="1"/>
  <c r="AG38"/>
  <c r="AH38" s="1"/>
  <c r="AF38"/>
  <c r="AD38"/>
  <c r="AC38"/>
  <c r="AE38" s="1"/>
  <c r="AA38"/>
  <c r="AB38" s="1"/>
  <c r="Z38"/>
  <c r="X38"/>
  <c r="W38"/>
  <c r="Y38" s="1"/>
  <c r="U38"/>
  <c r="V38" s="1"/>
  <c r="T38"/>
  <c r="R38"/>
  <c r="Q38"/>
  <c r="S38" s="1"/>
  <c r="O38"/>
  <c r="P38" s="1"/>
  <c r="N38"/>
  <c r="L38"/>
  <c r="K38"/>
  <c r="M38" s="1"/>
  <c r="I38"/>
  <c r="J38" s="1"/>
  <c r="H38"/>
  <c r="F38"/>
  <c r="F37"/>
  <c r="E37"/>
  <c r="F36"/>
  <c r="E36"/>
  <c r="AO35"/>
  <c r="AQ35" s="1"/>
  <c r="AL35"/>
  <c r="AN35" s="1"/>
  <c r="AI35"/>
  <c r="AK35" s="1"/>
  <c r="AF35"/>
  <c r="AH35" s="1"/>
  <c r="AC35"/>
  <c r="AE35" s="1"/>
  <c r="Z35"/>
  <c r="AB35" s="1"/>
  <c r="W35"/>
  <c r="Y35" s="1"/>
  <c r="T35"/>
  <c r="V35" s="1"/>
  <c r="Q35"/>
  <c r="S35" s="1"/>
  <c r="N35"/>
  <c r="P35" s="1"/>
  <c r="K35"/>
  <c r="M35" s="1"/>
  <c r="H35"/>
  <c r="J35" s="1"/>
  <c r="F35"/>
  <c r="AQ34"/>
  <c r="AO34"/>
  <c r="AN34"/>
  <c r="AL34"/>
  <c r="AK34"/>
  <c r="AI34"/>
  <c r="AH34"/>
  <c r="AF34"/>
  <c r="AE34"/>
  <c r="AC34"/>
  <c r="AB34"/>
  <c r="Z34"/>
  <c r="Y34"/>
  <c r="W34"/>
  <c r="V34"/>
  <c r="T34"/>
  <c r="S34"/>
  <c r="Q34"/>
  <c r="P34"/>
  <c r="N34"/>
  <c r="F34"/>
  <c r="E34"/>
  <c r="G34" s="1"/>
  <c r="AP33"/>
  <c r="AQ33" s="1"/>
  <c r="AO33"/>
  <c r="AM33"/>
  <c r="AL33"/>
  <c r="AN33" s="1"/>
  <c r="AJ33"/>
  <c r="AK33" s="1"/>
  <c r="AI33"/>
  <c r="AG33"/>
  <c r="AF33"/>
  <c r="AH33" s="1"/>
  <c r="AD33"/>
  <c r="AE33" s="1"/>
  <c r="AC33"/>
  <c r="AA33"/>
  <c r="Z33"/>
  <c r="AB33" s="1"/>
  <c r="X33"/>
  <c r="Y33" s="1"/>
  <c r="W33"/>
  <c r="U33"/>
  <c r="T33"/>
  <c r="V33" s="1"/>
  <c r="R33"/>
  <c r="S33" s="1"/>
  <c r="Q33"/>
  <c r="O33"/>
  <c r="P33" s="1"/>
  <c r="N33"/>
  <c r="L33"/>
  <c r="M33" s="1"/>
  <c r="K33"/>
  <c r="I33"/>
  <c r="J33" s="1"/>
  <c r="H33"/>
  <c r="F33"/>
  <c r="F32"/>
  <c r="E32"/>
  <c r="F31"/>
  <c r="E31"/>
  <c r="AO30"/>
  <c r="AQ30" s="1"/>
  <c r="AN30"/>
  <c r="AK30"/>
  <c r="AF30"/>
  <c r="AH30" s="1"/>
  <c r="AC30"/>
  <c r="AE30" s="1"/>
  <c r="Z30"/>
  <c r="AB30" s="1"/>
  <c r="W30"/>
  <c r="Y30" s="1"/>
  <c r="V30"/>
  <c r="T30"/>
  <c r="S30"/>
  <c r="Q30"/>
  <c r="P30"/>
  <c r="M30"/>
  <c r="J30"/>
  <c r="F30"/>
  <c r="G30" s="1"/>
  <c r="E30"/>
  <c r="F29"/>
  <c r="E29"/>
  <c r="AP28"/>
  <c r="AQ28" s="1"/>
  <c r="AO28"/>
  <c r="AM28"/>
  <c r="AN28" s="1"/>
  <c r="AL28"/>
  <c r="AJ28"/>
  <c r="AK28" s="1"/>
  <c r="AI28"/>
  <c r="AG28"/>
  <c r="AH28" s="1"/>
  <c r="AF28"/>
  <c r="AD28"/>
  <c r="AE28" s="1"/>
  <c r="AC28"/>
  <c r="AA28"/>
  <c r="AB28" s="1"/>
  <c r="Z28"/>
  <c r="X28"/>
  <c r="Y28" s="1"/>
  <c r="W28"/>
  <c r="U28"/>
  <c r="V28" s="1"/>
  <c r="T28"/>
  <c r="R28"/>
  <c r="S28" s="1"/>
  <c r="Q28"/>
  <c r="O28"/>
  <c r="N28"/>
  <c r="P28" s="1"/>
  <c r="L28"/>
  <c r="M28" s="1"/>
  <c r="K28"/>
  <c r="I28"/>
  <c r="H28"/>
  <c r="J28" s="1"/>
  <c r="F28"/>
  <c r="G28" s="1"/>
  <c r="E28"/>
  <c r="F27"/>
  <c r="E27"/>
  <c r="F26"/>
  <c r="E26"/>
  <c r="AO25"/>
  <c r="AQ25" s="1"/>
  <c r="AL25"/>
  <c r="AN25" s="1"/>
  <c r="AI25"/>
  <c r="AK25" s="1"/>
  <c r="AF25"/>
  <c r="AH25" s="1"/>
  <c r="AC25"/>
  <c r="AE25" s="1"/>
  <c r="Z25"/>
  <c r="AB25" s="1"/>
  <c r="Y25"/>
  <c r="W25"/>
  <c r="V25"/>
  <c r="T25"/>
  <c r="S25"/>
  <c r="Q25"/>
  <c r="N25"/>
  <c r="P25" s="1"/>
  <c r="K25"/>
  <c r="M25" s="1"/>
  <c r="J25"/>
  <c r="H25"/>
  <c r="F25"/>
  <c r="G25" s="1"/>
  <c r="E25"/>
  <c r="F24"/>
  <c r="E24"/>
  <c r="AP23"/>
  <c r="AO23"/>
  <c r="AQ23" s="1"/>
  <c r="AM23"/>
  <c r="AN23" s="1"/>
  <c r="AL23"/>
  <c r="AJ23"/>
  <c r="AK23" s="1"/>
  <c r="AI23"/>
  <c r="AG23"/>
  <c r="AH23" s="1"/>
  <c r="AF23"/>
  <c r="AD23"/>
  <c r="AE23" s="1"/>
  <c r="AC23"/>
  <c r="AA23"/>
  <c r="AB23" s="1"/>
  <c r="Z23"/>
  <c r="X23"/>
  <c r="Y23" s="1"/>
  <c r="W23"/>
  <c r="U23"/>
  <c r="V23" s="1"/>
  <c r="T23"/>
  <c r="R23"/>
  <c r="S23" s="1"/>
  <c r="Q23"/>
  <c r="O23"/>
  <c r="P23" s="1"/>
  <c r="N23"/>
  <c r="L23"/>
  <c r="M23" s="1"/>
  <c r="K23"/>
  <c r="I23"/>
  <c r="J23" s="1"/>
  <c r="H23"/>
  <c r="F23"/>
  <c r="E23"/>
  <c r="G23" s="1"/>
  <c r="F22"/>
  <c r="E22"/>
  <c r="AO21"/>
  <c r="AQ21" s="1"/>
  <c r="AL21"/>
  <c r="AN21" s="1"/>
  <c r="AK21"/>
  <c r="AH21"/>
  <c r="AF21"/>
  <c r="AE21"/>
  <c r="AC21"/>
  <c r="AB21"/>
  <c r="Z21"/>
  <c r="Y21"/>
  <c r="T21"/>
  <c r="V21" s="1"/>
  <c r="S21"/>
  <c r="N21"/>
  <c r="P21" s="1"/>
  <c r="M21"/>
  <c r="F21"/>
  <c r="G21" s="1"/>
  <c r="E21"/>
  <c r="F20"/>
  <c r="G20" s="1"/>
  <c r="E20"/>
  <c r="AO19"/>
  <c r="AQ19" s="1"/>
  <c r="AL19"/>
  <c r="AN19" s="1"/>
  <c r="AI19"/>
  <c r="AK19" s="1"/>
  <c r="AF19"/>
  <c r="AH19" s="1"/>
  <c r="AC19"/>
  <c r="AE19" s="1"/>
  <c r="Z19"/>
  <c r="AB19" s="1"/>
  <c r="W19"/>
  <c r="Y19" s="1"/>
  <c r="T19"/>
  <c r="V19" s="1"/>
  <c r="Q19"/>
  <c r="S19" s="1"/>
  <c r="N19"/>
  <c r="P19" s="1"/>
  <c r="K19"/>
  <c r="M19" s="1"/>
  <c r="H19"/>
  <c r="J19" s="1"/>
  <c r="F19"/>
  <c r="G19" s="1"/>
  <c r="E19"/>
  <c r="AQ18"/>
  <c r="AO18"/>
  <c r="AN18"/>
  <c r="AL18"/>
  <c r="AK18"/>
  <c r="AI18"/>
  <c r="AH18"/>
  <c r="AF18"/>
  <c r="AC18"/>
  <c r="AE18" s="1"/>
  <c r="Z18"/>
  <c r="AB18" s="1"/>
  <c r="W18"/>
  <c r="Y18" s="1"/>
  <c r="T18"/>
  <c r="V18" s="1"/>
  <c r="Q18"/>
  <c r="S18" s="1"/>
  <c r="N18"/>
  <c r="P18" s="1"/>
  <c r="K18"/>
  <c r="M18" s="1"/>
  <c r="H18"/>
  <c r="J18" s="1"/>
  <c r="F18"/>
  <c r="G18" s="1"/>
  <c r="E18"/>
  <c r="AP17"/>
  <c r="AQ17" s="1"/>
  <c r="AO17"/>
  <c r="AM17"/>
  <c r="AN17" s="1"/>
  <c r="AL17"/>
  <c r="AJ17"/>
  <c r="AK17" s="1"/>
  <c r="AI17"/>
  <c r="AG17"/>
  <c r="AH17" s="1"/>
  <c r="AF17"/>
  <c r="AD17"/>
  <c r="AE17" s="1"/>
  <c r="AC17"/>
  <c r="AA17"/>
  <c r="AB17" s="1"/>
  <c r="Z17"/>
  <c r="X17"/>
  <c r="Y17" s="1"/>
  <c r="W17"/>
  <c r="U17"/>
  <c r="V17" s="1"/>
  <c r="T17"/>
  <c r="R17"/>
  <c r="Q17"/>
  <c r="S17" s="1"/>
  <c r="O17"/>
  <c r="P17" s="1"/>
  <c r="N17"/>
  <c r="L17"/>
  <c r="K17"/>
  <c r="M17" s="1"/>
  <c r="I17"/>
  <c r="J17" s="1"/>
  <c r="H17"/>
  <c r="F17"/>
  <c r="G17" s="1"/>
  <c r="E17"/>
  <c r="F16"/>
  <c r="E16"/>
  <c r="AP15"/>
  <c r="AP91" s="1"/>
  <c r="AO15"/>
  <c r="AO91" s="1"/>
  <c r="AO101" s="1"/>
  <c r="AO107" s="1"/>
  <c r="AM15"/>
  <c r="AN15" s="1"/>
  <c r="AL15"/>
  <c r="AL91" s="1"/>
  <c r="AL101" s="1"/>
  <c r="AL107" s="1"/>
  <c r="AJ15"/>
  <c r="AJ91" s="1"/>
  <c r="AI15"/>
  <c r="AI91" s="1"/>
  <c r="AI101" s="1"/>
  <c r="AI107" s="1"/>
  <c r="AG15"/>
  <c r="AH15" s="1"/>
  <c r="AF15"/>
  <c r="AF91" s="1"/>
  <c r="AF101" s="1"/>
  <c r="AF107" s="1"/>
  <c r="AD15"/>
  <c r="AD91" s="1"/>
  <c r="AC15"/>
  <c r="AC91" s="1"/>
  <c r="AC101" s="1"/>
  <c r="AC107" s="1"/>
  <c r="AA15"/>
  <c r="AB15" s="1"/>
  <c r="Z15"/>
  <c r="Z91" s="1"/>
  <c r="Z101" s="1"/>
  <c r="Z107" s="1"/>
  <c r="X15"/>
  <c r="X91" s="1"/>
  <c r="W15"/>
  <c r="W91" s="1"/>
  <c r="W101" s="1"/>
  <c r="W107" s="1"/>
  <c r="U15"/>
  <c r="V15" s="1"/>
  <c r="T15"/>
  <c r="T91" s="1"/>
  <c r="T101" s="1"/>
  <c r="T107" s="1"/>
  <c r="R15"/>
  <c r="R91" s="1"/>
  <c r="Q15"/>
  <c r="Q91" s="1"/>
  <c r="Q101" s="1"/>
  <c r="Q107" s="1"/>
  <c r="O15"/>
  <c r="P15" s="1"/>
  <c r="N15"/>
  <c r="N91" s="1"/>
  <c r="N101" s="1"/>
  <c r="N107" s="1"/>
  <c r="L15"/>
  <c r="L91" s="1"/>
  <c r="K15"/>
  <c r="K91" s="1"/>
  <c r="K101" s="1"/>
  <c r="K107" s="1"/>
  <c r="I15"/>
  <c r="I91" s="1"/>
  <c r="I101" s="1"/>
  <c r="H15"/>
  <c r="H91" s="1"/>
  <c r="H101" s="1"/>
  <c r="F15"/>
  <c r="G15" s="1"/>
  <c r="E15"/>
  <c r="E91" s="1"/>
  <c r="AP14"/>
  <c r="AP90" s="1"/>
  <c r="AO14"/>
  <c r="AO90" s="1"/>
  <c r="AN14"/>
  <c r="AN90" s="1"/>
  <c r="AM14"/>
  <c r="AM90" s="1"/>
  <c r="AL14"/>
  <c r="AL90" s="1"/>
  <c r="AJ14"/>
  <c r="AJ90" s="1"/>
  <c r="AI14"/>
  <c r="AI90" s="1"/>
  <c r="AH14"/>
  <c r="AH90" s="1"/>
  <c r="AG14"/>
  <c r="AG90" s="1"/>
  <c r="AF14"/>
  <c r="AF90" s="1"/>
  <c r="AE14"/>
  <c r="AE90" s="1"/>
  <c r="AD14"/>
  <c r="AD90" s="1"/>
  <c r="AC14"/>
  <c r="AC90" s="1"/>
  <c r="AB14"/>
  <c r="AB90" s="1"/>
  <c r="AA14"/>
  <c r="AA90" s="1"/>
  <c r="Z14"/>
  <c r="Z90" s="1"/>
  <c r="X14"/>
  <c r="X90" s="1"/>
  <c r="W14"/>
  <c r="W90" s="1"/>
  <c r="U14"/>
  <c r="U90" s="1"/>
  <c r="T14"/>
  <c r="T90" s="1"/>
  <c r="R14"/>
  <c r="R90" s="1"/>
  <c r="Q14"/>
  <c r="Q90" s="1"/>
  <c r="O14"/>
  <c r="O90" s="1"/>
  <c r="P90" s="1"/>
  <c r="N14"/>
  <c r="N90" s="1"/>
  <c r="L14"/>
  <c r="L90" s="1"/>
  <c r="K14"/>
  <c r="K90" s="1"/>
  <c r="I14"/>
  <c r="I90" s="1"/>
  <c r="F90" s="1"/>
  <c r="H14"/>
  <c r="H90" s="1"/>
  <c r="E14"/>
  <c r="AP13"/>
  <c r="AP89" s="1"/>
  <c r="AO13"/>
  <c r="AQ13" s="1"/>
  <c r="AM13"/>
  <c r="AM89" s="1"/>
  <c r="AL13"/>
  <c r="AL89" s="1"/>
  <c r="AL100" s="1"/>
  <c r="AL106" s="1"/>
  <c r="AJ13"/>
  <c r="AJ89" s="1"/>
  <c r="AI13"/>
  <c r="AI89" s="1"/>
  <c r="AI100" s="1"/>
  <c r="AI106" s="1"/>
  <c r="AG13"/>
  <c r="AG89" s="1"/>
  <c r="AF13"/>
  <c r="AF89" s="1"/>
  <c r="AD13"/>
  <c r="AD89" s="1"/>
  <c r="AC13"/>
  <c r="AC89" s="1"/>
  <c r="AA13"/>
  <c r="AA89" s="1"/>
  <c r="Z13"/>
  <c r="Z89" s="1"/>
  <c r="X13"/>
  <c r="X89" s="1"/>
  <c r="W13"/>
  <c r="W89" s="1"/>
  <c r="W100" s="1"/>
  <c r="U13"/>
  <c r="U89" s="1"/>
  <c r="T13"/>
  <c r="T89" s="1"/>
  <c r="R13"/>
  <c r="R89" s="1"/>
  <c r="Q13"/>
  <c r="Q89" s="1"/>
  <c r="Q100" s="1"/>
  <c r="Q106" s="1"/>
  <c r="O13"/>
  <c r="O89" s="1"/>
  <c r="N13"/>
  <c r="N89" s="1"/>
  <c r="N100" s="1"/>
  <c r="L13"/>
  <c r="L89" s="1"/>
  <c r="K13"/>
  <c r="K89" s="1"/>
  <c r="K100" s="1"/>
  <c r="K106" s="1"/>
  <c r="I13"/>
  <c r="I89" s="1"/>
  <c r="H13"/>
  <c r="H89" s="1"/>
  <c r="H100" s="1"/>
  <c r="F13"/>
  <c r="F89" s="1"/>
  <c r="AP12"/>
  <c r="AP88" s="1"/>
  <c r="AO12"/>
  <c r="AO88" s="1"/>
  <c r="AM12"/>
  <c r="AM88" s="1"/>
  <c r="AL12"/>
  <c r="AL88" s="1"/>
  <c r="AJ12"/>
  <c r="AJ88" s="1"/>
  <c r="AI12"/>
  <c r="AI88" s="1"/>
  <c r="AG12"/>
  <c r="AG88" s="1"/>
  <c r="AF12"/>
  <c r="AF88" s="1"/>
  <c r="AD12"/>
  <c r="AD88" s="1"/>
  <c r="AC12"/>
  <c r="AC88" s="1"/>
  <c r="AA12"/>
  <c r="AA88" s="1"/>
  <c r="Z12"/>
  <c r="Z88" s="1"/>
  <c r="X12"/>
  <c r="X88" s="1"/>
  <c r="W12"/>
  <c r="W88" s="1"/>
  <c r="U12"/>
  <c r="U88" s="1"/>
  <c r="T12"/>
  <c r="T88" s="1"/>
  <c r="R12"/>
  <c r="R88" s="1"/>
  <c r="Q12"/>
  <c r="Q88" s="1"/>
  <c r="O12"/>
  <c r="O88" s="1"/>
  <c r="N12"/>
  <c r="N88" s="1"/>
  <c r="L12"/>
  <c r="L88" s="1"/>
  <c r="K12"/>
  <c r="K88" s="1"/>
  <c r="I12"/>
  <c r="I88" s="1"/>
  <c r="H12"/>
  <c r="H88" s="1"/>
  <c r="F12"/>
  <c r="F88" s="1"/>
  <c r="E12"/>
  <c r="E88" s="1"/>
  <c r="AP11"/>
  <c r="AO11"/>
  <c r="AQ11" s="1"/>
  <c r="AM11"/>
  <c r="AL11"/>
  <c r="AN11" s="1"/>
  <c r="AJ11"/>
  <c r="AK11" s="1"/>
  <c r="AI11"/>
  <c r="AG11"/>
  <c r="AF11"/>
  <c r="AH11" s="1"/>
  <c r="AD11"/>
  <c r="AE11" s="1"/>
  <c r="AC11"/>
  <c r="AA11"/>
  <c r="Z11"/>
  <c r="AB11" s="1"/>
  <c r="X11"/>
  <c r="Y11" s="1"/>
  <c r="W11"/>
  <c r="U11"/>
  <c r="T11"/>
  <c r="V11" s="1"/>
  <c r="R11"/>
  <c r="S11" s="1"/>
  <c r="Q11"/>
  <c r="O11"/>
  <c r="N11"/>
  <c r="P11" s="1"/>
  <c r="L11"/>
  <c r="M11" s="1"/>
  <c r="K11"/>
  <c r="I11"/>
  <c r="H11"/>
  <c r="J11" s="1"/>
  <c r="F11"/>
  <c r="I99" l="1"/>
  <c r="J88"/>
  <c r="I87"/>
  <c r="O99"/>
  <c r="P88"/>
  <c r="U99"/>
  <c r="V88"/>
  <c r="X99"/>
  <c r="Y88"/>
  <c r="X87"/>
  <c r="AD99"/>
  <c r="AE88"/>
  <c r="AD87"/>
  <c r="AJ99"/>
  <c r="AK88"/>
  <c r="AJ87"/>
  <c r="T100"/>
  <c r="Z100"/>
  <c r="Z106"/>
  <c r="AF100"/>
  <c r="AF106"/>
  <c r="H99"/>
  <c r="H87"/>
  <c r="K99"/>
  <c r="K87"/>
  <c r="N99"/>
  <c r="N87"/>
  <c r="Q99"/>
  <c r="Q87"/>
  <c r="T99"/>
  <c r="T87"/>
  <c r="W99"/>
  <c r="W87"/>
  <c r="Z99"/>
  <c r="Z87"/>
  <c r="AC99"/>
  <c r="AC87"/>
  <c r="AF99"/>
  <c r="AF87"/>
  <c r="AI99"/>
  <c r="AI87"/>
  <c r="AL99"/>
  <c r="AL87"/>
  <c r="AO99"/>
  <c r="I100"/>
  <c r="J89"/>
  <c r="L100"/>
  <c r="M89"/>
  <c r="O100"/>
  <c r="P89"/>
  <c r="R100"/>
  <c r="S89"/>
  <c r="U100"/>
  <c r="V89"/>
  <c r="X100"/>
  <c r="Y89"/>
  <c r="AA106"/>
  <c r="AB106" s="1"/>
  <c r="AA100"/>
  <c r="AB100" s="1"/>
  <c r="AB89"/>
  <c r="AD100"/>
  <c r="AD106"/>
  <c r="AE89"/>
  <c r="AG106"/>
  <c r="AH106" s="1"/>
  <c r="AG100"/>
  <c r="AH100" s="1"/>
  <c r="AH89"/>
  <c r="AJ100"/>
  <c r="AK89"/>
  <c r="AM100"/>
  <c r="AN89"/>
  <c r="AP100"/>
  <c r="H107"/>
  <c r="E107" s="1"/>
  <c r="E101"/>
  <c r="E90"/>
  <c r="G90" s="1"/>
  <c r="G88"/>
  <c r="L99"/>
  <c r="M88"/>
  <c r="L87"/>
  <c r="M87" s="1"/>
  <c r="R99"/>
  <c r="S88"/>
  <c r="R87"/>
  <c r="S87" s="1"/>
  <c r="AA99"/>
  <c r="AB88"/>
  <c r="AG99"/>
  <c r="AH88"/>
  <c r="AM99"/>
  <c r="AN88"/>
  <c r="AP99"/>
  <c r="AQ88"/>
  <c r="AP87"/>
  <c r="H106"/>
  <c r="AC106"/>
  <c r="AC100"/>
  <c r="E100" s="1"/>
  <c r="I107"/>
  <c r="L101"/>
  <c r="M91"/>
  <c r="R101"/>
  <c r="S91"/>
  <c r="X101"/>
  <c r="Y91"/>
  <c r="AD101"/>
  <c r="AE91"/>
  <c r="AJ101"/>
  <c r="AK91"/>
  <c r="AP101"/>
  <c r="AQ91"/>
  <c r="J116"/>
  <c r="H114"/>
  <c r="AB116"/>
  <c r="Z114"/>
  <c r="AB114" s="1"/>
  <c r="AC114"/>
  <c r="AE116"/>
  <c r="AH116"/>
  <c r="AF114"/>
  <c r="AH114" s="1"/>
  <c r="AI114"/>
  <c r="AK116"/>
  <c r="AN116"/>
  <c r="AL114"/>
  <c r="AN114" s="1"/>
  <c r="AO114"/>
  <c r="AQ116"/>
  <c r="G12"/>
  <c r="M12"/>
  <c r="S12"/>
  <c r="Y12"/>
  <c r="AE12"/>
  <c r="AK12"/>
  <c r="AQ12"/>
  <c r="J13"/>
  <c r="P13"/>
  <c r="V13"/>
  <c r="AB13"/>
  <c r="AH13"/>
  <c r="AN13"/>
  <c r="Y14"/>
  <c r="M15"/>
  <c r="S15"/>
  <c r="Y15"/>
  <c r="AE15"/>
  <c r="AK15"/>
  <c r="AQ15"/>
  <c r="T116"/>
  <c r="W116"/>
  <c r="W114" s="1"/>
  <c r="AO89"/>
  <c r="AO100" s="1"/>
  <c r="AO106" s="1"/>
  <c r="F91"/>
  <c r="G91" s="1"/>
  <c r="O91"/>
  <c r="U91"/>
  <c r="U87" s="1"/>
  <c r="V87" s="1"/>
  <c r="AA91"/>
  <c r="AG91"/>
  <c r="AG87" s="1"/>
  <c r="AH87" s="1"/>
  <c r="AM91"/>
  <c r="J109"/>
  <c r="G110"/>
  <c r="M116"/>
  <c r="S116"/>
  <c r="G135"/>
  <c r="J12"/>
  <c r="P12"/>
  <c r="V12"/>
  <c r="AB12"/>
  <c r="AH12"/>
  <c r="AN12"/>
  <c r="M13"/>
  <c r="S13"/>
  <c r="Y13"/>
  <c r="AE13"/>
  <c r="AK13"/>
  <c r="F14"/>
  <c r="G14" s="1"/>
  <c r="P14"/>
  <c r="E35"/>
  <c r="E40"/>
  <c r="E38" s="1"/>
  <c r="G38" s="1"/>
  <c r="J40"/>
  <c r="M40"/>
  <c r="S40"/>
  <c r="AB40"/>
  <c r="AE40"/>
  <c r="AH40"/>
  <c r="AK40"/>
  <c r="AN40"/>
  <c r="AQ40"/>
  <c r="N116"/>
  <c r="V69"/>
  <c r="Y69"/>
  <c r="M114"/>
  <c r="S114"/>
  <c r="Y114"/>
  <c r="AE114"/>
  <c r="AK114"/>
  <c r="AQ114"/>
  <c r="F109"/>
  <c r="H109"/>
  <c r="N109"/>
  <c r="P109" s="1"/>
  <c r="Z109"/>
  <c r="AB109" s="1"/>
  <c r="AF109"/>
  <c r="AH109" s="1"/>
  <c r="E110"/>
  <c r="E111"/>
  <c r="G111" s="1"/>
  <c r="I114"/>
  <c r="J114" s="1"/>
  <c r="E119"/>
  <c r="E118" s="1"/>
  <c r="G118" s="1"/>
  <c r="E135"/>
  <c r="E133" s="1"/>
  <c r="G133" s="1"/>
  <c r="F138"/>
  <c r="H138"/>
  <c r="J138" s="1"/>
  <c r="AF138"/>
  <c r="AH138" s="1"/>
  <c r="E139"/>
  <c r="E140"/>
  <c r="G140" s="1"/>
  <c r="E33" l="1"/>
  <c r="G33" s="1"/>
  <c r="E13"/>
  <c r="AM101"/>
  <c r="AN91"/>
  <c r="AA101"/>
  <c r="AB91"/>
  <c r="O101"/>
  <c r="F101" s="1"/>
  <c r="G101" s="1"/>
  <c r="P91"/>
  <c r="V116"/>
  <c r="T114"/>
  <c r="V114" s="1"/>
  <c r="AP105"/>
  <c r="AQ99"/>
  <c r="AP98"/>
  <c r="AG105"/>
  <c r="AH99"/>
  <c r="R105"/>
  <c r="S99"/>
  <c r="R98"/>
  <c r="X106"/>
  <c r="Y100"/>
  <c r="U106"/>
  <c r="V100"/>
  <c r="R106"/>
  <c r="S106" s="1"/>
  <c r="S100"/>
  <c r="O106"/>
  <c r="P100"/>
  <c r="L106"/>
  <c r="M106" s="1"/>
  <c r="M100"/>
  <c r="I106"/>
  <c r="J100"/>
  <c r="F100"/>
  <c r="G100" s="1"/>
  <c r="AO105"/>
  <c r="AO104" s="1"/>
  <c r="AO98"/>
  <c r="AL105"/>
  <c r="AL104" s="1"/>
  <c r="AL98"/>
  <c r="AI105"/>
  <c r="AI104" s="1"/>
  <c r="AI98"/>
  <c r="AF105"/>
  <c r="AF104" s="1"/>
  <c r="AF98"/>
  <c r="AC105"/>
  <c r="AC104" s="1"/>
  <c r="AC98"/>
  <c r="Z105"/>
  <c r="Z104" s="1"/>
  <c r="Z98"/>
  <c r="W105"/>
  <c r="W98"/>
  <c r="T105"/>
  <c r="T98"/>
  <c r="Q105"/>
  <c r="Q104" s="1"/>
  <c r="Q98"/>
  <c r="N105"/>
  <c r="N98"/>
  <c r="K105"/>
  <c r="K104" s="1"/>
  <c r="K98"/>
  <c r="H105"/>
  <c r="E99"/>
  <c r="E98" s="1"/>
  <c r="H98"/>
  <c r="AD105"/>
  <c r="AE99"/>
  <c r="AD98"/>
  <c r="AE98" s="1"/>
  <c r="U105"/>
  <c r="V99"/>
  <c r="I105"/>
  <c r="J99"/>
  <c r="F99"/>
  <c r="I98"/>
  <c r="J98" s="1"/>
  <c r="E138"/>
  <c r="G138" s="1"/>
  <c r="E109"/>
  <c r="G119"/>
  <c r="Y116"/>
  <c r="G40"/>
  <c r="W106"/>
  <c r="F87"/>
  <c r="AQ89"/>
  <c r="AE106"/>
  <c r="AE87"/>
  <c r="J87"/>
  <c r="P116"/>
  <c r="N114"/>
  <c r="P114" s="1"/>
  <c r="AG101"/>
  <c r="AG98" s="1"/>
  <c r="AH98" s="1"/>
  <c r="AH91"/>
  <c r="U101"/>
  <c r="V91"/>
  <c r="AP107"/>
  <c r="AQ107" s="1"/>
  <c r="AQ101"/>
  <c r="AJ107"/>
  <c r="AK107" s="1"/>
  <c r="AK101"/>
  <c r="AD107"/>
  <c r="AE107" s="1"/>
  <c r="AE101"/>
  <c r="X107"/>
  <c r="Y107" s="1"/>
  <c r="Y101"/>
  <c r="R107"/>
  <c r="S107" s="1"/>
  <c r="S101"/>
  <c r="L107"/>
  <c r="M107" s="1"/>
  <c r="M101"/>
  <c r="AM105"/>
  <c r="AN99"/>
  <c r="AM98"/>
  <c r="AN98" s="1"/>
  <c r="AA105"/>
  <c r="AB99"/>
  <c r="AA98"/>
  <c r="AB98" s="1"/>
  <c r="L105"/>
  <c r="M99"/>
  <c r="L98"/>
  <c r="M98" s="1"/>
  <c r="AP106"/>
  <c r="AQ106" s="1"/>
  <c r="AQ100"/>
  <c r="AM106"/>
  <c r="AN106" s="1"/>
  <c r="AN100"/>
  <c r="AJ106"/>
  <c r="AK106" s="1"/>
  <c r="AK100"/>
  <c r="AJ105"/>
  <c r="AK99"/>
  <c r="AJ98"/>
  <c r="AK98" s="1"/>
  <c r="X105"/>
  <c r="Y99"/>
  <c r="X98"/>
  <c r="Y98" s="1"/>
  <c r="O105"/>
  <c r="P99"/>
  <c r="O98"/>
  <c r="P98" s="1"/>
  <c r="G109"/>
  <c r="G139"/>
  <c r="E116"/>
  <c r="G35"/>
  <c r="N106"/>
  <c r="E106"/>
  <c r="AM87"/>
  <c r="AN87" s="1"/>
  <c r="AA87"/>
  <c r="AB87" s="1"/>
  <c r="AE100"/>
  <c r="AO87"/>
  <c r="AQ87" s="1"/>
  <c r="T106"/>
  <c r="AK87"/>
  <c r="Y87"/>
  <c r="O87"/>
  <c r="P87" s="1"/>
  <c r="P105" l="1"/>
  <c r="AK105"/>
  <c r="AJ104"/>
  <c r="AK104" s="1"/>
  <c r="AB105"/>
  <c r="G99"/>
  <c r="F98"/>
  <c r="G98" s="1"/>
  <c r="J105"/>
  <c r="F105"/>
  <c r="I104"/>
  <c r="AE105"/>
  <c r="AD104"/>
  <c r="AE104" s="1"/>
  <c r="J106"/>
  <c r="F106"/>
  <c r="G106" s="1"/>
  <c r="AH105"/>
  <c r="E11"/>
  <c r="G11" s="1"/>
  <c r="E89"/>
  <c r="G13"/>
  <c r="P106"/>
  <c r="V106"/>
  <c r="Y106"/>
  <c r="G116"/>
  <c r="E114"/>
  <c r="G114" s="1"/>
  <c r="Y105"/>
  <c r="X104"/>
  <c r="M105"/>
  <c r="L104"/>
  <c r="M104" s="1"/>
  <c r="AN105"/>
  <c r="U107"/>
  <c r="V107" s="1"/>
  <c r="V101"/>
  <c r="AG107"/>
  <c r="AH107" s="1"/>
  <c r="AH101"/>
  <c r="V105"/>
  <c r="E105"/>
  <c r="E104" s="1"/>
  <c r="H104"/>
  <c r="S105"/>
  <c r="R104"/>
  <c r="S104" s="1"/>
  <c r="AQ105"/>
  <c r="AP104"/>
  <c r="AQ104" s="1"/>
  <c r="O107"/>
  <c r="P107" s="1"/>
  <c r="P101"/>
  <c r="AA107"/>
  <c r="AB107" s="1"/>
  <c r="AB101"/>
  <c r="AM107"/>
  <c r="AN107" s="1"/>
  <c r="AN101"/>
  <c r="U98"/>
  <c r="V98" s="1"/>
  <c r="N104"/>
  <c r="T104"/>
  <c r="W104"/>
  <c r="S98"/>
  <c r="AQ98"/>
  <c r="E87" l="1"/>
  <c r="G87" s="1"/>
  <c r="G89"/>
  <c r="U104"/>
  <c r="V104" s="1"/>
  <c r="AM104"/>
  <c r="AN104" s="1"/>
  <c r="Y104"/>
  <c r="F107"/>
  <c r="G107" s="1"/>
  <c r="AG104"/>
  <c r="AH104" s="1"/>
  <c r="J104"/>
  <c r="G105"/>
  <c r="F104"/>
  <c r="G104" s="1"/>
  <c r="AA104"/>
  <c r="AB104" s="1"/>
  <c r="O104"/>
  <c r="P104" s="1"/>
</calcChain>
</file>

<file path=xl/sharedStrings.xml><?xml version="1.0" encoding="utf-8"?>
<sst xmlns="http://schemas.openxmlformats.org/spreadsheetml/2006/main" count="483" uniqueCount="177">
  <si>
    <t>Таблица 2</t>
  </si>
  <si>
    <t>ОТЧЕТ</t>
  </si>
  <si>
    <t xml:space="preserve">о достижении целевых показателей муниципальной программы </t>
  </si>
  <si>
    <t>«Совершенствование и развитие муниципального управления в городе Урай» на 2018-2030 годы</t>
  </si>
  <si>
    <t>№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</si>
  <si>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</si>
  <si>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</si>
  <si>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</si>
  <si>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</si>
  <si>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значений целевого показателя на конец отчетного года (при наличии)</t>
  </si>
  <si>
    <t>отчетный год</t>
  </si>
  <si>
    <t xml:space="preserve">отчетный год </t>
  </si>
  <si>
    <t>(план)</t>
  </si>
  <si>
    <t>(факт)</t>
  </si>
  <si>
    <t>1.</t>
  </si>
  <si>
    <t>Удовлетворенность населения деятельностью местного самоуправления городского округа (муниципального района)</t>
  </si>
  <si>
    <t>%</t>
  </si>
  <si>
    <t>2.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</si>
  <si>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</si>
  <si>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рублей</t>
  </si>
  <si>
    <t>3.</t>
  </si>
  <si>
    <t xml:space="preserve">Численность граждан, ежегодно трудоустраиваемых на временные и общественные работы </t>
  </si>
  <si>
    <t>чел.</t>
  </si>
  <si>
    <t>4.</t>
  </si>
  <si>
    <t>Доля муниципальных служащих, которым предоставляются гарантии по выплате пенсии за выслугу лет</t>
  </si>
  <si>
    <t>5.</t>
  </si>
  <si>
    <t>Доля неиспользуемого недвижимого имущества в общем количестве недвижимого имущества муниципального образования город Урай</t>
  </si>
  <si>
    <t>не более 0,1</t>
  </si>
  <si>
    <t>6.</t>
  </si>
  <si>
    <t xml:space="preserve">Уровень удовлетворенности жителей города Урай качеством предоставления государственных и муниципальных услуг </t>
  </si>
  <si>
    <t>не менее 90 процентов</t>
  </si>
  <si>
    <t>7.</t>
  </si>
  <si>
    <t xml:space="preserve">Доля граждан, использующих механизм получения государственных и муниципальных услуг в электронной форме </t>
  </si>
  <si>
    <t>не менее 70 процентов</t>
  </si>
  <si>
    <t>8.</t>
  </si>
  <si>
    <t xml:space="preserve">Время ожидания в очереди при обращении заявителя в орган местного самоуправления для получения муниципальных услуг </t>
  </si>
  <si>
    <t>минут</t>
  </si>
  <si>
    <t>до 15 минут</t>
  </si>
  <si>
    <t>9.</t>
  </si>
  <si>
    <t>Среднее время ожидания в очереди для подачи (получения) документов в МАУ МФЦ</t>
  </si>
  <si>
    <t>-</t>
  </si>
  <si>
    <t>10.</t>
  </si>
  <si>
    <t>Доля должностей муниципальной службы высшей, главной и ведущей группы, учрежденных для выполнения функции «руководитель», на которые сформирован резерв кадров</t>
  </si>
  <si>
    <t>12.</t>
  </si>
  <si>
    <t xml:space="preserve">Доля муниципальных служащих, повысивших профессиональный уровень </t>
  </si>
  <si>
    <t>13.</t>
  </si>
  <si>
    <t>Численность граждан, получивших свидетельство установленного образца «О прохождении  подготовки лиц, желающих принять на воспитание в свою семью ребенка, оставшегося без попечения родителей, на территории Российской Федерации»</t>
  </si>
  <si>
    <t>14.</t>
  </si>
  <si>
    <t>Ежегодное увеличение количества форм 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</t>
  </si>
  <si>
    <t>15.</t>
  </si>
  <si>
    <t xml:space="preserve">Количество ТОС,  созданных на территории муниципального образования город Урай </t>
  </si>
  <si>
    <t>Ед.</t>
  </si>
  <si>
    <t xml:space="preserve">Ответственный исполнитель (соисполнитель) муниципальной программы: </t>
  </si>
  <si>
    <t>начальник сводно-аналитического отдела</t>
  </si>
  <si>
    <t>администрации города Урай</t>
  </si>
  <si>
    <t>И.Н.Назарова</t>
  </si>
  <si>
    <t>за 2023 год</t>
  </si>
  <si>
    <t>«__»_________2024 г.  подпись____________</t>
  </si>
  <si>
    <t xml:space="preserve">Показатель в 2023 году не применяется, так как реализация мероприятия осуществляется в рамках муниципальной программы «Развитие гражданского общества на территории города Урай» </t>
  </si>
  <si>
    <t>Показатель в 2023 году не применяется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</si>
  <si>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</si>
  <si>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</si>
  <si>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</si>
  <si>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>Таблица 1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</si>
  <si>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01.01.2024 года</t>
  </si>
  <si>
    <t xml:space="preserve">№ 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</si>
  <si>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</si>
  <si>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</si>
  <si>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Источник финансирования</t>
  </si>
  <si>
    <t>Финансовые затраты на реализацию 
(тыс. рублей)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</si>
  <si>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</si>
  <si>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</si>
  <si>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</si>
  <si>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</si>
  <si>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</si>
  <si>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</si>
  <si>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</si>
  <si>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</si>
  <si>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</si>
  <si>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</si>
  <si>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</si>
  <si>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</si>
  <si>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</si>
  <si>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</si>
  <si>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</si>
  <si>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</si>
  <si>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</si>
  <si>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Подпрограмма 1 «Создание условий для совершенствования системы муниципального управления»</t>
  </si>
  <si>
    <t>Всего:</t>
  </si>
  <si>
    <t xml:space="preserve">Бюджет Ханты-Мансийского автономного округа - Югры </t>
  </si>
  <si>
    <t>Местный бюджет</t>
  </si>
  <si>
    <t>кроме того, местный бюджет, за счёт остатков прошлых лет</t>
  </si>
  <si>
    <t>Федеральный бюджет</t>
  </si>
  <si>
    <t>Иные источники финансирования</t>
  </si>
  <si>
    <t>1.1.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</si>
  <si>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</si>
  <si>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</si>
  <si>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 xml:space="preserve">В отчетном периоде в действующие муниципальные нормативные правовые акты администрации города Урай внесено 303 изменений и дополнений, принято 29 новых муниципальных нормативных правовых актов администрации города Урай, 12 муниципальных нормативных правовых актов администрации города Урай о признании утратившим силу ранее принятого акта, 23 муниципальных нормативных правовых актов администрации города Урай взамен отмененных.
За  2023 год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648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525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342 пресс-релиза о деятельности органов местного самоуправления и 97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102 организациях города. Общая численность работников организаций предоставивших информацию составила 10 399 человек. Подготовлено 11 правовых акта по охране труда, разработано 25 методических пособий по охране труда.  Организовано и проведено 26 семинара (вебинара) по охране труда, 2 заседания Межведомственной комиссии по охране труда города Урай, 1 заседание Трехсторонней комиссии по регулированию социально-трудовых отношений в городе Урай на которых рассмотрено 15 вопросов. Принято участие в расследовании 1 несчастного случая, квалифицированного по результатам расследования, как несчастный случай, не связанный с производством.На сайте органов местного самоуправления города Урай, на информационной площадке профессионального сообщества по охране труда в мессенждере "Viber" опубликовано 151 информационных, справочных материала. Рассмотрено 136 устных обращений. Распространено 2 989 экземпляра методической, справочной литературы, нормативно-правовых актов. 
Отделом ЗАГС зарегистрировано 1 276 записи актов гражданского состояния, из них 323 о рождении, 202 о заключении брака, 363 о смерти, 237 о расторжении брака, 72 об установлении отцовства, 75 о перемене имени и 4 записи об усыновлении.  За отчетный период оказано населению 3 303 государственных услуг, из них 1 470 в электронном виде. За  2023 год было вручено 317 подарков "Расту в Югре".  19 марта 1963 года, 60 лет назад, была оформлена первая запись акта. Запись оформлена о рождении ребенка. С 1 по 14 апреля 2023 года в выставочном зале КИЦ города Урай работала выставка "Свадебный переполох". 1 июня в честь Дня защиты детей, сотрудниками отдела ЗАГС подготовлен и проведен праздник "Я - гражданин России", на котором в торжественной обстановке были вручены свидетельства о рождении новорожденным урайцам и паспорта юным жителям города.  8 июля в Уральском Федеральном округе проводилась Всероссийская акция "День рождения семьи". В этот замечательный день было зарегистрировано 6 пар семей. В период с 15 по 17 сентября в Сургутском районе проходил открытый окружной праздник межнациональных свадеб. В данном мероприятиии приняла участие и делегация из нашего муниципального образования. Все проводимые мероприятия освещались в средствах массовой информации.  За 2023  год отделом ЗАГС было оказано 8 718 юридически значимых действий.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1 473 архивных справок на социально-правовые, тематические запросы; поступило в службу 1 490 запроса; изготовлено 261 единиц копий с архивных документов на 665 листах, оцифровано 122 единиц хранения на 16 226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</si>
  <si>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Неисполнение обусловлено наличием вакансий, листов нетрудоспособности, отменой командировок по погодным условиям, а также оплатой услуг за фактически произведенные расходы. Кроме этого, существуют "переходящие" контракты на 2024 год в сумме  119,5 тыс.рублей</t>
  </si>
  <si>
    <t xml:space="preserve">Местный бюджет </t>
  </si>
  <si>
    <t>1.2.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</si>
  <si>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</si>
  <si>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МКУ «УМТО города Урай», МКУ «ЦБУгорода Урай»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</si>
  <si>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2023 год заключены муниципальные контракты и договора в количестве 184 единиц, в том числе на содержание объектов муниципальной казны:  техническое обслуживание и содержание объектов – 129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т.д.); на содержание и ремонт транспортных средств – 55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 (17 учреждений). Сформированы и направлены отчеты (в том числе консолидированные отчеты) по результатам работы за 2022 год, 1 квартал, 1 полугодие, 9 месяцев 2023 года по главному распорядителю бюджетных средств, в ПФР, в ФСС, в ИФНС, в Росстат</t>
  </si>
  <si>
    <t xml:space="preserve">Неисполнение обусловлено наличием вакансий, листов нетрудоспособности, отменой командировок по погодным условиям, а также экономией энергоресурсов на электроэнергию, теплоэнергию. </t>
  </si>
  <si>
    <t>1.3</t>
  </si>
  <si>
    <t>Обеспечение исполнения гарантий, предоставляемых  муниципальным служащим по выплате пенсии за выслугу лет (4)</t>
  </si>
  <si>
    <t>сводно-аналитический отдел администрации города Урай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</si>
  <si>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53 пенсионерам</t>
  </si>
  <si>
    <t>1.4.</t>
  </si>
  <si>
    <t xml:space="preserve">Содействие улучшению положения на рынке труда не занятых трудовой деятельностью и безработных граждан (3)
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</si>
  <si>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</si>
  <si>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 За отчетный период трудоустроено 697 человек, в том числе на оплачиваемые общественные работы - 115 человек, на временные работы подростков - 525 человек, на временные работы выпускников (стажировка) - 11 человек, безработных граждан, испытывающих трудности в поиске работы - 23 человека, на оплачиваемые общественные работы в рамках дополнительных мероприятий по снижению напряженности на рынке труда - 23 человека.</t>
  </si>
  <si>
    <t xml:space="preserve"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 (экономия сложилась в размере 264,2 тыс.рублей).             </t>
  </si>
  <si>
    <t>1.5.</t>
  </si>
  <si>
    <t>Управление и распоряжение муниципальным имуществом (5)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</si>
  <si>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</si>
  <si>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 xml:space="preserve">За отчетный период комитетом по управлению муниципальным имуществом администрации города Урай зарегистрировано 77 объектов недвижимого имущества:  1) Переданные от МКУ "УКС города Урай" 14 объектов: сети водоснабжения мкр.Солнечный; сети водоснабжения мкр.Солнечный от ул.Луговая до ул. Задорная;  дороги (часть) 3 объекта по ул. Счастливая, ул. Луговая, ул. Задорная; 1 объект- сети газоснабжения  по ул.Спокойная, ул. Южная;  3 объекта - дороги по ул. Геофизиков, ул.Трудовых резервов, ул. Чернякова; 4 объекта - проезды Технический, по ул. 9 мая; по переулку Лучистый; по ул.Хвойная; переулок Новаторов;   2) Безвозмездно переданные от сторонних организаций (ООО "СК "НОЙ", ООО "СпецСтрой-Центр") 4 объекта: внутриквартальные сети водоснабжения, расположенные в районе дома 3 мкр.1А, в районе жилого дома 2 мкр. 1Г;  наружные сети теплоснабжения в  мкр. 1 Г; сети водоснабжения мкр. Южный,  сети газоснабжения в мкр. Южный;                                                                                           3) Ранее учтенные в реестре муниципального имущества 10 объектов - автодороги; 4) 27 бесхозяйных объектов - сети водоснабжения и водоотведения в жилых домах;  5) 21 объект - муниципальные квартиры;  6) 1 объект- проезд на ул. Ленина.                                                      За 2023 год в хозяйственный оборот вовлечено 103 земельных участка, из них: 1) переданные в аренду  без проведения торгов - 17 земельных участка;  2) переданные с аукциона на право заключения договора аренды - 20 земельных участков;                                                                                                                                     3) реализовано 66 земельных участка,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января 2024 года муниципальное образования Ханты-Мансийского автономного округа - Югры   является единственным акционером (участником) 3 хозяйственных обществ, имея в собственности 100 % акций (долей).                                                                                                                                                                                                                                                                                                                                                          Общее руководства деятельностью  хозяйственных обществ осуществляет Совет директоров. В  отчетном периоде состоялось  41 заседание.  На собраниях акционеров (участников) избрано правление, рассмотрены отчеты о деятельности обществ 2022 года, установлен размер дивидендов, рассмотрены другие вопросы, отнесенные к их компетенции. Всего проведено 3 годовых общих собраний акционеров, 1 очередной собрание участников, 4 внеочередных общих собраний акционеров, 2 внеочередное общее собрание участников. В отчетном периоде проведены 5 ревизионных проверок  финансово-хозяйственной деятельности 2022 года, из низ 4 плановые в предприятиях:  ООО Ритуальных услуг, АО "ЦК и З", АО "Урайтеплоэнергия", АО "Водоканал", и 1 внеплановая проверка. В ходе проведения  ревизионных проверок не установлены нарушения и (или) факты, способные оказать существенное влияние на достоверность бухгалтерской (финансовой) отчетности. Всеми хозяйственными обществами получена прибыль. По результатам проверки АО "ЦК и З" установлено, что стоимость чистых активов АО "ЦК и З" меньше его уставного капитала, имеет место  непокрытый  убыток прошлых лет, просроченная кредиторская задолженность. Органами управления АО «ЦК и З" с целью недопущения ликвидации предприятия, было принято решение о реорганизации акционерного общества в форме присоединения к более финансово устойчивому предприятию. 04.08.2023 года в ЕГРЮЛ внесена запись о прекращении деятельности АО «ЦК и З» в связи с реорганизацией  в форме присоединения к АО "Урайтеплоэнергия".                                                                                                                                                                                                                                               </t>
  </si>
  <si>
    <t>1.6.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</si>
  <si>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</si>
  <si>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Управление образования  администрации города Урай</t>
  </si>
  <si>
    <t>Исполнение мероприятия в 2023 году не предусмотрено</t>
  </si>
  <si>
    <t>1.7.</t>
  </si>
  <si>
    <t>Информирование и консультирование в сфере защиты прав потребителей (1)</t>
  </si>
  <si>
    <t>органы администрации города Урай: правовое управление администрации города Урай</t>
  </si>
  <si>
    <t>Без финансирования</t>
  </si>
  <si>
    <t xml:space="preserve">В отчетном периоде в отдел по защите прав потребителей поступило 201 обращение (92 обратившихся лично и 109 - по электронной почте и телефону).  В основном граждане обращались по вопросам  торговли (всего 414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35 обращений, далее бытовая радиоэлектронная аппаратура  –23  обращений,  электробытовые машины, приборы и инструменты - 4 обращения, одежда, обувь и головные уборы  - 16 обращений, мебель и мебельные гарнитуры - 2 обращения, жилищно-коммунальные услуги -22 обращений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(19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2023 год составлено и направлено в суд 7 исковых заявления от имени потребителей. Сумма исковых требований составила - 530,0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15 материалов. </t>
  </si>
  <si>
    <t>Подпрограмма 2 «Предоставление государственных и муниципальных услуг»</t>
  </si>
  <si>
    <t>2.1.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</si>
  <si>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</si>
  <si>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органы администрации города Урай, предоставляющие муниципальные услуги, МКУ «УГЗиП  города Урай»</t>
  </si>
  <si>
    <t xml:space="preserve">Органами администрации оказываются 55 муниципальных услуг, 8 услуг, предоставляемых муниципальными учреждениями и другими организациями, в которых размещается муниципальное задание (заказ)  и 2 государственные услуги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ЗАГС).
За  2023 год всего оказано услуг –726 368, из них: 
муниципальных услуг –2 091,
услуг учреждений –719 492,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4 785.
За  отчетный период всего оказано услуг в электронном виде 716 635  (98%),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-709, что составляет 34%,
оказанных учреждениями –  713 573,  что составляет 99%,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- 2 353,  что составляет 49%. </t>
  </si>
  <si>
    <t>2.2.</t>
  </si>
  <si>
    <t>Организация предоставления государственных и муниципальных услуг в МАУ МФЦ (9)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</si>
  <si>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</si>
  <si>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Подпрограмма 3 «Развитие муниципальной службы и резерва управленческих кадров»</t>
  </si>
  <si>
    <t>3.1.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</si>
  <si>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</si>
  <si>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органы администрации города Урай: управление по развитию местного самоуправления администрации города Урай</t>
  </si>
  <si>
    <t>Количество руководящих должностей муниципальной службы, на которые сформирован резерв кадров - 32 из 66 должностей</t>
  </si>
  <si>
    <t>3.3.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</si>
  <si>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</si>
  <si>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</si>
  <si>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65 муниципальных служащих администрации и органов администрации города Урай</t>
  </si>
  <si>
    <t>Неисполнение обусловлено отменой  курсов повышения квалификации по причине отсутствия достаточного количества слушателей</t>
  </si>
  <si>
    <t>Подпрограмма 4 «Поддержка местных (муниципальных) инициатив и участия населения в осуществлении местного самоуправления на территории муниципального образования город Урай»</t>
  </si>
  <si>
    <t>4.1.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</si>
  <si>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  (14)</t>
  </si>
  <si>
    <t xml:space="preserve">органы администрации города Урай: управление по развитию местного самоуправления администрации города Урай;
управление по культуре и социальным вопросам администрации города Урай; 
управление по физической культуре, спорту и туризму администрации города Урай;  
управление внутренней  политики администрации города Урай;  
пресс-служба администрации города Урай
</t>
  </si>
  <si>
    <t xml:space="preserve">Реализация мероприятия осуществляется в рамках муниципальной программы «Развитие гражданского общества на территории города Урай» </t>
  </si>
  <si>
    <t>4.2.</t>
  </si>
  <si>
    <t>Предоставление субсидий ТОС и некоммерческим организациям, оказывающим поддержку деятельности ТОС (14,15)</t>
  </si>
  <si>
    <t xml:space="preserve">органы администрации города Урай: управление по развитию местного самоуправления администрации города Урай;
пресс-служба администрации города Урай
</t>
  </si>
  <si>
    <t>ИТОГО по  программе: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</si>
  <si>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</si>
  <si>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</si>
  <si>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</si>
  <si>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- сводно-аналитический отдел администрации города Урай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</si>
  <si>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</si>
  <si>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</si>
  <si>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3   (Управление образования  администрации города Урай)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</si>
  <si>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</si>
  <si>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</si>
  <si>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</si>
  <si>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Соисполнитель 7 (Муниципальное казенное учреждение «Центр бухгалтерского учета города Урай»)</t>
  </si>
  <si>
    <t>Соисполнитель 8 (Муниципальное казенное учреждение «Единая дежурно-диспетчерская служба города Урай»)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</si>
  <si>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</si>
  <si>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</si>
  <si>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</si>
  <si>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</si>
  <si>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</si>
  <si>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</si>
  <si>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Фактическое значение показателя указано за 2022 год. Показатель за 2023 год будет определен в марте-апреле 2024 года</t>
  </si>
  <si>
    <t>Показатель является обратным, то есть значение целевого показателя означает положительную динамику. Значение целевого показателя является выполненным</t>
  </si>
  <si>
    <t>Показатель в 2023 году не применяется, в связи с внедрением с 1 января 2023 года региональной модели управления в сфере опеки и попечительства (полномочия в сфере опеки и попечительства передаются на региональный уровень). Основание - приказ Департамента социального развития ХМАО-Югры от 23.03.2022 №375-р, письмо Департамента социального развития ХМАО-Югры от 28.12.2022 №15-исх-23434</t>
  </si>
  <si>
    <t>Финансирование мероприятия осуществляется по фактически произведенным затратам. Кроме этого, существуют "переходящие" контракты на 2024 год в сумме  3 570,1 тыс.рублей. Также сложилась экономия средств в результате проведения конкурсных процедур на общую сумму 673,7 тыс.рублей, в том числе: по страхованию муниципального имущества (82,1 тыс.руб.), по выполнению кадатсровых работ (258,9 тыс.руб.), оценке объектов оценки (332,7 тыс.руб.)</t>
  </si>
  <si>
    <t>Время ожидания в очереди при обращении заявителя в орган местного самоуправления для получения услуг сокращено до 0,4 минуты. Показатель является обратным, то есть значение целевого показателя означает положительную динамику. Значение целевого показателя является выполненным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</si>
</sst>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_ ;\-#,##0.0\ "/>
    <numFmt numFmtId="166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/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justify"/>
    </xf>
    <xf numFmtId="0" fontId="3" fillId="2" borderId="0" xfId="0" applyFont="1" applyFill="1" applyAlignment="1"/>
    <xf numFmtId="0" fontId="1" fillId="2" borderId="5" xfId="0" applyFont="1" applyFill="1" applyBorder="1"/>
    <xf numFmtId="0" fontId="2" fillId="2" borderId="0" xfId="0" applyFont="1" applyFill="1"/>
    <xf numFmtId="0" fontId="2" fillId="0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65" fontId="9" fillId="2" borderId="1" xfId="0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65" fontId="11" fillId="2" borderId="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5" fontId="9" fillId="2" borderId="13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 applyBorder="1"/>
    <xf numFmtId="0" fontId="8" fillId="2" borderId="0" xfId="0" applyFont="1" applyFill="1"/>
    <xf numFmtId="165" fontId="11" fillId="2" borderId="13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readingOrder="1"/>
    </xf>
    <xf numFmtId="0" fontId="3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12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26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9883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61750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67321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8132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976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71161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26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9883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61750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67321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8132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976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71161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3075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3075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4997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51901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5594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58950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60350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6425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65960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67360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4997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51901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5594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58950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60350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6425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65960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67360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69113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69113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7038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7038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8321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9721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612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7522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9313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7055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58321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59721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6612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67522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69313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7055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357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357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4904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4714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4714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4714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4714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95800" y="3626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33775" y="59883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33775" y="61750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33775" y="667321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33775" y="68132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33775" y="6976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533775" y="71161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95800" y="36261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533775" y="59883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533775" y="61750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533775" y="64417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533775" y="667321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533775" y="68132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533775" y="69761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533775" y="71161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3980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533775" y="73075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3980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533775" y="73075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33775" y="7452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184731" cy="2398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33775" y="7433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33775" y="4997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33775" y="51901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33775" y="5594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33775" y="58950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33775" y="60350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33775" y="6425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33775" y="65960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33775" y="67360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95800" y="35204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33775" y="4997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33775" y="51901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33775" y="5594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33775" y="58950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33775" y="60350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33775" y="6262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33775" y="6425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33775" y="65960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33775" y="67360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33775" y="69113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33775" y="69113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33775" y="7038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33775" y="7038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33775" y="72694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3980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33775" y="72504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533775" y="72123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6"/>
  <sheetViews>
    <sheetView workbookViewId="0">
      <pane xSplit="4" ySplit="10" topLeftCell="AJ11" activePane="bottomRight" state="frozen"/>
      <selection pane="topRight" activeCell="E1" sqref="E1"/>
      <selection pane="bottomLeft" activeCell="A11" sqref="A11"/>
      <selection pane="bottomRight" activeCell="AS67" sqref="AS67:AS71"/>
    </sheetView>
  </sheetViews>
  <sheetFormatPr defaultColWidth="9.140625" defaultRowHeight="15"/>
  <cols>
    <col min="1" max="1" width="5.5703125" style="1" customWidth="1"/>
    <col min="2" max="3" width="23.7109375" style="1" customWidth="1"/>
    <col min="4" max="4" width="16.42578125" style="1" customWidth="1"/>
    <col min="5" max="5" width="10.85546875" style="66" customWidth="1"/>
    <col min="6" max="6" width="10.7109375" style="1" customWidth="1"/>
    <col min="7" max="10" width="9.140625" style="1" customWidth="1"/>
    <col min="11" max="11" width="8.85546875" style="1" customWidth="1"/>
    <col min="12" max="12" width="9.140625" style="1" customWidth="1"/>
    <col min="13" max="13" width="10.42578125" style="1" customWidth="1"/>
    <col min="14" max="15" width="9.140625" style="1" customWidth="1"/>
    <col min="16" max="16" width="11.140625" style="1" customWidth="1"/>
    <col min="17" max="17" width="9.42578125" style="1" customWidth="1"/>
    <col min="18" max="18" width="10.5703125" style="1" customWidth="1"/>
    <col min="19" max="19" width="11.140625" style="1" customWidth="1"/>
    <col min="20" max="21" width="9.140625" style="1" customWidth="1"/>
    <col min="22" max="22" width="10.85546875" style="1" customWidth="1"/>
    <col min="23" max="24" width="9.140625" style="1" customWidth="1"/>
    <col min="25" max="25" width="10.28515625" style="1" customWidth="1"/>
    <col min="26" max="29" width="10.42578125" style="1" customWidth="1"/>
    <col min="30" max="30" width="11" style="1" customWidth="1"/>
    <col min="31" max="31" width="9.85546875" style="1" customWidth="1"/>
    <col min="32" max="32" width="9.140625" style="1" customWidth="1"/>
    <col min="33" max="33" width="11.140625" style="1" customWidth="1"/>
    <col min="34" max="34" width="10.85546875" style="1" customWidth="1"/>
    <col min="35" max="35" width="9.42578125" style="1" customWidth="1"/>
    <col min="36" max="36" width="9.140625" style="1" customWidth="1"/>
    <col min="37" max="37" width="10.5703125" style="1" customWidth="1"/>
    <col min="38" max="39" width="9.140625" style="1" customWidth="1"/>
    <col min="40" max="40" width="10.5703125" style="1" customWidth="1"/>
    <col min="41" max="41" width="9.140625" style="67" customWidth="1"/>
    <col min="42" max="42" width="10.42578125" style="1" customWidth="1"/>
    <col min="43" max="43" width="9.140625" style="1" customWidth="1"/>
    <col min="44" max="44" width="65.28515625" style="15" customWidth="1"/>
    <col min="45" max="45" width="44.7109375" style="1" customWidth="1"/>
    <col min="46" max="48" width="9.140625" style="1" customWidth="1"/>
    <col min="49" max="16384" width="9.140625" style="1"/>
  </cols>
  <sheetData>
    <row r="1" spans="1:46" s="15" customFormat="1">
      <c r="E1" s="16"/>
      <c r="I1" s="17"/>
      <c r="J1" s="17"/>
      <c r="K1" s="17"/>
      <c r="Y1" s="18"/>
      <c r="AI1" s="17"/>
      <c r="AO1" s="19"/>
      <c r="AS1" s="2" t="s">
        <v>60</v>
      </c>
    </row>
    <row r="2" spans="1:46" s="15" customFormat="1">
      <c r="E2" s="16"/>
      <c r="F2" s="17"/>
      <c r="H2" s="17"/>
      <c r="I2" s="17"/>
      <c r="J2" s="17"/>
      <c r="Q2" s="17"/>
      <c r="AB2" s="17"/>
      <c r="AH2" s="18"/>
      <c r="AO2" s="19"/>
      <c r="AS2" s="2" t="s">
        <v>61</v>
      </c>
    </row>
    <row r="3" spans="1:46" s="15" customFormat="1">
      <c r="E3" s="16"/>
      <c r="AO3" s="19"/>
      <c r="AS3" s="2" t="s">
        <v>62</v>
      </c>
    </row>
    <row r="4" spans="1:46" s="15" customFormat="1">
      <c r="E4" s="16"/>
      <c r="AO4" s="19"/>
    </row>
    <row r="5" spans="1:46" s="15" customFormat="1">
      <c r="E5" s="16"/>
      <c r="AO5" s="19"/>
      <c r="AS5" s="2" t="s">
        <v>63</v>
      </c>
    </row>
    <row r="6" spans="1:46" s="20" customFormat="1" ht="18.7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6" s="20" customFormat="1" ht="18.75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6" s="26" customFormat="1" ht="12.75">
      <c r="A8" s="21"/>
      <c r="B8" s="22"/>
      <c r="C8" s="22"/>
      <c r="D8" s="23"/>
      <c r="E8" s="24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5"/>
      <c r="AP8" s="25"/>
      <c r="AQ8" s="25"/>
      <c r="AR8" s="25"/>
    </row>
    <row r="9" spans="1:46" s="26" customFormat="1" ht="12.75">
      <c r="A9" s="83" t="s">
        <v>65</v>
      </c>
      <c r="B9" s="83" t="s">
        <v>66</v>
      </c>
      <c r="C9" s="84" t="s">
        <v>67</v>
      </c>
      <c r="D9" s="83" t="s">
        <v>68</v>
      </c>
      <c r="E9" s="83" t="s">
        <v>69</v>
      </c>
      <c r="F9" s="83"/>
      <c r="G9" s="83"/>
      <c r="H9" s="83" t="s">
        <v>70</v>
      </c>
      <c r="I9" s="83"/>
      <c r="J9" s="83"/>
      <c r="K9" s="83" t="s">
        <v>71</v>
      </c>
      <c r="L9" s="83"/>
      <c r="M9" s="83"/>
      <c r="N9" s="83" t="s">
        <v>72</v>
      </c>
      <c r="O9" s="83"/>
      <c r="P9" s="83"/>
      <c r="Q9" s="83" t="s">
        <v>73</v>
      </c>
      <c r="R9" s="83"/>
      <c r="S9" s="83"/>
      <c r="T9" s="83" t="s">
        <v>74</v>
      </c>
      <c r="U9" s="83"/>
      <c r="V9" s="83"/>
      <c r="W9" s="83" t="s">
        <v>75</v>
      </c>
      <c r="X9" s="83"/>
      <c r="Y9" s="83"/>
      <c r="Z9" s="83" t="s">
        <v>76</v>
      </c>
      <c r="AA9" s="83"/>
      <c r="AB9" s="83"/>
      <c r="AC9" s="83" t="s">
        <v>77</v>
      </c>
      <c r="AD9" s="83"/>
      <c r="AE9" s="83"/>
      <c r="AF9" s="83" t="s">
        <v>78</v>
      </c>
      <c r="AG9" s="83"/>
      <c r="AH9" s="83"/>
      <c r="AI9" s="83" t="s">
        <v>79</v>
      </c>
      <c r="AJ9" s="83"/>
      <c r="AK9" s="83"/>
      <c r="AL9" s="83" t="s">
        <v>80</v>
      </c>
      <c r="AM9" s="83"/>
      <c r="AN9" s="83"/>
      <c r="AO9" s="83" t="s">
        <v>81</v>
      </c>
      <c r="AP9" s="83"/>
      <c r="AQ9" s="83"/>
      <c r="AR9" s="86" t="s">
        <v>82</v>
      </c>
      <c r="AS9" s="87" t="s">
        <v>83</v>
      </c>
      <c r="AT9" s="27"/>
    </row>
    <row r="10" spans="1:46" s="26" customFormat="1" ht="25.5">
      <c r="A10" s="83"/>
      <c r="B10" s="83"/>
      <c r="C10" s="85"/>
      <c r="D10" s="83"/>
      <c r="E10" s="28" t="s">
        <v>84</v>
      </c>
      <c r="F10" s="29" t="s">
        <v>85</v>
      </c>
      <c r="G10" s="30" t="s">
        <v>86</v>
      </c>
      <c r="H10" s="29" t="s">
        <v>84</v>
      </c>
      <c r="I10" s="29" t="s">
        <v>85</v>
      </c>
      <c r="J10" s="30" t="s">
        <v>86</v>
      </c>
      <c r="K10" s="29" t="s">
        <v>84</v>
      </c>
      <c r="L10" s="29" t="s">
        <v>85</v>
      </c>
      <c r="M10" s="30" t="s">
        <v>86</v>
      </c>
      <c r="N10" s="29" t="s">
        <v>84</v>
      </c>
      <c r="O10" s="29" t="s">
        <v>85</v>
      </c>
      <c r="P10" s="30" t="s">
        <v>86</v>
      </c>
      <c r="Q10" s="29" t="s">
        <v>84</v>
      </c>
      <c r="R10" s="29" t="s">
        <v>85</v>
      </c>
      <c r="S10" s="30" t="s">
        <v>86</v>
      </c>
      <c r="T10" s="29" t="s">
        <v>84</v>
      </c>
      <c r="U10" s="29" t="s">
        <v>85</v>
      </c>
      <c r="V10" s="30" t="s">
        <v>86</v>
      </c>
      <c r="W10" s="29" t="s">
        <v>84</v>
      </c>
      <c r="X10" s="29" t="s">
        <v>85</v>
      </c>
      <c r="Y10" s="30" t="s">
        <v>86</v>
      </c>
      <c r="Z10" s="29" t="s">
        <v>84</v>
      </c>
      <c r="AA10" s="29" t="s">
        <v>85</v>
      </c>
      <c r="AB10" s="30" t="s">
        <v>86</v>
      </c>
      <c r="AC10" s="29" t="s">
        <v>84</v>
      </c>
      <c r="AD10" s="29" t="s">
        <v>85</v>
      </c>
      <c r="AE10" s="30" t="s">
        <v>86</v>
      </c>
      <c r="AF10" s="29" t="s">
        <v>84</v>
      </c>
      <c r="AG10" s="29" t="s">
        <v>85</v>
      </c>
      <c r="AH10" s="30" t="s">
        <v>86</v>
      </c>
      <c r="AI10" s="29" t="s">
        <v>84</v>
      </c>
      <c r="AJ10" s="29" t="s">
        <v>85</v>
      </c>
      <c r="AK10" s="30" t="s">
        <v>86</v>
      </c>
      <c r="AL10" s="29" t="s">
        <v>84</v>
      </c>
      <c r="AM10" s="29" t="s">
        <v>85</v>
      </c>
      <c r="AN10" s="30" t="s">
        <v>86</v>
      </c>
      <c r="AO10" s="29" t="s">
        <v>84</v>
      </c>
      <c r="AP10" s="29" t="s">
        <v>85</v>
      </c>
      <c r="AQ10" s="30" t="s">
        <v>86</v>
      </c>
      <c r="AR10" s="86"/>
      <c r="AS10" s="87"/>
    </row>
    <row r="11" spans="1:46" s="34" customFormat="1" ht="12.75">
      <c r="A11" s="88" t="s">
        <v>14</v>
      </c>
      <c r="B11" s="91" t="s">
        <v>87</v>
      </c>
      <c r="C11" s="92"/>
      <c r="D11" s="31" t="s">
        <v>88</v>
      </c>
      <c r="E11" s="32">
        <f>E12+E13+E15</f>
        <v>461125.8</v>
      </c>
      <c r="F11" s="33">
        <f>F12+F13+F15</f>
        <v>448858</v>
      </c>
      <c r="G11" s="33">
        <f t="shared" ref="G11:G23" si="0">F11/E11*100</f>
        <v>97.33959800123958</v>
      </c>
      <c r="H11" s="33">
        <f>H12+H13+H15</f>
        <v>6558.8999999999987</v>
      </c>
      <c r="I11" s="33">
        <f>I12+I13+I15</f>
        <v>6503.1999999999989</v>
      </c>
      <c r="J11" s="33">
        <f>I11/H11*100</f>
        <v>99.150772233148857</v>
      </c>
      <c r="K11" s="33">
        <f>K12+K13+K15</f>
        <v>48042</v>
      </c>
      <c r="L11" s="33">
        <f>L12+L13+L15</f>
        <v>47084.600000000006</v>
      </c>
      <c r="M11" s="33">
        <f>L11/K11*100</f>
        <v>98.007160401315531</v>
      </c>
      <c r="N11" s="33">
        <f>N12+N13+N15</f>
        <v>37307.699999999997</v>
      </c>
      <c r="O11" s="33">
        <f>O12+O13+O15</f>
        <v>34438.800000000003</v>
      </c>
      <c r="P11" s="33">
        <f>O11/N11*100</f>
        <v>92.31016653398629</v>
      </c>
      <c r="Q11" s="33">
        <f>Q12+Q13+Q15</f>
        <v>34775.299999999996</v>
      </c>
      <c r="R11" s="33">
        <f>R12+R13+R15</f>
        <v>32822.1</v>
      </c>
      <c r="S11" s="33">
        <f>R11/Q11*100</f>
        <v>94.383369805580415</v>
      </c>
      <c r="T11" s="33">
        <f>T12+T13+T15</f>
        <v>38885.999999999993</v>
      </c>
      <c r="U11" s="33">
        <f>U12+U13+U15</f>
        <v>37963.5</v>
      </c>
      <c r="V11" s="33">
        <f>U11/T11*100</f>
        <v>97.627680913439306</v>
      </c>
      <c r="W11" s="33">
        <f>W12+W13+W15</f>
        <v>45133.500000000007</v>
      </c>
      <c r="X11" s="33">
        <f>X12+X13+X15</f>
        <v>41199.9</v>
      </c>
      <c r="Y11" s="33">
        <f>X11/W11*100</f>
        <v>91.284522583003749</v>
      </c>
      <c r="Z11" s="33">
        <f>Z12+Z13+Z15</f>
        <v>46299.3</v>
      </c>
      <c r="AA11" s="33">
        <f>AA12+AA13+AA15</f>
        <v>45001.799999999996</v>
      </c>
      <c r="AB11" s="33">
        <f t="shared" ref="AB11:AB21" si="1">AA11/Z11*100</f>
        <v>97.197581820891443</v>
      </c>
      <c r="AC11" s="33">
        <f>AC12+AC13+AC15</f>
        <v>39167.699999999997</v>
      </c>
      <c r="AD11" s="33">
        <f>AD12+AD13+AD15</f>
        <v>37118.1</v>
      </c>
      <c r="AE11" s="33">
        <f>AD11/AC11*100</f>
        <v>94.767116782450842</v>
      </c>
      <c r="AF11" s="33">
        <f>AF12+AF13+AF15</f>
        <v>37392.899999999994</v>
      </c>
      <c r="AG11" s="33">
        <f>AG12+AG13+AG15</f>
        <v>36895.4</v>
      </c>
      <c r="AH11" s="33">
        <f>AG11/AF11*100</f>
        <v>98.669533521069525</v>
      </c>
      <c r="AI11" s="33">
        <f>AI12+AI13+AI15</f>
        <v>30364.800000000003</v>
      </c>
      <c r="AJ11" s="33">
        <f>AJ12+AJ13+AJ15</f>
        <v>31070.399999999994</v>
      </c>
      <c r="AK11" s="33">
        <f t="shared" ref="AK11:AK13" si="2">AJ11/AI11*100</f>
        <v>102.32374328169456</v>
      </c>
      <c r="AL11" s="33">
        <f>AL12+AL13+AL15</f>
        <v>34242.300000000003</v>
      </c>
      <c r="AM11" s="33">
        <f>AM12+AM13+AM15</f>
        <v>32178.3</v>
      </c>
      <c r="AN11" s="33">
        <f t="shared" ref="AN11:AN13" si="3">AM11/AL11*100</f>
        <v>93.972367510359987</v>
      </c>
      <c r="AO11" s="33">
        <f>AO12+AO13+AO15</f>
        <v>62955.400000000016</v>
      </c>
      <c r="AP11" s="33">
        <f>AP12+AP13+AP15</f>
        <v>66581.899999999994</v>
      </c>
      <c r="AQ11" s="33">
        <f t="shared" ref="AQ11:AQ13" si="4">AO11/AP11*100</f>
        <v>94.553324552168121</v>
      </c>
      <c r="AR11" s="97"/>
      <c r="AS11" s="100"/>
    </row>
    <row r="12" spans="1:46" s="34" customFormat="1" ht="48">
      <c r="A12" s="89"/>
      <c r="B12" s="93"/>
      <c r="C12" s="94"/>
      <c r="D12" s="35" t="s">
        <v>89</v>
      </c>
      <c r="E12" s="32">
        <f>E18+E24+E29+E34+E39+E45</f>
        <v>14582.7</v>
      </c>
      <c r="F12" s="33">
        <f>F18+F24+F29+F34+F39+F45</f>
        <v>14541.699999999999</v>
      </c>
      <c r="G12" s="33">
        <f t="shared" si="0"/>
        <v>99.718844932694211</v>
      </c>
      <c r="H12" s="33">
        <f>H18+H24+H29+H34+H39+H45</f>
        <v>75.600000000000023</v>
      </c>
      <c r="I12" s="33">
        <f>I18+I24+I29+I34+I39+I45</f>
        <v>75.599999999999994</v>
      </c>
      <c r="J12" s="33">
        <f t="shared" ref="J12:J13" si="5">I12/H12*100</f>
        <v>99.999999999999972</v>
      </c>
      <c r="K12" s="33">
        <f>K18+K24+K29+K34+K39+K45</f>
        <v>571.79999999999995</v>
      </c>
      <c r="L12" s="33">
        <f>L18+L24+L29+L34+L39+L45</f>
        <v>537.9</v>
      </c>
      <c r="M12" s="33">
        <f t="shared" ref="M12:M15" si="6">L12/K12*100</f>
        <v>94.071353620146908</v>
      </c>
      <c r="N12" s="33">
        <f>N18+N24+N29+N34+N39+N45</f>
        <v>709</v>
      </c>
      <c r="O12" s="33">
        <f>O18+O24+O29+O34+O39+O45</f>
        <v>507</v>
      </c>
      <c r="P12" s="33">
        <f t="shared" ref="P12:P15" si="7">O12/N12*100</f>
        <v>71.509167842031033</v>
      </c>
      <c r="Q12" s="33">
        <f>Q18+Q24+Q29+Q34+Q39+Q45</f>
        <v>752.59999999999991</v>
      </c>
      <c r="R12" s="33">
        <f>R18+R24+R29+R34+R39+R45</f>
        <v>504.7</v>
      </c>
      <c r="S12" s="33">
        <f t="shared" ref="S12:S15" si="8">R12/Q12*100</f>
        <v>67.060855700239173</v>
      </c>
      <c r="T12" s="33">
        <f>T18+T24+T29+T34+T39+T45</f>
        <v>1149.8</v>
      </c>
      <c r="U12" s="33">
        <f>U18+U24+U29+U34+U39+U45</f>
        <v>970.09999999999991</v>
      </c>
      <c r="V12" s="33">
        <f>U12/T12*100</f>
        <v>84.371194990433125</v>
      </c>
      <c r="W12" s="33">
        <f>W18+W24+W29+W34+W39+W45</f>
        <v>1381.3000000000002</v>
      </c>
      <c r="X12" s="33">
        <f>X18+X24+X29+X34+X39+X45</f>
        <v>994.7</v>
      </c>
      <c r="Y12" s="33">
        <f t="shared" ref="Y12:Y15" si="9">X12/W12*100</f>
        <v>72.011872873380142</v>
      </c>
      <c r="Z12" s="33">
        <f>Z18+Z24+Z29+Z34+Z39+Z45</f>
        <v>1547.6999999999998</v>
      </c>
      <c r="AA12" s="33">
        <f>AA18+AA24+AA29+AA34+AA39+AA45</f>
        <v>1521.2</v>
      </c>
      <c r="AB12" s="33">
        <f t="shared" si="1"/>
        <v>98.287781869871438</v>
      </c>
      <c r="AC12" s="33">
        <f>AC18+AC24+AC29+AC34+AC39+AC45</f>
        <v>1889.2</v>
      </c>
      <c r="AD12" s="33">
        <f>AD18+AD24+AD29+AD34+AD39+AD45</f>
        <v>1822.1</v>
      </c>
      <c r="AE12" s="33">
        <f t="shared" ref="AE12:AE35" si="10">AD12/AC12*100</f>
        <v>96.448232055896668</v>
      </c>
      <c r="AF12" s="33">
        <f>AF18+AF24+AF29+AF34+AF39+AF45</f>
        <v>2530.6999999999998</v>
      </c>
      <c r="AG12" s="33">
        <f>AG18+AG24+AG29+AG34+AG39+AG45</f>
        <v>2499.1999999999998</v>
      </c>
      <c r="AH12" s="33">
        <f>AG12/AF12*100</f>
        <v>98.755285098984473</v>
      </c>
      <c r="AI12" s="33">
        <f>AI18+AI24+AI29+AI34+AI39+AI45</f>
        <v>890.49999999999989</v>
      </c>
      <c r="AJ12" s="33">
        <f>AJ18+AJ24+AJ29+AJ34+AJ39+AJ45</f>
        <v>1190.0999999999999</v>
      </c>
      <c r="AK12" s="33">
        <f t="shared" si="2"/>
        <v>133.64402021336329</v>
      </c>
      <c r="AL12" s="33">
        <f>AL18+AL24+AL29+AL34+AL39+AL45</f>
        <v>1472.1</v>
      </c>
      <c r="AM12" s="33">
        <f>AM18+AM24+AM29+AM34+AM39+AM45</f>
        <v>1694.1</v>
      </c>
      <c r="AN12" s="33">
        <f t="shared" si="3"/>
        <v>115.08049724882821</v>
      </c>
      <c r="AO12" s="33">
        <f>AO18+AO24+AO29+AO34+AO39+AO45</f>
        <v>1612.4</v>
      </c>
      <c r="AP12" s="33">
        <f>AP18+AP24+AP29+AP34+AP39+AP45</f>
        <v>2225</v>
      </c>
      <c r="AQ12" s="33">
        <f t="shared" si="4"/>
        <v>72.467415730337081</v>
      </c>
      <c r="AR12" s="98"/>
      <c r="AS12" s="101"/>
      <c r="AT12" s="36"/>
    </row>
    <row r="13" spans="1:46" s="34" customFormat="1" ht="12.75">
      <c r="A13" s="89"/>
      <c r="B13" s="93"/>
      <c r="C13" s="94"/>
      <c r="D13" s="35" t="s">
        <v>90</v>
      </c>
      <c r="E13" s="32">
        <f>E19+E25+E30+E35+E40</f>
        <v>441133</v>
      </c>
      <c r="F13" s="33">
        <f>F19+F25+F30+F35+F40</f>
        <v>428906.2</v>
      </c>
      <c r="G13" s="33">
        <f t="shared" si="0"/>
        <v>97.228318897021992</v>
      </c>
      <c r="H13" s="33">
        <f>H19+H25+H30+H35+H40</f>
        <v>6483.2999999999984</v>
      </c>
      <c r="I13" s="33">
        <f>I19+I25+I30+I35+I40</f>
        <v>6427.5999999999985</v>
      </c>
      <c r="J13" s="33">
        <f t="shared" si="5"/>
        <v>99.14086961886693</v>
      </c>
      <c r="K13" s="33">
        <f>K19+K25+K30+K35+K40</f>
        <v>47355</v>
      </c>
      <c r="L13" s="33">
        <f>L19+L25+L30+L35+L40</f>
        <v>46421.500000000007</v>
      </c>
      <c r="M13" s="33">
        <f t="shared" si="6"/>
        <v>98.028719248231454</v>
      </c>
      <c r="N13" s="33">
        <f>N19+N25+N30+N35+N40</f>
        <v>35944.5</v>
      </c>
      <c r="O13" s="33">
        <f>O19+O25+O30+O35+O40</f>
        <v>33295.700000000004</v>
      </c>
      <c r="P13" s="33">
        <f t="shared" si="7"/>
        <v>92.630861466983845</v>
      </c>
      <c r="Q13" s="33">
        <f>Q19+Q25+Q30+Q35+Q40</f>
        <v>33569.599999999999</v>
      </c>
      <c r="R13" s="33">
        <f>R19+R25+R30+R35+R40</f>
        <v>31979.499999999996</v>
      </c>
      <c r="S13" s="33">
        <f t="shared" si="8"/>
        <v>95.263273914494064</v>
      </c>
      <c r="T13" s="33">
        <f>T19+T25+T30+T35+T40</f>
        <v>37113.099999999991</v>
      </c>
      <c r="U13" s="33">
        <f>U19+U25+U30+U35+U40</f>
        <v>36545.599999999999</v>
      </c>
      <c r="V13" s="33">
        <f t="shared" ref="V13:V15" si="11">U13/T13*100</f>
        <v>98.470890332524121</v>
      </c>
      <c r="W13" s="33">
        <f>W19+W25+W30+W35+W40</f>
        <v>43147.700000000004</v>
      </c>
      <c r="X13" s="33">
        <f>X19+X25+X30+X35+X40</f>
        <v>39660.200000000004</v>
      </c>
      <c r="Y13" s="33">
        <f t="shared" si="9"/>
        <v>91.917298025155461</v>
      </c>
      <c r="Z13" s="33">
        <f>Z19+Z25+Z30+Z35+Z40</f>
        <v>44137.3</v>
      </c>
      <c r="AA13" s="33">
        <f>AA19+AA25+AA30+AA35+AA40</f>
        <v>42866.299999999996</v>
      </c>
      <c r="AB13" s="33">
        <f t="shared" si="1"/>
        <v>97.120349454996102</v>
      </c>
      <c r="AC13" s="33">
        <f>AC19+AC25+AC30+AC35+AC40</f>
        <v>36839.9</v>
      </c>
      <c r="AD13" s="33">
        <f>AD19+AD25+AD30+AD35+AD40</f>
        <v>34857.4</v>
      </c>
      <c r="AE13" s="33">
        <f t="shared" si="10"/>
        <v>94.618606456586477</v>
      </c>
      <c r="AF13" s="33">
        <f>AF19+AF25+AF30+AF35+AF40</f>
        <v>34326.799999999996</v>
      </c>
      <c r="AG13" s="33">
        <f>AG19+AG25+AG30+AG35+AG40</f>
        <v>33737.600000000006</v>
      </c>
      <c r="AH13" s="33">
        <f>AG13/AF13*100</f>
        <v>98.283556871016259</v>
      </c>
      <c r="AI13" s="33">
        <f>AI19+AI25+AI30+AI35+AI40</f>
        <v>29021.000000000004</v>
      </c>
      <c r="AJ13" s="33">
        <f>AJ19+AJ25+AJ30+AJ35+AJ40</f>
        <v>29212.299999999996</v>
      </c>
      <c r="AK13" s="33">
        <f t="shared" si="2"/>
        <v>100.65917783673888</v>
      </c>
      <c r="AL13" s="33">
        <f>AL19+AL25+AL30+AL35+AL40</f>
        <v>32635.200000000001</v>
      </c>
      <c r="AM13" s="33">
        <f>AM19+AM25+AM30+AM35+AM40</f>
        <v>30349.200000000001</v>
      </c>
      <c r="AN13" s="33">
        <f t="shared" si="3"/>
        <v>92.99529342550376</v>
      </c>
      <c r="AO13" s="33">
        <f>AO19+AO25+AO30+AO35+AO40</f>
        <v>60559.600000000013</v>
      </c>
      <c r="AP13" s="33">
        <f>AP19+AP25+AP30+AP35+AP40</f>
        <v>63553.299999999996</v>
      </c>
      <c r="AQ13" s="33">
        <f t="shared" si="4"/>
        <v>95.289465692576186</v>
      </c>
      <c r="AR13" s="98"/>
      <c r="AS13" s="101"/>
      <c r="AT13" s="36"/>
    </row>
    <row r="14" spans="1:46" s="34" customFormat="1" ht="48">
      <c r="A14" s="89"/>
      <c r="B14" s="93"/>
      <c r="C14" s="94"/>
      <c r="D14" s="37" t="s">
        <v>91</v>
      </c>
      <c r="E14" s="38">
        <f>H14+K14+N14+Q14+T14+W14+Z14+AC14+AF14+AI14+AL14+AO14</f>
        <v>66.2</v>
      </c>
      <c r="F14" s="39">
        <f t="shared" ref="F14" si="12">I14+L14+O14+R14+U14+X14+AA14+AD14+AG14+AJ14+AM14+AP14</f>
        <v>66.2</v>
      </c>
      <c r="G14" s="39">
        <f>F14/E14*100</f>
        <v>100</v>
      </c>
      <c r="H14" s="39">
        <f>H20+H41</f>
        <v>0</v>
      </c>
      <c r="I14" s="39">
        <f>I20+I41</f>
        <v>0</v>
      </c>
      <c r="J14" s="39">
        <v>0</v>
      </c>
      <c r="K14" s="39">
        <f>K20+K41</f>
        <v>0</v>
      </c>
      <c r="L14" s="39">
        <f>L20+L41</f>
        <v>0</v>
      </c>
      <c r="M14" s="39">
        <v>0</v>
      </c>
      <c r="N14" s="39">
        <f>N20+N41</f>
        <v>66.2</v>
      </c>
      <c r="O14" s="39">
        <f>O20+O41</f>
        <v>0</v>
      </c>
      <c r="P14" s="39">
        <f>O14/N14*100</f>
        <v>0</v>
      </c>
      <c r="Q14" s="39">
        <f t="shared" ref="Q14:AP14" si="13">Q20+Q41</f>
        <v>0</v>
      </c>
      <c r="R14" s="39">
        <f t="shared" si="13"/>
        <v>0</v>
      </c>
      <c r="S14" s="39">
        <v>0</v>
      </c>
      <c r="T14" s="39">
        <f t="shared" si="13"/>
        <v>0</v>
      </c>
      <c r="U14" s="39">
        <f t="shared" si="13"/>
        <v>0</v>
      </c>
      <c r="V14" s="39">
        <v>0</v>
      </c>
      <c r="W14" s="39">
        <f t="shared" si="13"/>
        <v>0</v>
      </c>
      <c r="X14" s="39">
        <f t="shared" si="13"/>
        <v>66.2</v>
      </c>
      <c r="Y14" s="39" t="e">
        <f t="shared" si="9"/>
        <v>#DIV/0!</v>
      </c>
      <c r="Z14" s="39">
        <f t="shared" si="13"/>
        <v>0</v>
      </c>
      <c r="AA14" s="39">
        <f t="shared" si="13"/>
        <v>0</v>
      </c>
      <c r="AB14" s="39">
        <f t="shared" si="13"/>
        <v>0</v>
      </c>
      <c r="AC14" s="39">
        <f t="shared" si="13"/>
        <v>0</v>
      </c>
      <c r="AD14" s="39">
        <f t="shared" si="13"/>
        <v>0</v>
      </c>
      <c r="AE14" s="39">
        <f t="shared" si="13"/>
        <v>0</v>
      </c>
      <c r="AF14" s="39">
        <f t="shared" si="13"/>
        <v>0</v>
      </c>
      <c r="AG14" s="39">
        <f t="shared" si="13"/>
        <v>0</v>
      </c>
      <c r="AH14" s="39">
        <f t="shared" si="13"/>
        <v>0</v>
      </c>
      <c r="AI14" s="39">
        <f t="shared" si="13"/>
        <v>0</v>
      </c>
      <c r="AJ14" s="39">
        <f t="shared" si="13"/>
        <v>0</v>
      </c>
      <c r="AK14" s="33">
        <v>0</v>
      </c>
      <c r="AL14" s="39">
        <f t="shared" si="13"/>
        <v>0</v>
      </c>
      <c r="AM14" s="39">
        <f t="shared" si="13"/>
        <v>0</v>
      </c>
      <c r="AN14" s="39">
        <f t="shared" si="13"/>
        <v>0</v>
      </c>
      <c r="AO14" s="39">
        <f t="shared" si="13"/>
        <v>0</v>
      </c>
      <c r="AP14" s="39">
        <f t="shared" si="13"/>
        <v>0</v>
      </c>
      <c r="AQ14" s="39">
        <v>0</v>
      </c>
      <c r="AR14" s="98"/>
      <c r="AS14" s="101"/>
      <c r="AT14" s="36"/>
    </row>
    <row r="15" spans="1:46" s="34" customFormat="1" ht="24">
      <c r="A15" s="89"/>
      <c r="B15" s="93"/>
      <c r="C15" s="94"/>
      <c r="D15" s="40" t="s">
        <v>92</v>
      </c>
      <c r="E15" s="32">
        <f>E21+E26+E36+E47</f>
        <v>5410.1</v>
      </c>
      <c r="F15" s="33">
        <f>F21+F26+F36+F47</f>
        <v>5410.1</v>
      </c>
      <c r="G15" s="33">
        <f>F15/E15*100</f>
        <v>100</v>
      </c>
      <c r="H15" s="33">
        <f>H21+H26+H36+H47</f>
        <v>0</v>
      </c>
      <c r="I15" s="33">
        <f>I21+I26+I36+I47</f>
        <v>0</v>
      </c>
      <c r="J15" s="33">
        <v>0</v>
      </c>
      <c r="K15" s="33">
        <f>K21+K26+K36+K47</f>
        <v>115.2</v>
      </c>
      <c r="L15" s="33">
        <f>L21+L26+L36+L47</f>
        <v>125.2</v>
      </c>
      <c r="M15" s="33">
        <f t="shared" si="6"/>
        <v>108.68055555555556</v>
      </c>
      <c r="N15" s="33">
        <f>N21+N26+N36+N47</f>
        <v>654.20000000000005</v>
      </c>
      <c r="O15" s="33">
        <f>O21+O26+O36+O47</f>
        <v>636.1</v>
      </c>
      <c r="P15" s="33">
        <f t="shared" si="7"/>
        <v>97.23326199938856</v>
      </c>
      <c r="Q15" s="33">
        <f>Q21+Q26+Q36+Q47</f>
        <v>453.1</v>
      </c>
      <c r="R15" s="33">
        <f>R21+R26+R36+R47</f>
        <v>337.9</v>
      </c>
      <c r="S15" s="33">
        <f t="shared" si="8"/>
        <v>74.575148973736475</v>
      </c>
      <c r="T15" s="33">
        <f>T21+T26+T36+T47</f>
        <v>623.1</v>
      </c>
      <c r="U15" s="33">
        <f>U21+U26+U36+U47</f>
        <v>447.8</v>
      </c>
      <c r="V15" s="33">
        <f t="shared" si="11"/>
        <v>71.86647408120686</v>
      </c>
      <c r="W15" s="33">
        <f>W21+W26+W36+W47</f>
        <v>604.5</v>
      </c>
      <c r="X15" s="33">
        <f>X21+X26+X36+X47</f>
        <v>545</v>
      </c>
      <c r="Y15" s="33">
        <f t="shared" si="9"/>
        <v>90.157154673283699</v>
      </c>
      <c r="Z15" s="33">
        <f>Z21+Z26+Z36+Z47</f>
        <v>614.30000000000007</v>
      </c>
      <c r="AA15" s="33">
        <f>AA21+AA26+AA36+AA47</f>
        <v>614.29999999999995</v>
      </c>
      <c r="AB15" s="33">
        <f t="shared" si="1"/>
        <v>99.999999999999972</v>
      </c>
      <c r="AC15" s="33">
        <f>AC21+AC26+AC36+AC47</f>
        <v>438.60000000000008</v>
      </c>
      <c r="AD15" s="33">
        <f>AD21+AD26+AD36+AD47</f>
        <v>438.6</v>
      </c>
      <c r="AE15" s="33">
        <f t="shared" si="10"/>
        <v>99.999999999999986</v>
      </c>
      <c r="AF15" s="33">
        <f>AF21+AF26+AF36+AF47</f>
        <v>535.4</v>
      </c>
      <c r="AG15" s="33">
        <f>AG21+AG26+AG36+AG47</f>
        <v>658.6</v>
      </c>
      <c r="AH15" s="33">
        <f>AG15/AF15*100</f>
        <v>123.01083302203961</v>
      </c>
      <c r="AI15" s="33">
        <f>AI21+AI26+AI36+AI47</f>
        <v>453.3</v>
      </c>
      <c r="AJ15" s="33">
        <f>AJ21+AJ26+AJ36+AJ47</f>
        <v>668</v>
      </c>
      <c r="AK15" s="33">
        <f>AJ15/AI15*100</f>
        <v>147.36377674829032</v>
      </c>
      <c r="AL15" s="33">
        <f>AL21+AL26+AL36+AL47</f>
        <v>135</v>
      </c>
      <c r="AM15" s="33">
        <f>AM21+AM26+AM36+AM47</f>
        <v>135</v>
      </c>
      <c r="AN15" s="33">
        <f>AM15/AL15*100</f>
        <v>100</v>
      </c>
      <c r="AO15" s="33">
        <f>AO21+AO26+AO36+AO47</f>
        <v>783.40000000000009</v>
      </c>
      <c r="AP15" s="33">
        <f>AP21+AP26+AP36+AP47</f>
        <v>803.6</v>
      </c>
      <c r="AQ15" s="33">
        <f>AO15/AP15*100</f>
        <v>97.486311597809859</v>
      </c>
      <c r="AR15" s="98"/>
      <c r="AS15" s="101"/>
      <c r="AT15" s="36"/>
    </row>
    <row r="16" spans="1:46" s="34" customFormat="1" ht="24">
      <c r="A16" s="90"/>
      <c r="B16" s="95"/>
      <c r="C16" s="96"/>
      <c r="D16" s="40" t="s">
        <v>93</v>
      </c>
      <c r="E16" s="32">
        <f>H16+K16+N16+Q16+T16+W16+Z16+AC16+AF16+AI16+AL16+AO16</f>
        <v>0</v>
      </c>
      <c r="F16" s="33">
        <f>I16+L16+O16+R16+U16+X16+AA16+AD16+AG16+AJ16+AM16+AP16</f>
        <v>0</v>
      </c>
      <c r="G16" s="33">
        <v>0</v>
      </c>
      <c r="H16" s="33">
        <v>0</v>
      </c>
      <c r="I16" s="33">
        <v>0</v>
      </c>
      <c r="J16" s="33">
        <v>0</v>
      </c>
      <c r="K16" s="41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42">
        <v>0</v>
      </c>
      <c r="U16" s="42">
        <v>0</v>
      </c>
      <c r="V16" s="33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33">
        <v>0</v>
      </c>
      <c r="AI16" s="33">
        <v>0</v>
      </c>
      <c r="AJ16" s="33">
        <v>0</v>
      </c>
      <c r="AK16" s="33">
        <v>0</v>
      </c>
      <c r="AL16" s="42">
        <v>0</v>
      </c>
      <c r="AM16" s="42">
        <v>0</v>
      </c>
      <c r="AN16" s="42">
        <v>0</v>
      </c>
      <c r="AO16" s="33">
        <v>0</v>
      </c>
      <c r="AP16" s="33">
        <v>0</v>
      </c>
      <c r="AQ16" s="33">
        <v>0</v>
      </c>
      <c r="AR16" s="99"/>
      <c r="AS16" s="102"/>
    </row>
    <row r="17" spans="1:49" s="26" customFormat="1" ht="12.75">
      <c r="A17" s="103" t="s">
        <v>94</v>
      </c>
      <c r="B17" s="106" t="s">
        <v>95</v>
      </c>
      <c r="C17" s="109" t="s">
        <v>96</v>
      </c>
      <c r="D17" s="43" t="s">
        <v>88</v>
      </c>
      <c r="E17" s="44">
        <f>E18+E19+E21</f>
        <v>270328.39999999997</v>
      </c>
      <c r="F17" s="45">
        <f>F18+F19+F21</f>
        <v>263416.89999999997</v>
      </c>
      <c r="G17" s="45">
        <f t="shared" si="0"/>
        <v>97.443294896133736</v>
      </c>
      <c r="H17" s="45">
        <f t="shared" ref="H17:I17" si="14">H18+H19+H21</f>
        <v>3772.7999999999988</v>
      </c>
      <c r="I17" s="45">
        <f t="shared" si="14"/>
        <v>3772.7999999999997</v>
      </c>
      <c r="J17" s="45">
        <f>I17/H17*100</f>
        <v>100.00000000000003</v>
      </c>
      <c r="K17" s="45">
        <f t="shared" ref="K17:L17" si="15">K18+K19+K21</f>
        <v>34473.4</v>
      </c>
      <c r="L17" s="45">
        <f t="shared" si="15"/>
        <v>33978.400000000001</v>
      </c>
      <c r="M17" s="45">
        <f>L17/K17*100</f>
        <v>98.564110299535287</v>
      </c>
      <c r="N17" s="45">
        <f t="shared" ref="N17:O17" si="16">N18+N19+N21</f>
        <v>21644.799999999999</v>
      </c>
      <c r="O17" s="45">
        <f t="shared" si="16"/>
        <v>20292.099999999999</v>
      </c>
      <c r="P17" s="45">
        <f>O17/N17*100</f>
        <v>93.750462004730934</v>
      </c>
      <c r="Q17" s="45">
        <f t="shared" ref="Q17:AP17" si="17">Q18+Q19+Q21</f>
        <v>20474.199999999997</v>
      </c>
      <c r="R17" s="45">
        <f t="shared" si="17"/>
        <v>19953.2</v>
      </c>
      <c r="S17" s="45">
        <f>R17/Q17*100</f>
        <v>97.455334030145266</v>
      </c>
      <c r="T17" s="45">
        <f t="shared" si="17"/>
        <v>22433.1</v>
      </c>
      <c r="U17" s="45">
        <f t="shared" si="17"/>
        <v>22134.399999999998</v>
      </c>
      <c r="V17" s="45">
        <f>U17/T17*100</f>
        <v>98.668485407723409</v>
      </c>
      <c r="W17" s="45">
        <f t="shared" si="17"/>
        <v>22136.9</v>
      </c>
      <c r="X17" s="45">
        <f t="shared" si="17"/>
        <v>21980.9</v>
      </c>
      <c r="Y17" s="39">
        <f>X17/W17*100</f>
        <v>99.295294282397265</v>
      </c>
      <c r="Z17" s="45">
        <f t="shared" si="17"/>
        <v>23688.6</v>
      </c>
      <c r="AA17" s="45">
        <f t="shared" si="17"/>
        <v>22540</v>
      </c>
      <c r="AB17" s="45">
        <f>AA17/Z17*100</f>
        <v>95.151254189779053</v>
      </c>
      <c r="AC17" s="45">
        <f t="shared" si="17"/>
        <v>23058</v>
      </c>
      <c r="AD17" s="45">
        <f t="shared" si="17"/>
        <v>21904.799999999999</v>
      </c>
      <c r="AE17" s="45">
        <f>AD17/AC17*100</f>
        <v>94.998698933125155</v>
      </c>
      <c r="AF17" s="45">
        <f t="shared" si="17"/>
        <v>21473.4</v>
      </c>
      <c r="AG17" s="45">
        <f t="shared" si="17"/>
        <v>21132.799999999999</v>
      </c>
      <c r="AH17" s="45">
        <f>AG17/AF17*100</f>
        <v>98.413851555878423</v>
      </c>
      <c r="AI17" s="45">
        <f t="shared" si="17"/>
        <v>18486.400000000001</v>
      </c>
      <c r="AJ17" s="45">
        <f t="shared" si="17"/>
        <v>18423.399999999998</v>
      </c>
      <c r="AK17" s="45">
        <f>AJ17/AI17*100</f>
        <v>99.659208931971591</v>
      </c>
      <c r="AL17" s="45">
        <f t="shared" si="17"/>
        <v>19796.400000000001</v>
      </c>
      <c r="AM17" s="45">
        <f t="shared" si="17"/>
        <v>18160.599999999999</v>
      </c>
      <c r="AN17" s="45">
        <f>AM17/AL17*100</f>
        <v>91.73688145319349</v>
      </c>
      <c r="AO17" s="45">
        <f t="shared" si="17"/>
        <v>38890.400000000009</v>
      </c>
      <c r="AP17" s="45">
        <f t="shared" si="17"/>
        <v>39143.499999999993</v>
      </c>
      <c r="AQ17" s="45">
        <f>AP17/AO17*100</f>
        <v>100.65080328307239</v>
      </c>
      <c r="AR17" s="112" t="s">
        <v>97</v>
      </c>
      <c r="AS17" s="115" t="s">
        <v>98</v>
      </c>
      <c r="AT17" s="46"/>
      <c r="AU17" s="47"/>
      <c r="AW17" s="46"/>
    </row>
    <row r="18" spans="1:49" s="26" customFormat="1" ht="48">
      <c r="A18" s="104"/>
      <c r="B18" s="107"/>
      <c r="C18" s="110"/>
      <c r="D18" s="48" t="s">
        <v>89</v>
      </c>
      <c r="E18" s="44">
        <f>H18+K18+N18+Q18+T18+W18+Z18+AC18+AF18+AI18+AL18+AO18</f>
        <v>5982.3</v>
      </c>
      <c r="F18" s="45">
        <f>I18+L18+O18+R18+U18+X18+AA18+AD18+AG18+AJ18+AM18+AP18</f>
        <v>5982.2999999999993</v>
      </c>
      <c r="G18" s="45">
        <f t="shared" si="0"/>
        <v>99.999999999999986</v>
      </c>
      <c r="H18" s="45">
        <f>262.8+53.1-240.3</f>
        <v>75.600000000000023</v>
      </c>
      <c r="I18" s="45">
        <v>75.599999999999994</v>
      </c>
      <c r="J18" s="45">
        <f>I18/H18*100</f>
        <v>99.999999999999972</v>
      </c>
      <c r="K18" s="45">
        <f>72+402.8+97</f>
        <v>571.79999999999995</v>
      </c>
      <c r="L18" s="45">
        <v>537.9</v>
      </c>
      <c r="M18" s="45">
        <f>L18/K18*100</f>
        <v>94.071353620146908</v>
      </c>
      <c r="N18" s="45">
        <f>72.1+8.3+97.1+273.7-20.2</f>
        <v>431</v>
      </c>
      <c r="O18" s="45">
        <v>375.1</v>
      </c>
      <c r="P18" s="45">
        <f>O18/N18*100</f>
        <v>87.030162412993036</v>
      </c>
      <c r="Q18" s="45">
        <f>67+103.1+5.2+271.9</f>
        <v>447.19999999999993</v>
      </c>
      <c r="R18" s="45">
        <v>296.2</v>
      </c>
      <c r="S18" s="45">
        <f>R18/Q18*100</f>
        <v>66.234347048300549</v>
      </c>
      <c r="T18" s="49">
        <f>62.1+6.5+271.9+98.9</f>
        <v>439.4</v>
      </c>
      <c r="U18" s="49">
        <v>365.3</v>
      </c>
      <c r="V18" s="50">
        <f>U18/T18*100</f>
        <v>83.136094674556219</v>
      </c>
      <c r="W18" s="45">
        <f>57.1+6.5+271.9-0.1-31-92.2</f>
        <v>212.2</v>
      </c>
      <c r="X18" s="45">
        <v>208</v>
      </c>
      <c r="Y18" s="50">
        <f t="shared" ref="Y18:Y21" si="18">X18/W18*100</f>
        <v>98.020735155513677</v>
      </c>
      <c r="Z18" s="45">
        <f>57+6.5+88.6+300-100-4-10</f>
        <v>338.1</v>
      </c>
      <c r="AA18" s="45">
        <v>347</v>
      </c>
      <c r="AB18" s="50">
        <f t="shared" si="1"/>
        <v>102.63235729074238</v>
      </c>
      <c r="AC18" s="49">
        <f>57.1+21.9+88.6-0.1+310.6-78-6-8.7</f>
        <v>385.40000000000003</v>
      </c>
      <c r="AD18" s="49">
        <v>393.5</v>
      </c>
      <c r="AE18" s="50">
        <f t="shared" si="10"/>
        <v>102.10171250648676</v>
      </c>
      <c r="AF18" s="49">
        <f>57.1+6.5+88.7+247.1+100+78+10</f>
        <v>587.4</v>
      </c>
      <c r="AG18" s="51">
        <v>598.29999999999995</v>
      </c>
      <c r="AH18" s="45">
        <f t="shared" ref="AH18:AH21" si="19">AG18/AF18*100</f>
        <v>101.85563500170241</v>
      </c>
      <c r="AI18" s="49">
        <f>67+5.2+164.2+500-400</f>
        <v>336.4</v>
      </c>
      <c r="AJ18" s="49">
        <v>336.1</v>
      </c>
      <c r="AK18" s="49">
        <f>AJ18/AI18*100</f>
        <v>99.910820451843051</v>
      </c>
      <c r="AL18" s="49">
        <f>72.1+5.2+164.2+652.9-216.1+200</f>
        <v>878.3</v>
      </c>
      <c r="AM18" s="49">
        <v>876.1</v>
      </c>
      <c r="AN18" s="49">
        <f>AM18/AL18*100</f>
        <v>99.749516110668353</v>
      </c>
      <c r="AO18" s="49">
        <f>131.1+4.1+24.8+328.4+0.2-33.4+624.3+200</f>
        <v>1279.5</v>
      </c>
      <c r="AP18" s="45">
        <v>1573.2</v>
      </c>
      <c r="AQ18" s="45">
        <f>AP18/AO18*100</f>
        <v>122.95427901524035</v>
      </c>
      <c r="AR18" s="113"/>
      <c r="AS18" s="116"/>
      <c r="AT18" s="46"/>
      <c r="AU18" s="46"/>
      <c r="AV18" s="46"/>
      <c r="AW18" s="46"/>
    </row>
    <row r="19" spans="1:49" s="26" customFormat="1" ht="12.75">
      <c r="A19" s="104"/>
      <c r="B19" s="107"/>
      <c r="C19" s="110"/>
      <c r="D19" s="48" t="s">
        <v>99</v>
      </c>
      <c r="E19" s="44">
        <f t="shared" ref="E19:F21" si="20">H19+K19+N19+Q19+T19+W19+Z19+AC19+AF19+AI19+AL19+AO19</f>
        <v>258936</v>
      </c>
      <c r="F19" s="45">
        <f t="shared" si="20"/>
        <v>252024.5</v>
      </c>
      <c r="G19" s="45">
        <f t="shared" si="0"/>
        <v>97.330807612691942</v>
      </c>
      <c r="H19" s="45">
        <f>15635.8-11938.6</f>
        <v>3697.1999999999989</v>
      </c>
      <c r="I19" s="45">
        <v>3697.2</v>
      </c>
      <c r="J19" s="45">
        <f>I19/H19*100</f>
        <v>100.00000000000003</v>
      </c>
      <c r="K19" s="45">
        <f>20847.8+12938.6</f>
        <v>33786.400000000001</v>
      </c>
      <c r="L19" s="45">
        <v>33315.300000000003</v>
      </c>
      <c r="M19" s="45">
        <f>L19/K19*100</f>
        <v>98.605651978310803</v>
      </c>
      <c r="N19" s="45">
        <f>15635.9+4923.7</f>
        <v>20559.599999999999</v>
      </c>
      <c r="O19" s="45">
        <v>19280.900000000001</v>
      </c>
      <c r="P19" s="45">
        <f>O19/N19*100</f>
        <v>93.780521021809776</v>
      </c>
      <c r="Q19" s="45">
        <f>30+18000+1646.6-92.2-10.5</f>
        <v>19573.899999999998</v>
      </c>
      <c r="R19" s="45">
        <v>19319.099999999999</v>
      </c>
      <c r="S19" s="45">
        <f>R19/Q19*100</f>
        <v>98.698266569258038</v>
      </c>
      <c r="T19" s="49">
        <f>0+15000+6405.6-35</f>
        <v>21370.6</v>
      </c>
      <c r="U19" s="49">
        <v>21321.3</v>
      </c>
      <c r="V19" s="50">
        <f t="shared" ref="V19:V21" si="21">U19/T19*100</f>
        <v>99.769309237925015</v>
      </c>
      <c r="W19" s="45">
        <f>23178.5-304-1646.6+92.3</f>
        <v>21320.2</v>
      </c>
      <c r="X19" s="45">
        <v>21227.9</v>
      </c>
      <c r="Y19" s="50">
        <f t="shared" si="18"/>
        <v>99.567077231920905</v>
      </c>
      <c r="Z19" s="45">
        <f>16736.2+5000+1000</f>
        <v>22736.2</v>
      </c>
      <c r="AA19" s="45">
        <v>21578.7</v>
      </c>
      <c r="AB19" s="50">
        <f t="shared" si="1"/>
        <v>94.9089997449002</v>
      </c>
      <c r="AC19" s="49">
        <f>16734-1000+5000+500+1000</f>
        <v>22234</v>
      </c>
      <c r="AD19" s="49">
        <v>21072.7</v>
      </c>
      <c r="AE19" s="50">
        <f t="shared" si="10"/>
        <v>94.776918233336332</v>
      </c>
      <c r="AF19" s="49">
        <f>16734-64.9-1017.1+4939.1-500+259.5</f>
        <v>20350.599999999999</v>
      </c>
      <c r="AG19" s="51">
        <v>19875.900000000001</v>
      </c>
      <c r="AH19" s="45">
        <f t="shared" si="19"/>
        <v>97.667390642044978</v>
      </c>
      <c r="AI19" s="49">
        <f>3+17693.7</f>
        <v>17696.7</v>
      </c>
      <c r="AJ19" s="49">
        <v>17419.3</v>
      </c>
      <c r="AK19" s="49">
        <f>AJ19/AI19*100</f>
        <v>98.432476111365389</v>
      </c>
      <c r="AL19" s="49">
        <f>17693.7+6406-1316.6-4000</f>
        <v>18783.100000000002</v>
      </c>
      <c r="AM19" s="49">
        <v>17149.5</v>
      </c>
      <c r="AN19" s="49">
        <f>AM19/AL19*100</f>
        <v>91.302820088270835</v>
      </c>
      <c r="AO19" s="49">
        <f>17693.7*2+12344.2-14904.1+4000</f>
        <v>36827.500000000007</v>
      </c>
      <c r="AP19" s="45">
        <v>36766.699999999997</v>
      </c>
      <c r="AQ19" s="45">
        <f>AP19/AO19*100</f>
        <v>99.834905980585134</v>
      </c>
      <c r="AR19" s="113"/>
      <c r="AS19" s="116"/>
      <c r="AT19" s="46"/>
      <c r="AU19" s="46"/>
      <c r="AV19" s="46"/>
      <c r="AW19" s="46"/>
    </row>
    <row r="20" spans="1:49" s="26" customFormat="1" ht="48">
      <c r="A20" s="104"/>
      <c r="B20" s="107"/>
      <c r="C20" s="110"/>
      <c r="D20" s="37" t="s">
        <v>91</v>
      </c>
      <c r="E20" s="38">
        <f t="shared" si="20"/>
        <v>25.1</v>
      </c>
      <c r="F20" s="39">
        <f t="shared" si="20"/>
        <v>25.1</v>
      </c>
      <c r="G20" s="39">
        <f>F20/E20*100</f>
        <v>100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25.1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52">
        <v>0</v>
      </c>
      <c r="U20" s="52">
        <v>0</v>
      </c>
      <c r="V20" s="39">
        <v>0</v>
      </c>
      <c r="W20" s="53">
        <v>0</v>
      </c>
      <c r="X20" s="53">
        <v>25.1</v>
      </c>
      <c r="Y20" s="53">
        <v>0</v>
      </c>
      <c r="Z20" s="39">
        <v>0</v>
      </c>
      <c r="AA20" s="39">
        <v>0</v>
      </c>
      <c r="AB20" s="53">
        <v>0</v>
      </c>
      <c r="AC20" s="52">
        <v>0</v>
      </c>
      <c r="AD20" s="52">
        <v>0</v>
      </c>
      <c r="AE20" s="53">
        <v>0</v>
      </c>
      <c r="AF20" s="52">
        <v>0</v>
      </c>
      <c r="AG20" s="54">
        <v>0</v>
      </c>
      <c r="AH20" s="39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45">
        <v>0</v>
      </c>
      <c r="AQ20" s="45">
        <v>0</v>
      </c>
      <c r="AR20" s="113"/>
      <c r="AS20" s="116"/>
      <c r="AT20" s="36"/>
      <c r="AU20" s="47"/>
      <c r="AW20" s="46"/>
    </row>
    <row r="21" spans="1:49" s="26" customFormat="1" ht="24">
      <c r="A21" s="104"/>
      <c r="B21" s="107"/>
      <c r="C21" s="110"/>
      <c r="D21" s="55" t="s">
        <v>92</v>
      </c>
      <c r="E21" s="44">
        <f t="shared" si="20"/>
        <v>5410.1</v>
      </c>
      <c r="F21" s="45">
        <f t="shared" si="20"/>
        <v>5410.1</v>
      </c>
      <c r="G21" s="45">
        <f t="shared" si="0"/>
        <v>100</v>
      </c>
      <c r="H21" s="45">
        <v>0</v>
      </c>
      <c r="I21" s="45">
        <v>0</v>
      </c>
      <c r="J21" s="45">
        <v>0</v>
      </c>
      <c r="K21" s="45">
        <v>115.2</v>
      </c>
      <c r="L21" s="45">
        <v>125.2</v>
      </c>
      <c r="M21" s="45">
        <f>L21/K21*100</f>
        <v>108.68055555555556</v>
      </c>
      <c r="N21" s="45">
        <f>1019.2-350-15</f>
        <v>654.20000000000005</v>
      </c>
      <c r="O21" s="45">
        <v>636.1</v>
      </c>
      <c r="P21" s="45">
        <f>O21/N21*100</f>
        <v>97.23326199938856</v>
      </c>
      <c r="Q21" s="45">
        <v>453.1</v>
      </c>
      <c r="R21" s="45">
        <v>337.9</v>
      </c>
      <c r="S21" s="45">
        <f>R21/Q21*100</f>
        <v>74.575148973736475</v>
      </c>
      <c r="T21" s="49">
        <f>373.1+350-100</f>
        <v>623.1</v>
      </c>
      <c r="U21" s="49">
        <v>447.8</v>
      </c>
      <c r="V21" s="50">
        <f t="shared" si="21"/>
        <v>71.86647408120686</v>
      </c>
      <c r="W21" s="50">
        <v>604.5</v>
      </c>
      <c r="X21" s="50">
        <v>545</v>
      </c>
      <c r="Y21" s="50">
        <f t="shared" si="18"/>
        <v>90.157154673283699</v>
      </c>
      <c r="Z21" s="45">
        <f>555.6+70-11.3</f>
        <v>614.30000000000007</v>
      </c>
      <c r="AA21" s="45">
        <v>614.29999999999995</v>
      </c>
      <c r="AB21" s="50">
        <f t="shared" si="1"/>
        <v>99.999999999999972</v>
      </c>
      <c r="AC21" s="49">
        <f>750.2+1.7-70-243.3</f>
        <v>438.60000000000008</v>
      </c>
      <c r="AD21" s="49">
        <v>438.6</v>
      </c>
      <c r="AE21" s="50">
        <f t="shared" si="10"/>
        <v>99.999999999999986</v>
      </c>
      <c r="AF21" s="49">
        <f>280.8+243.3+11.3</f>
        <v>535.4</v>
      </c>
      <c r="AG21" s="51">
        <v>658.6</v>
      </c>
      <c r="AH21" s="45">
        <f t="shared" si="19"/>
        <v>123.01083302203961</v>
      </c>
      <c r="AI21" s="49">
        <v>453.3</v>
      </c>
      <c r="AJ21" s="49">
        <v>668</v>
      </c>
      <c r="AK21" s="49">
        <f>AJ21/AI21*100</f>
        <v>147.36377674829032</v>
      </c>
      <c r="AL21" s="49">
        <f>349.7-214.7</f>
        <v>135</v>
      </c>
      <c r="AM21" s="49">
        <v>135</v>
      </c>
      <c r="AN21" s="49">
        <f>AM21/AL21*100</f>
        <v>100</v>
      </c>
      <c r="AO21" s="49">
        <f>553.7+15+214.7</f>
        <v>783.40000000000009</v>
      </c>
      <c r="AP21" s="45">
        <v>803.6</v>
      </c>
      <c r="AQ21" s="45">
        <f>AP21/AO21*100</f>
        <v>102.57850395711003</v>
      </c>
      <c r="AR21" s="113"/>
      <c r="AS21" s="116"/>
      <c r="AT21" s="46"/>
      <c r="AU21" s="46"/>
      <c r="AV21" s="46"/>
      <c r="AW21" s="46"/>
    </row>
    <row r="22" spans="1:49" s="26" customFormat="1" ht="24">
      <c r="A22" s="105"/>
      <c r="B22" s="108"/>
      <c r="C22" s="111"/>
      <c r="D22" s="55" t="s">
        <v>93</v>
      </c>
      <c r="E22" s="44">
        <f>H22+K22+N22+Q22+T22+W22+Z22+AC22+AF22+AI22+AL22+AO22</f>
        <v>0</v>
      </c>
      <c r="F22" s="45">
        <f>I22+L22+O22+R22+U22+X22+AA22+AD22+AG22+AJ22+AM22+AP22</f>
        <v>0</v>
      </c>
      <c r="G22" s="45">
        <v>0</v>
      </c>
      <c r="H22" s="45">
        <v>0</v>
      </c>
      <c r="I22" s="45">
        <v>0</v>
      </c>
      <c r="J22" s="45">
        <v>0</v>
      </c>
      <c r="K22" s="56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50">
        <v>0</v>
      </c>
      <c r="U22" s="50">
        <v>0</v>
      </c>
      <c r="V22" s="45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45">
        <v>0</v>
      </c>
      <c r="AI22" s="45">
        <v>0</v>
      </c>
      <c r="AJ22" s="45">
        <v>0</v>
      </c>
      <c r="AK22" s="45">
        <v>0</v>
      </c>
      <c r="AL22" s="50">
        <v>0</v>
      </c>
      <c r="AM22" s="50">
        <v>0</v>
      </c>
      <c r="AN22" s="50">
        <v>0</v>
      </c>
      <c r="AO22" s="45">
        <v>0</v>
      </c>
      <c r="AP22" s="45">
        <v>0</v>
      </c>
      <c r="AQ22" s="45">
        <v>0</v>
      </c>
      <c r="AR22" s="114"/>
      <c r="AS22" s="117"/>
      <c r="AT22" s="46"/>
      <c r="AU22" s="47"/>
    </row>
    <row r="23" spans="1:49" s="26" customFormat="1" ht="12.75">
      <c r="A23" s="103" t="s">
        <v>100</v>
      </c>
      <c r="B23" s="106" t="s">
        <v>101</v>
      </c>
      <c r="C23" s="109" t="s">
        <v>102</v>
      </c>
      <c r="D23" s="43" t="s">
        <v>88</v>
      </c>
      <c r="E23" s="44">
        <f>E24+E25+E26+E27</f>
        <v>148801.1</v>
      </c>
      <c r="F23" s="45">
        <f>F24+F25+F26+F27</f>
        <v>148308</v>
      </c>
      <c r="G23" s="45">
        <f t="shared" si="0"/>
        <v>99.66861804113006</v>
      </c>
      <c r="H23" s="45">
        <f>H24+H25+H26+H27</f>
        <v>2152.5999999999995</v>
      </c>
      <c r="I23" s="45">
        <f>I24+I25+I26+I27</f>
        <v>2152.6</v>
      </c>
      <c r="J23" s="45">
        <f>I23/H23*100</f>
        <v>100.00000000000003</v>
      </c>
      <c r="K23" s="45">
        <f>K24+K25+K26+K27</f>
        <v>12717.5</v>
      </c>
      <c r="L23" s="45">
        <f>L24+L25+L26+L27</f>
        <v>12280.4</v>
      </c>
      <c r="M23" s="45">
        <f t="shared" ref="M23:M28" si="22">L23/K23*100</f>
        <v>96.56300373501081</v>
      </c>
      <c r="N23" s="45">
        <f>N24+N25+N26+N27</f>
        <v>13593.9</v>
      </c>
      <c r="O23" s="45">
        <f>O24+O25+O26+O27</f>
        <v>12365.1</v>
      </c>
      <c r="P23" s="45">
        <f t="shared" ref="P23:P28" si="23">O23/N23*100</f>
        <v>90.960651468673461</v>
      </c>
      <c r="Q23" s="45">
        <f t="shared" ref="Q23:AO23" si="24">Q24+Q25+Q26+Q27</f>
        <v>11242.5</v>
      </c>
      <c r="R23" s="45">
        <f t="shared" si="24"/>
        <v>11154.1</v>
      </c>
      <c r="S23" s="45">
        <f>R23/Q23*100</f>
        <v>99.213698020902825</v>
      </c>
      <c r="T23" s="45">
        <f t="shared" si="24"/>
        <v>12383.9</v>
      </c>
      <c r="U23" s="45">
        <f t="shared" si="24"/>
        <v>12013.5</v>
      </c>
      <c r="V23" s="45">
        <f>U23/T23*100</f>
        <v>97.009019775676492</v>
      </c>
      <c r="W23" s="45">
        <f t="shared" si="24"/>
        <v>16888.7</v>
      </c>
      <c r="X23" s="45">
        <f t="shared" si="24"/>
        <v>14849.9</v>
      </c>
      <c r="Y23" s="45">
        <f>X23/W23*100</f>
        <v>87.928022879203255</v>
      </c>
      <c r="Z23" s="45">
        <f t="shared" si="24"/>
        <v>14502.2</v>
      </c>
      <c r="AA23" s="45">
        <f t="shared" si="24"/>
        <v>14422</v>
      </c>
      <c r="AB23" s="45">
        <f>AA23/Z23*100</f>
        <v>99.446980458137375</v>
      </c>
      <c r="AC23" s="45">
        <f t="shared" si="24"/>
        <v>11969</v>
      </c>
      <c r="AD23" s="45">
        <f t="shared" si="24"/>
        <v>11880.3</v>
      </c>
      <c r="AE23" s="45">
        <f>AD23/AC23*100</f>
        <v>99.258918873757196</v>
      </c>
      <c r="AF23" s="45">
        <f t="shared" si="24"/>
        <v>11606.099999999999</v>
      </c>
      <c r="AG23" s="45">
        <f t="shared" si="24"/>
        <v>11510.4</v>
      </c>
      <c r="AH23" s="45">
        <f>AG23/AF23*100</f>
        <v>99.175433608188797</v>
      </c>
      <c r="AI23" s="45">
        <f t="shared" si="24"/>
        <v>9355.1</v>
      </c>
      <c r="AJ23" s="45">
        <f t="shared" si="24"/>
        <v>9972.7999999999993</v>
      </c>
      <c r="AK23" s="45">
        <f>AJ23/AI23*100</f>
        <v>106.60281557653045</v>
      </c>
      <c r="AL23" s="45">
        <f t="shared" si="24"/>
        <v>11142.5</v>
      </c>
      <c r="AM23" s="45">
        <f t="shared" si="24"/>
        <v>11333.4</v>
      </c>
      <c r="AN23" s="45">
        <f>AM23/AL23*100</f>
        <v>101.7132600403859</v>
      </c>
      <c r="AO23" s="45">
        <f t="shared" si="24"/>
        <v>21247.100000000002</v>
      </c>
      <c r="AP23" s="45">
        <f>SUM(AP24:AP26)</f>
        <v>24373.5</v>
      </c>
      <c r="AQ23" s="45">
        <f t="shared" ref="AQ23" si="25">AP23/AO23*100</f>
        <v>114.71447868179656</v>
      </c>
      <c r="AR23" s="112" t="s">
        <v>103</v>
      </c>
      <c r="AS23" s="118" t="s">
        <v>104</v>
      </c>
      <c r="AT23" s="46"/>
      <c r="AU23" s="47"/>
      <c r="AW23" s="46"/>
    </row>
    <row r="24" spans="1:49" s="26" customFormat="1" ht="48">
      <c r="A24" s="104"/>
      <c r="B24" s="107"/>
      <c r="C24" s="110"/>
      <c r="D24" s="48" t="s">
        <v>89</v>
      </c>
      <c r="E24" s="44">
        <f>H24+K24+N24+Q24+T24+W24+Z24+AC24+AF24+AI24+AL24+AO24</f>
        <v>0</v>
      </c>
      <c r="F24" s="45">
        <f>I24+L24+O24+R24+U24+X24+AA24+AD24+AG24+AJ24+AM24+AP24</f>
        <v>0</v>
      </c>
      <c r="G24" s="45">
        <v>0</v>
      </c>
      <c r="H24" s="45">
        <v>0</v>
      </c>
      <c r="I24" s="45">
        <v>0</v>
      </c>
      <c r="J24" s="45">
        <v>0</v>
      </c>
      <c r="K24" s="56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50">
        <v>0</v>
      </c>
      <c r="U24" s="50">
        <v>0</v>
      </c>
      <c r="V24" s="45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45">
        <v>0</v>
      </c>
      <c r="AI24" s="45">
        <v>0</v>
      </c>
      <c r="AJ24" s="45">
        <v>0</v>
      </c>
      <c r="AK24" s="45">
        <v>0</v>
      </c>
      <c r="AL24" s="50">
        <v>0</v>
      </c>
      <c r="AM24" s="50">
        <v>0</v>
      </c>
      <c r="AN24" s="50">
        <v>0</v>
      </c>
      <c r="AO24" s="45">
        <v>0</v>
      </c>
      <c r="AP24" s="45">
        <v>0</v>
      </c>
      <c r="AQ24" s="45">
        <v>0</v>
      </c>
      <c r="AR24" s="113"/>
      <c r="AS24" s="118"/>
      <c r="AT24" s="46"/>
      <c r="AU24" s="47"/>
      <c r="AW24" s="46"/>
    </row>
    <row r="25" spans="1:49" s="26" customFormat="1" ht="12.75">
      <c r="A25" s="104"/>
      <c r="B25" s="107"/>
      <c r="C25" s="110"/>
      <c r="D25" s="48" t="s">
        <v>99</v>
      </c>
      <c r="E25" s="44">
        <f>H25+K25+N25+Q25+T25+W25+Z25+AC25+AF25+AI25+AL25+AO25</f>
        <v>148801.1</v>
      </c>
      <c r="F25" s="45">
        <f>I25+L25+O25+R25+U25+X25+AA25+AD25+AG25+AJ25+AM25+AP25</f>
        <v>148308</v>
      </c>
      <c r="G25" s="45">
        <f>F25/E25*100</f>
        <v>99.66861804113006</v>
      </c>
      <c r="H25" s="45">
        <f>2742.7+940.1-1530.2</f>
        <v>2152.5999999999995</v>
      </c>
      <c r="I25" s="45">
        <v>2152.6</v>
      </c>
      <c r="J25" s="45">
        <f>I25/H25*100</f>
        <v>100.00000000000003</v>
      </c>
      <c r="K25" s="45">
        <f>7839.4+3347.9+1530.2</f>
        <v>12717.5</v>
      </c>
      <c r="L25" s="45">
        <v>12280.4</v>
      </c>
      <c r="M25" s="45">
        <f>L25/K25*100</f>
        <v>96.56300373501081</v>
      </c>
      <c r="N25" s="45">
        <f>8000.6+3086.4+2620.3-37.4-3-73</f>
        <v>13593.9</v>
      </c>
      <c r="O25" s="45">
        <v>12365.1</v>
      </c>
      <c r="P25" s="45">
        <f>O25/N25*100</f>
        <v>90.960651468673461</v>
      </c>
      <c r="Q25" s="45">
        <f>8252+2990.5</f>
        <v>11242.5</v>
      </c>
      <c r="R25" s="45">
        <v>11154.1</v>
      </c>
      <c r="S25" s="45">
        <f>R25/Q25*100</f>
        <v>99.213698020902825</v>
      </c>
      <c r="T25" s="49">
        <f>7932.3+3403.3+1040.3+8</f>
        <v>12383.9</v>
      </c>
      <c r="U25" s="49">
        <v>12013.5</v>
      </c>
      <c r="V25" s="50">
        <f t="shared" ref="V25" si="26">U25/T25*100</f>
        <v>97.009019775676492</v>
      </c>
      <c r="W25" s="45">
        <f>10260.7+3103.7+3528.8-4.5</f>
        <v>16888.7</v>
      </c>
      <c r="X25" s="50">
        <v>14849.9</v>
      </c>
      <c r="Y25" s="50">
        <f t="shared" ref="Y25" si="27">X25/W25*100</f>
        <v>87.928022879203255</v>
      </c>
      <c r="Z25" s="45">
        <f>10793.2+4153-344-100</f>
        <v>14502.2</v>
      </c>
      <c r="AA25" s="45">
        <v>14422</v>
      </c>
      <c r="AB25" s="45">
        <f>AA25/Z25*100</f>
        <v>99.446980458137375</v>
      </c>
      <c r="AC25" s="49">
        <f>7131.7+3637.3+1000+200</f>
        <v>11969</v>
      </c>
      <c r="AD25" s="49">
        <v>11880.3</v>
      </c>
      <c r="AE25" s="50">
        <f t="shared" ref="AE25" si="28">AD25/AC25*100</f>
        <v>99.258918873757196</v>
      </c>
      <c r="AF25" s="49">
        <f>7243.2+3240.6-48.4+1225.3-54.6</f>
        <v>11606.099999999999</v>
      </c>
      <c r="AG25" s="51">
        <v>11510.4</v>
      </c>
      <c r="AH25" s="45">
        <f t="shared" ref="AH25" si="29">AG25/AF25*100</f>
        <v>99.175433608188797</v>
      </c>
      <c r="AI25" s="49">
        <f>7948+3407.1-2000</f>
        <v>9355.1</v>
      </c>
      <c r="AJ25" s="49">
        <v>9972.7999999999993</v>
      </c>
      <c r="AK25" s="45">
        <f>AJ25/AI25*100</f>
        <v>106.60281557653045</v>
      </c>
      <c r="AL25" s="49">
        <f>7568.4+3574.1</f>
        <v>11142.5</v>
      </c>
      <c r="AM25" s="49">
        <v>11333.4</v>
      </c>
      <c r="AN25" s="49">
        <f>AM25/AL25*100</f>
        <v>101.7132600403859</v>
      </c>
      <c r="AO25" s="49">
        <f>12629.5+6846.6-917.6-2206.8-1691.9+4587.3+2000</f>
        <v>21247.100000000002</v>
      </c>
      <c r="AP25" s="45">
        <v>24373.5</v>
      </c>
      <c r="AQ25" s="45">
        <f>AP25/AO25*100</f>
        <v>114.71447868179656</v>
      </c>
      <c r="AR25" s="113"/>
      <c r="AS25" s="118"/>
      <c r="AT25" s="46"/>
      <c r="AU25" s="46"/>
      <c r="AV25" s="46"/>
      <c r="AW25" s="46"/>
    </row>
    <row r="26" spans="1:49" s="26" customFormat="1" ht="24">
      <c r="A26" s="104"/>
      <c r="B26" s="107"/>
      <c r="C26" s="110"/>
      <c r="D26" s="55" t="s">
        <v>92</v>
      </c>
      <c r="E26" s="44">
        <f t="shared" ref="E26:F26" si="30">H26+K26+N26+Q26+T26+W26+Z26+AC26+AF26+AI26+AL26+AO26</f>
        <v>0</v>
      </c>
      <c r="F26" s="45">
        <f t="shared" si="30"/>
        <v>0</v>
      </c>
      <c r="G26" s="45">
        <v>0</v>
      </c>
      <c r="H26" s="45">
        <v>0</v>
      </c>
      <c r="I26" s="45">
        <v>0</v>
      </c>
      <c r="J26" s="45">
        <v>0</v>
      </c>
      <c r="K26" s="56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50">
        <v>0</v>
      </c>
      <c r="U26" s="50">
        <v>0</v>
      </c>
      <c r="V26" s="45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45">
        <v>0</v>
      </c>
      <c r="AJ26" s="45">
        <v>0</v>
      </c>
      <c r="AK26" s="45">
        <v>0</v>
      </c>
      <c r="AL26" s="50">
        <v>0</v>
      </c>
      <c r="AM26" s="50">
        <v>0</v>
      </c>
      <c r="AN26" s="50">
        <v>0</v>
      </c>
      <c r="AO26" s="45">
        <v>0</v>
      </c>
      <c r="AP26" s="45">
        <v>0</v>
      </c>
      <c r="AQ26" s="45">
        <v>0</v>
      </c>
      <c r="AR26" s="113"/>
      <c r="AS26" s="118"/>
      <c r="AT26" s="46"/>
      <c r="AU26" s="47"/>
    </row>
    <row r="27" spans="1:49" s="26" customFormat="1" ht="24">
      <c r="A27" s="105"/>
      <c r="B27" s="108"/>
      <c r="C27" s="111"/>
      <c r="D27" s="55" t="s">
        <v>93</v>
      </c>
      <c r="E27" s="44">
        <f>H27+K27+N27+Q27+T27+W27+Z27+AC27+AF27+AI27+AL27+AO27</f>
        <v>0</v>
      </c>
      <c r="F27" s="45">
        <f>I27+L27+O27+R27+U27+X27+AA27+AD27+AG27+AJ27+AM27+AP27</f>
        <v>0</v>
      </c>
      <c r="G27" s="45">
        <v>0</v>
      </c>
      <c r="H27" s="45">
        <v>0</v>
      </c>
      <c r="I27" s="45">
        <v>0</v>
      </c>
      <c r="J27" s="45">
        <v>0</v>
      </c>
      <c r="K27" s="56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50">
        <v>0</v>
      </c>
      <c r="U27" s="50">
        <v>0</v>
      </c>
      <c r="V27" s="45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45">
        <v>0</v>
      </c>
      <c r="AI27" s="45">
        <v>0</v>
      </c>
      <c r="AJ27" s="45">
        <v>0</v>
      </c>
      <c r="AK27" s="45">
        <v>0</v>
      </c>
      <c r="AL27" s="50">
        <v>0</v>
      </c>
      <c r="AM27" s="50">
        <v>0</v>
      </c>
      <c r="AN27" s="50">
        <v>0</v>
      </c>
      <c r="AO27" s="45">
        <v>0</v>
      </c>
      <c r="AP27" s="45">
        <v>0</v>
      </c>
      <c r="AQ27" s="45">
        <v>0</v>
      </c>
      <c r="AR27" s="114"/>
      <c r="AS27" s="118"/>
      <c r="AT27" s="46"/>
      <c r="AU27" s="47"/>
    </row>
    <row r="28" spans="1:49" s="26" customFormat="1" ht="12.75">
      <c r="A28" s="103" t="s">
        <v>105</v>
      </c>
      <c r="B28" s="106" t="s">
        <v>106</v>
      </c>
      <c r="C28" s="109" t="s">
        <v>107</v>
      </c>
      <c r="D28" s="43" t="s">
        <v>88</v>
      </c>
      <c r="E28" s="44">
        <f>SUM(E29:E30)</f>
        <v>11600.4</v>
      </c>
      <c r="F28" s="45">
        <f>SUM(F29:F30)</f>
        <v>11600.4</v>
      </c>
      <c r="G28" s="45">
        <f>F28/E28*100</f>
        <v>100</v>
      </c>
      <c r="H28" s="45">
        <f>SUM(H29:H30)</f>
        <v>453</v>
      </c>
      <c r="I28" s="45">
        <f>SUM(I29:I30)</f>
        <v>452.9</v>
      </c>
      <c r="J28" s="45">
        <f t="shared" ref="J28:J33" si="31">I28/H28*100</f>
        <v>99.977924944812358</v>
      </c>
      <c r="K28" s="45">
        <f>SUM(K29:K30)</f>
        <v>449.3</v>
      </c>
      <c r="L28" s="45">
        <f>SUM(L29:L30)</f>
        <v>449.3</v>
      </c>
      <c r="M28" s="45">
        <f t="shared" si="22"/>
        <v>100</v>
      </c>
      <c r="N28" s="45">
        <f>SUM(N29:N30)</f>
        <v>449.3</v>
      </c>
      <c r="O28" s="45">
        <f>SUM(O29:O30)</f>
        <v>449.3</v>
      </c>
      <c r="P28" s="45">
        <f t="shared" si="23"/>
        <v>100</v>
      </c>
      <c r="Q28" s="45">
        <f>SUM(Q29:Q30)</f>
        <v>449.3</v>
      </c>
      <c r="R28" s="45">
        <f>SUM(R29:R30)</f>
        <v>449.4</v>
      </c>
      <c r="S28" s="45">
        <f t="shared" ref="S28" si="32">R28/Q28*100</f>
        <v>100.02225684397952</v>
      </c>
      <c r="T28" s="45">
        <f>SUM(T29:T30)</f>
        <v>490.20000000000005</v>
      </c>
      <c r="U28" s="45">
        <f>SUM(U29:U30)</f>
        <v>490.2</v>
      </c>
      <c r="V28" s="45">
        <f>U28/T28*100</f>
        <v>99.999999999999986</v>
      </c>
      <c r="W28" s="45">
        <f t="shared" ref="W28:AD28" si="33">SUM(W29:W30)</f>
        <v>472</v>
      </c>
      <c r="X28" s="45">
        <f t="shared" si="33"/>
        <v>472</v>
      </c>
      <c r="Y28" s="45">
        <f>X28/W28*100</f>
        <v>100</v>
      </c>
      <c r="Z28" s="45">
        <f t="shared" si="33"/>
        <v>4590</v>
      </c>
      <c r="AA28" s="45">
        <f t="shared" si="33"/>
        <v>3993.5</v>
      </c>
      <c r="AB28" s="45">
        <f>AA28/Z28*100</f>
        <v>87.004357298474943</v>
      </c>
      <c r="AC28" s="45">
        <f t="shared" si="33"/>
        <v>1590</v>
      </c>
      <c r="AD28" s="45">
        <f t="shared" si="33"/>
        <v>975</v>
      </c>
      <c r="AE28" s="45">
        <f t="shared" si="10"/>
        <v>61.320754716981128</v>
      </c>
      <c r="AF28" s="45">
        <f t="shared" ref="AF28:AP28" si="34">SUM(AF29:AF30)</f>
        <v>1590</v>
      </c>
      <c r="AG28" s="45">
        <f t="shared" si="34"/>
        <v>970.4</v>
      </c>
      <c r="AH28" s="45">
        <f t="shared" ref="AH28" si="35">AG28/AF28*100</f>
        <v>61.031446540880495</v>
      </c>
      <c r="AI28" s="45">
        <f t="shared" si="34"/>
        <v>366.5</v>
      </c>
      <c r="AJ28" s="45">
        <f t="shared" si="34"/>
        <v>959</v>
      </c>
      <c r="AK28" s="45">
        <f>AJ28/AI28*100</f>
        <v>261.66439290586629</v>
      </c>
      <c r="AL28" s="45">
        <f t="shared" si="34"/>
        <v>366.5</v>
      </c>
      <c r="AM28" s="45">
        <f t="shared" si="34"/>
        <v>973.3</v>
      </c>
      <c r="AN28" s="45">
        <f>AM28/AL28*100</f>
        <v>265.56616643929061</v>
      </c>
      <c r="AO28" s="45">
        <f t="shared" si="34"/>
        <v>334.3</v>
      </c>
      <c r="AP28" s="45">
        <f t="shared" si="34"/>
        <v>966.1</v>
      </c>
      <c r="AQ28" s="45">
        <f>AP28/AO28*100</f>
        <v>288.99192342207596</v>
      </c>
      <c r="AR28" s="112" t="s">
        <v>108</v>
      </c>
      <c r="AS28" s="112"/>
      <c r="AT28" s="46"/>
      <c r="AU28" s="47"/>
      <c r="AW28" s="46"/>
    </row>
    <row r="29" spans="1:49" s="26" customFormat="1" ht="48">
      <c r="A29" s="104"/>
      <c r="B29" s="107"/>
      <c r="C29" s="110"/>
      <c r="D29" s="48" t="s">
        <v>89</v>
      </c>
      <c r="E29" s="44">
        <f>H29+K29+N29+Q29+T29+W29+Z29+AC29+AF29+AI29+AL29+AO29</f>
        <v>0</v>
      </c>
      <c r="F29" s="45">
        <f>I29+L29+O29+R29+U29+X29+AA29+AD29+AG29+AJ29+AM29+AP29</f>
        <v>0</v>
      </c>
      <c r="G29" s="45">
        <v>0</v>
      </c>
      <c r="H29" s="45">
        <v>0</v>
      </c>
      <c r="I29" s="45">
        <v>0</v>
      </c>
      <c r="J29" s="45">
        <v>0</v>
      </c>
      <c r="K29" s="56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50">
        <v>0</v>
      </c>
      <c r="U29" s="50">
        <v>0</v>
      </c>
      <c r="V29" s="45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45">
        <v>0</v>
      </c>
      <c r="AJ29" s="45">
        <v>0</v>
      </c>
      <c r="AK29" s="45">
        <v>0</v>
      </c>
      <c r="AL29" s="50">
        <v>0</v>
      </c>
      <c r="AM29" s="50">
        <v>0</v>
      </c>
      <c r="AN29" s="50">
        <v>0</v>
      </c>
      <c r="AO29" s="45">
        <v>0</v>
      </c>
      <c r="AP29" s="45">
        <v>0</v>
      </c>
      <c r="AQ29" s="45">
        <v>0</v>
      </c>
      <c r="AR29" s="113"/>
      <c r="AS29" s="113"/>
      <c r="AT29" s="46"/>
      <c r="AU29" s="47"/>
      <c r="AW29" s="46"/>
    </row>
    <row r="30" spans="1:49" s="26" customFormat="1" ht="12.75">
      <c r="A30" s="104"/>
      <c r="B30" s="107"/>
      <c r="C30" s="110"/>
      <c r="D30" s="48" t="s">
        <v>99</v>
      </c>
      <c r="E30" s="44">
        <f t="shared" ref="E30:F31" si="36">H30+K30+N30+Q30+T30+W30+Z30+AC30+AF30+AI30+AL30+AO30</f>
        <v>11600.4</v>
      </c>
      <c r="F30" s="45">
        <f t="shared" si="36"/>
        <v>11600.4</v>
      </c>
      <c r="G30" s="45">
        <f>F30/E30*100</f>
        <v>100</v>
      </c>
      <c r="H30" s="45">
        <v>453</v>
      </c>
      <c r="I30" s="45">
        <v>452.9</v>
      </c>
      <c r="J30" s="45">
        <f>I30/H30*100</f>
        <v>99.977924944812358</v>
      </c>
      <c r="K30" s="45">
        <v>449.3</v>
      </c>
      <c r="L30" s="45">
        <v>449.3</v>
      </c>
      <c r="M30" s="45">
        <f>L30/K30*100</f>
        <v>100</v>
      </c>
      <c r="N30" s="45">
        <v>449.3</v>
      </c>
      <c r="O30" s="45">
        <v>449.3</v>
      </c>
      <c r="P30" s="45">
        <f>O30/N30*100</f>
        <v>100</v>
      </c>
      <c r="Q30" s="45">
        <f>466.5-17.2</f>
        <v>449.3</v>
      </c>
      <c r="R30" s="45">
        <v>449.4</v>
      </c>
      <c r="S30" s="45">
        <f>R30/Q30*100</f>
        <v>100.02225684397952</v>
      </c>
      <c r="T30" s="49">
        <f>466.5+12.1+11.6</f>
        <v>490.20000000000005</v>
      </c>
      <c r="U30" s="49">
        <v>490.2</v>
      </c>
      <c r="V30" s="45">
        <f>U30/T30*100</f>
        <v>99.999999999999986</v>
      </c>
      <c r="W30" s="50">
        <f>466.4+5.6</f>
        <v>472</v>
      </c>
      <c r="X30" s="50">
        <v>472</v>
      </c>
      <c r="Y30" s="50">
        <f t="shared" ref="Y30" si="37">X30/W30*100</f>
        <v>100</v>
      </c>
      <c r="Z30" s="45">
        <f>466.5+2123.5+1000+1000</f>
        <v>4590</v>
      </c>
      <c r="AA30" s="45">
        <v>3993.5</v>
      </c>
      <c r="AB30" s="45">
        <f>AA30/Z30*100</f>
        <v>87.004357298474943</v>
      </c>
      <c r="AC30" s="49">
        <f>466.5+2123.5-1000</f>
        <v>1590</v>
      </c>
      <c r="AD30" s="49">
        <v>975</v>
      </c>
      <c r="AE30" s="50">
        <f t="shared" ref="AE30" si="38">AD30/AC30*100</f>
        <v>61.320754716981128</v>
      </c>
      <c r="AF30" s="49">
        <f>466.4+2123.6-1000</f>
        <v>1590</v>
      </c>
      <c r="AG30" s="51">
        <v>970.4</v>
      </c>
      <c r="AH30" s="45">
        <f t="shared" ref="AH30" si="39">AG30/AF30*100</f>
        <v>61.031446540880495</v>
      </c>
      <c r="AI30" s="49">
        <v>366.5</v>
      </c>
      <c r="AJ30" s="49">
        <v>959</v>
      </c>
      <c r="AK30" s="49">
        <f>AJ30/AI30*100</f>
        <v>261.66439290586629</v>
      </c>
      <c r="AL30" s="49">
        <v>366.5</v>
      </c>
      <c r="AM30" s="49">
        <v>973.3</v>
      </c>
      <c r="AN30" s="49">
        <f>AM30/AL30*100</f>
        <v>265.56616643929061</v>
      </c>
      <c r="AO30" s="49">
        <f>452.7-12.2-106.2</f>
        <v>334.3</v>
      </c>
      <c r="AP30" s="45">
        <v>966.1</v>
      </c>
      <c r="AQ30" s="45">
        <f>AP30/AO30*100</f>
        <v>288.99192342207596</v>
      </c>
      <c r="AR30" s="113"/>
      <c r="AS30" s="113"/>
      <c r="AT30" s="46"/>
      <c r="AU30" s="46"/>
      <c r="AV30" s="46"/>
      <c r="AW30" s="46"/>
    </row>
    <row r="31" spans="1:49" s="26" customFormat="1" ht="24">
      <c r="A31" s="104"/>
      <c r="B31" s="107"/>
      <c r="C31" s="110"/>
      <c r="D31" s="55" t="s">
        <v>92</v>
      </c>
      <c r="E31" s="44">
        <f t="shared" si="36"/>
        <v>0</v>
      </c>
      <c r="F31" s="45">
        <f t="shared" si="36"/>
        <v>0</v>
      </c>
      <c r="G31" s="45">
        <v>0</v>
      </c>
      <c r="H31" s="45">
        <v>0</v>
      </c>
      <c r="I31" s="45">
        <v>0</v>
      </c>
      <c r="J31" s="45">
        <v>0</v>
      </c>
      <c r="K31" s="56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50">
        <v>0</v>
      </c>
      <c r="U31" s="50">
        <v>0</v>
      </c>
      <c r="V31" s="45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45">
        <v>0</v>
      </c>
      <c r="AJ31" s="45">
        <v>0</v>
      </c>
      <c r="AK31" s="45">
        <v>0</v>
      </c>
      <c r="AL31" s="50">
        <v>0</v>
      </c>
      <c r="AM31" s="50">
        <v>0</v>
      </c>
      <c r="AN31" s="50">
        <v>0</v>
      </c>
      <c r="AO31" s="45">
        <v>0</v>
      </c>
      <c r="AP31" s="45">
        <v>0</v>
      </c>
      <c r="AQ31" s="45">
        <v>0</v>
      </c>
      <c r="AR31" s="113"/>
      <c r="AS31" s="113"/>
      <c r="AT31" s="46"/>
      <c r="AU31" s="47"/>
      <c r="AW31" s="46"/>
    </row>
    <row r="32" spans="1:49" s="26" customFormat="1" ht="24">
      <c r="A32" s="105"/>
      <c r="B32" s="108"/>
      <c r="C32" s="111"/>
      <c r="D32" s="55" t="s">
        <v>93</v>
      </c>
      <c r="E32" s="44">
        <f>H32+K32+N32+Q32+T32+W32+Z32+AC32+AF32+AI32+AL32+AO32</f>
        <v>0</v>
      </c>
      <c r="F32" s="45">
        <f>I32+L32+O32+R32+U32+X32+AA32+AD32+AG32+AJ32+AM32+AP32</f>
        <v>0</v>
      </c>
      <c r="G32" s="45">
        <v>0</v>
      </c>
      <c r="H32" s="45">
        <v>0</v>
      </c>
      <c r="I32" s="45">
        <v>0</v>
      </c>
      <c r="J32" s="45">
        <v>0</v>
      </c>
      <c r="K32" s="56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50">
        <v>0</v>
      </c>
      <c r="U32" s="50">
        <v>0</v>
      </c>
      <c r="V32" s="45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45">
        <v>0</v>
      </c>
      <c r="AI32" s="45">
        <v>0</v>
      </c>
      <c r="AJ32" s="45">
        <v>0</v>
      </c>
      <c r="AK32" s="45">
        <v>0</v>
      </c>
      <c r="AL32" s="50">
        <v>0</v>
      </c>
      <c r="AM32" s="50">
        <v>0</v>
      </c>
      <c r="AN32" s="50">
        <v>0</v>
      </c>
      <c r="AO32" s="45">
        <v>0</v>
      </c>
      <c r="AP32" s="45">
        <v>0</v>
      </c>
      <c r="AQ32" s="45">
        <v>0</v>
      </c>
      <c r="AR32" s="114"/>
      <c r="AS32" s="114"/>
      <c r="AT32" s="46"/>
      <c r="AU32" s="47"/>
    </row>
    <row r="33" spans="1:49" s="26" customFormat="1" ht="12.75">
      <c r="A33" s="103" t="s">
        <v>109</v>
      </c>
      <c r="B33" s="106" t="s">
        <v>110</v>
      </c>
      <c r="C33" s="109" t="s">
        <v>111</v>
      </c>
      <c r="D33" s="43" t="s">
        <v>88</v>
      </c>
      <c r="E33" s="44">
        <f>SUM(E34:E36)</f>
        <v>15317.8</v>
      </c>
      <c r="F33" s="45">
        <f t="shared" ref="F33:O33" si="40">SUM(F34:F36)</f>
        <v>15053.6</v>
      </c>
      <c r="G33" s="45">
        <f>F33/E33*100</f>
        <v>98.275209233701972</v>
      </c>
      <c r="H33" s="45">
        <f t="shared" si="40"/>
        <v>86</v>
      </c>
      <c r="I33" s="45">
        <f t="shared" si="40"/>
        <v>30.4</v>
      </c>
      <c r="J33" s="45">
        <f t="shared" si="31"/>
        <v>35.348837209302324</v>
      </c>
      <c r="K33" s="45">
        <f t="shared" si="40"/>
        <v>247.10000000000002</v>
      </c>
      <c r="L33" s="45">
        <f t="shared" si="40"/>
        <v>241.6</v>
      </c>
      <c r="M33" s="45">
        <f t="shared" ref="M33" si="41">L33/K33*100</f>
        <v>97.774180493727229</v>
      </c>
      <c r="N33" s="45">
        <f t="shared" si="40"/>
        <v>1179.0999999999999</v>
      </c>
      <c r="O33" s="45">
        <f t="shared" si="40"/>
        <v>940.4</v>
      </c>
      <c r="P33" s="45">
        <f t="shared" ref="P33" si="42">O33/N33*100</f>
        <v>79.755745907895857</v>
      </c>
      <c r="Q33" s="45">
        <f t="shared" ref="Q33:AA33" si="43">SUM(Q34:Q36)</f>
        <v>769.5</v>
      </c>
      <c r="R33" s="45">
        <f t="shared" si="43"/>
        <v>672.6</v>
      </c>
      <c r="S33" s="45">
        <f t="shared" ref="S33" si="44">R33/Q33*100</f>
        <v>87.407407407407405</v>
      </c>
      <c r="T33" s="45">
        <f t="shared" si="43"/>
        <v>1297.5999999999999</v>
      </c>
      <c r="U33" s="45">
        <f t="shared" si="43"/>
        <v>1207.6999999999998</v>
      </c>
      <c r="V33" s="50">
        <f t="shared" ref="V33:V35" si="45">U33/T33*100</f>
        <v>93.071824907521574</v>
      </c>
      <c r="W33" s="45">
        <f t="shared" si="43"/>
        <v>2795.4</v>
      </c>
      <c r="X33" s="45">
        <f t="shared" si="43"/>
        <v>2415.8000000000002</v>
      </c>
      <c r="Y33" s="50">
        <f t="shared" ref="Y33:Y35" si="46">X33/W33*100</f>
        <v>86.420548043213856</v>
      </c>
      <c r="Z33" s="45">
        <f t="shared" si="43"/>
        <v>2283.6999999999998</v>
      </c>
      <c r="AA33" s="45">
        <f t="shared" si="43"/>
        <v>2116.1</v>
      </c>
      <c r="AB33" s="50">
        <f t="shared" ref="AB33:AB35" si="47">AA33/Z33*100</f>
        <v>92.661032534921404</v>
      </c>
      <c r="AC33" s="45">
        <f t="shared" ref="AC33:AP33" si="48">SUM(AC34:AC36)</f>
        <v>2199.9</v>
      </c>
      <c r="AD33" s="45">
        <f t="shared" si="48"/>
        <v>2097.1</v>
      </c>
      <c r="AE33" s="45">
        <f t="shared" si="10"/>
        <v>95.327060320923678</v>
      </c>
      <c r="AF33" s="45">
        <f t="shared" si="48"/>
        <v>2288.6999999999998</v>
      </c>
      <c r="AG33" s="45">
        <f t="shared" si="48"/>
        <v>2245.7000000000003</v>
      </c>
      <c r="AH33" s="45">
        <f t="shared" ref="AH33:AH35" si="49">AG33/AF33*100</f>
        <v>98.121204177043751</v>
      </c>
      <c r="AI33" s="45">
        <f t="shared" si="48"/>
        <v>957.49999999999989</v>
      </c>
      <c r="AJ33" s="45">
        <f t="shared" si="48"/>
        <v>1274.0999999999999</v>
      </c>
      <c r="AK33" s="45">
        <f>AJ33/AI33*100</f>
        <v>133.06527415143603</v>
      </c>
      <c r="AL33" s="45">
        <f t="shared" si="48"/>
        <v>663.59999999999991</v>
      </c>
      <c r="AM33" s="45">
        <f t="shared" si="48"/>
        <v>887.8</v>
      </c>
      <c r="AN33" s="50">
        <f>AM33/AL33*100</f>
        <v>133.78541289933696</v>
      </c>
      <c r="AO33" s="45">
        <f t="shared" si="48"/>
        <v>549.70000000000005</v>
      </c>
      <c r="AP33" s="45">
        <f t="shared" si="48"/>
        <v>924.3</v>
      </c>
      <c r="AQ33" s="45">
        <f>AP33/AO33*100</f>
        <v>168.14626159723483</v>
      </c>
      <c r="AR33" s="112" t="s">
        <v>112</v>
      </c>
      <c r="AS33" s="112" t="s">
        <v>113</v>
      </c>
      <c r="AT33" s="46"/>
      <c r="AU33" s="47"/>
      <c r="AW33" s="46"/>
    </row>
    <row r="34" spans="1:49" s="26" customFormat="1" ht="48">
      <c r="A34" s="104"/>
      <c r="B34" s="107"/>
      <c r="C34" s="110"/>
      <c r="D34" s="48" t="s">
        <v>89</v>
      </c>
      <c r="E34" s="44">
        <f>H34+K34+N34+Q34+T34+W34+Z34+AC34+AF34+AI34+AL34+AO34</f>
        <v>8600.4</v>
      </c>
      <c r="F34" s="45">
        <f>I34+L34+O34+R34+U34+X34+AA34+AD34+AG34+AJ34+AM34+AP34</f>
        <v>8559.4</v>
      </c>
      <c r="G34" s="45">
        <f>F34/E34*100</f>
        <v>99.523277987070372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f>82+145.8+196-145.8</f>
        <v>278</v>
      </c>
      <c r="O34" s="45">
        <v>131.9</v>
      </c>
      <c r="P34" s="45">
        <f>O34/N34*100</f>
        <v>47.446043165467628</v>
      </c>
      <c r="Q34" s="45">
        <f>147.1+327+111.3-280</f>
        <v>305.39999999999998</v>
      </c>
      <c r="R34" s="45">
        <v>208.5</v>
      </c>
      <c r="S34" s="45">
        <f>R34/Q34*100</f>
        <v>68.27111984282908</v>
      </c>
      <c r="T34" s="49">
        <f>147.1+327+111.3+125</f>
        <v>710.4</v>
      </c>
      <c r="U34" s="49">
        <v>604.79999999999995</v>
      </c>
      <c r="V34" s="50">
        <f t="shared" si="45"/>
        <v>85.13513513513513</v>
      </c>
      <c r="W34" s="50">
        <f>247.2+20+328.3+315.2+500-241.6</f>
        <v>1169.1000000000001</v>
      </c>
      <c r="X34" s="50">
        <v>786.7</v>
      </c>
      <c r="Y34" s="50">
        <f t="shared" si="46"/>
        <v>67.291078607475825</v>
      </c>
      <c r="Z34" s="45">
        <f>238.2+13+450.2+308.2+500-300</f>
        <v>1209.5999999999999</v>
      </c>
      <c r="AA34" s="45">
        <v>1174.2</v>
      </c>
      <c r="AB34" s="50">
        <f t="shared" si="47"/>
        <v>97.07341269841271</v>
      </c>
      <c r="AC34" s="49">
        <f>238.3+27+450.2+394.5+500-100-6.2</f>
        <v>1503.8</v>
      </c>
      <c r="AD34" s="49">
        <v>1428.6</v>
      </c>
      <c r="AE34" s="50">
        <f t="shared" si="10"/>
        <v>94.999335017954508</v>
      </c>
      <c r="AF34" s="49">
        <f>238.3+450.2+322.2+20.8+500+11.8+400</f>
        <v>1943.3</v>
      </c>
      <c r="AG34" s="51">
        <v>1900.9</v>
      </c>
      <c r="AH34" s="45">
        <f t="shared" si="49"/>
        <v>97.818144393557361</v>
      </c>
      <c r="AI34" s="49">
        <f>238.3+80+173.7+106.3-44.2</f>
        <v>554.09999999999991</v>
      </c>
      <c r="AJ34" s="49">
        <v>854</v>
      </c>
      <c r="AK34" s="49">
        <f>AJ34/AI34*100</f>
        <v>154.12380436744272</v>
      </c>
      <c r="AL34" s="49">
        <f>430.1+20+173.7+106.3-136.3</f>
        <v>593.79999999999995</v>
      </c>
      <c r="AM34" s="49">
        <v>818</v>
      </c>
      <c r="AN34" s="49">
        <f>AM34/AL34*100</f>
        <v>137.75682047827553</v>
      </c>
      <c r="AO34" s="49">
        <f>50+173.9+120.8-11.8</f>
        <v>332.9</v>
      </c>
      <c r="AP34" s="45">
        <v>651.79999999999995</v>
      </c>
      <c r="AQ34" s="45">
        <f>AP34/AO34*100</f>
        <v>195.7945328927606</v>
      </c>
      <c r="AR34" s="113"/>
      <c r="AS34" s="113"/>
      <c r="AT34" s="46"/>
      <c r="AU34" s="46"/>
      <c r="AV34" s="46"/>
      <c r="AW34" s="46"/>
    </row>
    <row r="35" spans="1:49" s="26" customFormat="1" ht="12.75">
      <c r="A35" s="104"/>
      <c r="B35" s="107"/>
      <c r="C35" s="110"/>
      <c r="D35" s="48" t="s">
        <v>99</v>
      </c>
      <c r="E35" s="44">
        <f t="shared" ref="E35:F36" si="50">H35+K35+N35+Q35+T35+W35+Z35+AC35+AF35+AI35+AL35+AO35</f>
        <v>6717.4</v>
      </c>
      <c r="F35" s="45">
        <f t="shared" si="50"/>
        <v>6494.2000000000007</v>
      </c>
      <c r="G35" s="45">
        <f>F35/E35*100</f>
        <v>96.677285854646158</v>
      </c>
      <c r="H35" s="45">
        <f>10+76</f>
        <v>86</v>
      </c>
      <c r="I35" s="45">
        <v>30.4</v>
      </c>
      <c r="J35" s="45">
        <f>I35/H35*100</f>
        <v>35.348837209302324</v>
      </c>
      <c r="K35" s="45">
        <f>92.1+325-170</f>
        <v>247.10000000000002</v>
      </c>
      <c r="L35" s="45">
        <v>241.6</v>
      </c>
      <c r="M35" s="45">
        <f>L35/K35*100</f>
        <v>97.774180493727229</v>
      </c>
      <c r="N35" s="45">
        <f>144.2+39.9+80+467+170</f>
        <v>901.1</v>
      </c>
      <c r="O35" s="45">
        <v>808.5</v>
      </c>
      <c r="P35" s="45">
        <f>O35/N35*100</f>
        <v>89.723671068693818</v>
      </c>
      <c r="Q35" s="45">
        <f>312.4+39.9+150-38.2</f>
        <v>464.09999999999997</v>
      </c>
      <c r="R35" s="45">
        <v>464.1</v>
      </c>
      <c r="S35" s="45">
        <f>R35/Q35*100</f>
        <v>100.00000000000003</v>
      </c>
      <c r="T35" s="49">
        <f>286.4+39.9+171+38.2+51.7</f>
        <v>587.20000000000005</v>
      </c>
      <c r="U35" s="49">
        <v>602.9</v>
      </c>
      <c r="V35" s="50">
        <f t="shared" si="45"/>
        <v>102.67370572207084</v>
      </c>
      <c r="W35" s="50">
        <f>286.4+22.6+151+536.3+684.5-51.7-2.8</f>
        <v>1626.3</v>
      </c>
      <c r="X35" s="50">
        <v>1629.1</v>
      </c>
      <c r="Y35" s="50">
        <f t="shared" si="46"/>
        <v>100.17216995634261</v>
      </c>
      <c r="Z35" s="45">
        <f>355.5+29.3+244+540.2-2-92.9</f>
        <v>1074.0999999999999</v>
      </c>
      <c r="AA35" s="45">
        <v>941.9</v>
      </c>
      <c r="AB35" s="50">
        <f t="shared" si="47"/>
        <v>87.692021227073838</v>
      </c>
      <c r="AC35" s="49">
        <f>323.5+273+540.4-8.1-596.5+163.8</f>
        <v>696.10000000000014</v>
      </c>
      <c r="AD35" s="49">
        <v>668.5</v>
      </c>
      <c r="AE35" s="50">
        <f t="shared" si="10"/>
        <v>96.035052434994952</v>
      </c>
      <c r="AF35" s="49">
        <f>285.4+298-240+2</f>
        <v>345.4</v>
      </c>
      <c r="AG35" s="51">
        <v>344.8</v>
      </c>
      <c r="AH35" s="45">
        <f t="shared" si="49"/>
        <v>99.826288361320209</v>
      </c>
      <c r="AI35" s="49">
        <f>297.4+197.9+8.1-100</f>
        <v>403.4</v>
      </c>
      <c r="AJ35" s="49">
        <v>420.1</v>
      </c>
      <c r="AK35" s="49">
        <f>AJ35/AI35*100</f>
        <v>104.1398116013882</v>
      </c>
      <c r="AL35" s="49">
        <f>260.4+160-88-136.9-125.7</f>
        <v>69.799999999999969</v>
      </c>
      <c r="AM35" s="49">
        <v>69.8</v>
      </c>
      <c r="AN35" s="49">
        <f>AM35/AL35*100</f>
        <v>100.00000000000004</v>
      </c>
      <c r="AO35" s="49">
        <f>436.3+45.8-227.1-163.8+125.6</f>
        <v>216.8</v>
      </c>
      <c r="AP35" s="45">
        <v>272.5</v>
      </c>
      <c r="AQ35" s="45">
        <f>AP35/AO35*100</f>
        <v>125.69188191881918</v>
      </c>
      <c r="AR35" s="113"/>
      <c r="AS35" s="113"/>
      <c r="AT35" s="46"/>
      <c r="AU35" s="46"/>
      <c r="AV35" s="46"/>
      <c r="AW35" s="46"/>
    </row>
    <row r="36" spans="1:49" s="26" customFormat="1" ht="24">
      <c r="A36" s="104"/>
      <c r="B36" s="107"/>
      <c r="C36" s="110"/>
      <c r="D36" s="55" t="s">
        <v>92</v>
      </c>
      <c r="E36" s="44">
        <f t="shared" si="50"/>
        <v>0</v>
      </c>
      <c r="F36" s="45">
        <f t="shared" si="50"/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45">
        <v>0</v>
      </c>
      <c r="AA36" s="45">
        <v>0</v>
      </c>
      <c r="AB36" s="45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45">
        <v>0</v>
      </c>
      <c r="AJ36" s="45">
        <v>0</v>
      </c>
      <c r="AK36" s="45">
        <v>0</v>
      </c>
      <c r="AL36" s="50">
        <v>0</v>
      </c>
      <c r="AM36" s="50">
        <v>0</v>
      </c>
      <c r="AN36" s="50">
        <v>0</v>
      </c>
      <c r="AO36" s="50">
        <v>0</v>
      </c>
      <c r="AP36" s="45">
        <v>0</v>
      </c>
      <c r="AQ36" s="45">
        <v>0</v>
      </c>
      <c r="AR36" s="113"/>
      <c r="AS36" s="113"/>
      <c r="AT36" s="46"/>
      <c r="AU36" s="47"/>
      <c r="AW36" s="46"/>
    </row>
    <row r="37" spans="1:49" s="26" customFormat="1" ht="24">
      <c r="A37" s="105"/>
      <c r="B37" s="108"/>
      <c r="C37" s="111"/>
      <c r="D37" s="55" t="s">
        <v>93</v>
      </c>
      <c r="E37" s="44">
        <f>H37+K37+N37+Q37+T37+W37+Z37+AC37+AF37+AI37+AL37+AO37</f>
        <v>0</v>
      </c>
      <c r="F37" s="45">
        <f>I37+L37+O37+R37+U37+X37+AA37+AD37+AG37+AJ37+AM37+AP37</f>
        <v>0</v>
      </c>
      <c r="G37" s="45">
        <v>0</v>
      </c>
      <c r="H37" s="45">
        <v>0</v>
      </c>
      <c r="I37" s="45">
        <v>0</v>
      </c>
      <c r="J37" s="45">
        <v>0</v>
      </c>
      <c r="K37" s="56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50">
        <v>0</v>
      </c>
      <c r="U37" s="50">
        <v>0</v>
      </c>
      <c r="V37" s="45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45">
        <v>0</v>
      </c>
      <c r="AI37" s="45">
        <v>0</v>
      </c>
      <c r="AJ37" s="45">
        <v>0</v>
      </c>
      <c r="AK37" s="45">
        <v>0</v>
      </c>
      <c r="AL37" s="50">
        <v>0</v>
      </c>
      <c r="AM37" s="50">
        <v>0</v>
      </c>
      <c r="AN37" s="50">
        <v>0</v>
      </c>
      <c r="AO37" s="45">
        <v>0</v>
      </c>
      <c r="AP37" s="45">
        <v>0</v>
      </c>
      <c r="AQ37" s="45">
        <v>0</v>
      </c>
      <c r="AR37" s="114"/>
      <c r="AS37" s="114"/>
      <c r="AT37" s="46"/>
      <c r="AU37" s="47"/>
    </row>
    <row r="38" spans="1:49" s="26" customFormat="1" ht="12.75">
      <c r="A38" s="103" t="s">
        <v>114</v>
      </c>
      <c r="B38" s="106" t="s">
        <v>115</v>
      </c>
      <c r="C38" s="109" t="s">
        <v>116</v>
      </c>
      <c r="D38" s="43" t="s">
        <v>88</v>
      </c>
      <c r="E38" s="44">
        <f>SUM(E39:E40)</f>
        <v>15078.099999999997</v>
      </c>
      <c r="F38" s="45">
        <f>SUM(F39:F40)</f>
        <v>10479.1</v>
      </c>
      <c r="G38" s="45">
        <f>F38/E38*100</f>
        <v>69.498809531704936</v>
      </c>
      <c r="H38" s="45">
        <f>SUM(H39:H40)</f>
        <v>94.5</v>
      </c>
      <c r="I38" s="45">
        <f>SUM(I39:I40)</f>
        <v>94.5</v>
      </c>
      <c r="J38" s="45">
        <f>I38/H38*100</f>
        <v>100</v>
      </c>
      <c r="K38" s="45">
        <f>SUM(K39:K40)</f>
        <v>154.70000000000002</v>
      </c>
      <c r="L38" s="45">
        <f>SUM(L39:L40)</f>
        <v>134.9</v>
      </c>
      <c r="M38" s="45">
        <f>L38/K38*100</f>
        <v>87.201034259857778</v>
      </c>
      <c r="N38" s="45">
        <f>SUM(N39:N40)</f>
        <v>440.6</v>
      </c>
      <c r="O38" s="45">
        <f>SUM(O39:O40)</f>
        <v>391.9</v>
      </c>
      <c r="P38" s="45">
        <f>O38/N38*100</f>
        <v>88.946890603722181</v>
      </c>
      <c r="Q38" s="45">
        <f>SUM(Q39:Q40)</f>
        <v>1839.8</v>
      </c>
      <c r="R38" s="45">
        <f>SUM(R39:R40)</f>
        <v>592.79999999999995</v>
      </c>
      <c r="S38" s="45">
        <f>R38/Q38*100</f>
        <v>32.220893575388629</v>
      </c>
      <c r="T38" s="45">
        <f>SUM(T39:T40)</f>
        <v>2281.2000000000003</v>
      </c>
      <c r="U38" s="45">
        <f>SUM(U39:U40)</f>
        <v>2117.6999999999998</v>
      </c>
      <c r="V38" s="45">
        <f>U38/T38*100</f>
        <v>92.832719621251954</v>
      </c>
      <c r="W38" s="45">
        <f>SUM(W39:W40)</f>
        <v>2840.5000000000005</v>
      </c>
      <c r="X38" s="45">
        <f>SUM(X39:X40)</f>
        <v>1481.3</v>
      </c>
      <c r="Y38" s="50">
        <f>X38/W38*100</f>
        <v>52.149269494807236</v>
      </c>
      <c r="Z38" s="45">
        <f>SUM(Z39:Z40)</f>
        <v>1234.8</v>
      </c>
      <c r="AA38" s="45">
        <f>SUM(AA39:AA40)</f>
        <v>1930.2</v>
      </c>
      <c r="AB38" s="45">
        <f>AA38/Z38*100</f>
        <v>156.31681243926144</v>
      </c>
      <c r="AC38" s="45">
        <f>SUM(AC39:AC40)</f>
        <v>350.79999999999995</v>
      </c>
      <c r="AD38" s="45">
        <f>SUM(AD39:AD40)</f>
        <v>260.89999999999998</v>
      </c>
      <c r="AE38" s="50">
        <f>AD38/AC38*100</f>
        <v>74.372862029646527</v>
      </c>
      <c r="AF38" s="45">
        <f>SUM(AF39:AF40)</f>
        <v>434.69999999999982</v>
      </c>
      <c r="AG38" s="45">
        <f>SUM(AG39:AG40)</f>
        <v>1036.0999999999999</v>
      </c>
      <c r="AH38" s="50">
        <f>AG38/AF38*100</f>
        <v>238.34828617437321</v>
      </c>
      <c r="AI38" s="45">
        <f t="shared" ref="AI38:AP38" si="51">SUM(AI39:AI40)</f>
        <v>1199.3</v>
      </c>
      <c r="AJ38" s="45">
        <f t="shared" si="51"/>
        <v>441.1</v>
      </c>
      <c r="AK38" s="45">
        <f>AJ38/AI38*100</f>
        <v>36.779788209789047</v>
      </c>
      <c r="AL38" s="45">
        <f t="shared" si="51"/>
        <v>2273.3000000000002</v>
      </c>
      <c r="AM38" s="45">
        <f t="shared" si="51"/>
        <v>823.2</v>
      </c>
      <c r="AN38" s="45">
        <f>AM38/AL38*100</f>
        <v>36.211674657986187</v>
      </c>
      <c r="AO38" s="45">
        <f t="shared" si="51"/>
        <v>1933.9</v>
      </c>
      <c r="AP38" s="45">
        <f t="shared" si="51"/>
        <v>1174.5</v>
      </c>
      <c r="AQ38" s="45">
        <f>AP38/AO38*100</f>
        <v>60.73219918299808</v>
      </c>
      <c r="AR38" s="112" t="s">
        <v>117</v>
      </c>
      <c r="AS38" s="112" t="s">
        <v>175</v>
      </c>
      <c r="AT38" s="46"/>
      <c r="AU38" s="47"/>
      <c r="AW38" s="46"/>
    </row>
    <row r="39" spans="1:49" s="26" customFormat="1" ht="48">
      <c r="A39" s="104"/>
      <c r="B39" s="107"/>
      <c r="C39" s="110"/>
      <c r="D39" s="48" t="s">
        <v>89</v>
      </c>
      <c r="E39" s="44">
        <f>H39+K39+N39+Q39+T39+W39+Z39+AC39+AF39+AI39+AL39+AO39</f>
        <v>0</v>
      </c>
      <c r="F39" s="45">
        <f>I39+L39+O39+R39+U39+X39+AA39+AD39+AG39+AJ39+AM39+AP39</f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45">
        <v>0</v>
      </c>
      <c r="AA39" s="45">
        <v>0</v>
      </c>
      <c r="AB39" s="45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45">
        <v>0</v>
      </c>
      <c r="AJ39" s="45">
        <v>0</v>
      </c>
      <c r="AK39" s="45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113"/>
      <c r="AS39" s="113"/>
      <c r="AT39" s="46"/>
      <c r="AU39" s="47"/>
      <c r="AW39" s="46"/>
    </row>
    <row r="40" spans="1:49" s="26" customFormat="1" ht="12.75">
      <c r="A40" s="104"/>
      <c r="B40" s="107"/>
      <c r="C40" s="110"/>
      <c r="D40" s="48" t="s">
        <v>99</v>
      </c>
      <c r="E40" s="44">
        <f t="shared" ref="E40:F42" si="52">H40+K40+N40+Q40+T40+W40+Z40+AC40+AF40+AI40+AL40+AO40</f>
        <v>15078.099999999997</v>
      </c>
      <c r="F40" s="45">
        <f t="shared" si="52"/>
        <v>10479.1</v>
      </c>
      <c r="G40" s="45">
        <f>F40/E40*100</f>
        <v>69.498809531704936</v>
      </c>
      <c r="H40" s="45">
        <f>340-245.5</f>
        <v>94.5</v>
      </c>
      <c r="I40" s="45">
        <v>94.5</v>
      </c>
      <c r="J40" s="45">
        <f>I40/H40*100</f>
        <v>100</v>
      </c>
      <c r="K40" s="45">
        <f>74.6+340+18-180.8-97.1</f>
        <v>154.70000000000002</v>
      </c>
      <c r="L40" s="45">
        <v>134.9</v>
      </c>
      <c r="M40" s="45">
        <f>L40/K40*100</f>
        <v>87.201034259857778</v>
      </c>
      <c r="N40" s="45">
        <f>74.6+340+26</f>
        <v>440.6</v>
      </c>
      <c r="O40" s="45">
        <v>391.9</v>
      </c>
      <c r="P40" s="45">
        <f>O40/N40*100</f>
        <v>88.946890603722181</v>
      </c>
      <c r="Q40" s="45">
        <f>74.6+10.5+1738.7+16</f>
        <v>1839.8</v>
      </c>
      <c r="R40" s="45">
        <v>592.79999999999995</v>
      </c>
      <c r="S40" s="45">
        <f>R40/Q40*100</f>
        <v>32.220893575388629</v>
      </c>
      <c r="T40" s="49">
        <f>374.6+10.5+1738.7+16+141.4</f>
        <v>2281.2000000000003</v>
      </c>
      <c r="U40" s="49">
        <v>2117.6999999999998</v>
      </c>
      <c r="V40" s="50">
        <f t="shared" ref="V40" si="53">U40/T40*100</f>
        <v>92.832719621251954</v>
      </c>
      <c r="W40" s="50">
        <f>74.6+10.5+1738.7+14.9+1834.4-832.6</f>
        <v>2840.5000000000005</v>
      </c>
      <c r="X40" s="50">
        <v>1481.3</v>
      </c>
      <c r="Y40" s="50">
        <f t="shared" ref="Y40" si="54">X40/W40*100</f>
        <v>52.149269494807236</v>
      </c>
      <c r="Z40" s="45">
        <f>524.6+6.3+708.9+9-177.7-140.3+1000-696</f>
        <v>1234.8</v>
      </c>
      <c r="AA40" s="45">
        <v>1930.2</v>
      </c>
      <c r="AB40" s="50">
        <f t="shared" ref="AB40" si="55">AA40/Z40*100</f>
        <v>156.31681243926144</v>
      </c>
      <c r="AC40" s="49">
        <f>74.6+6.3+708.9+9-200-248</f>
        <v>350.79999999999995</v>
      </c>
      <c r="AD40" s="49">
        <v>260.89999999999998</v>
      </c>
      <c r="AE40" s="50">
        <f t="shared" ref="AE40" si="56">AD40/AC40*100</f>
        <v>74.372862029646527</v>
      </c>
      <c r="AF40" s="49">
        <f>74.6+6.3+708.9+8.9+332-696</f>
        <v>434.69999999999982</v>
      </c>
      <c r="AG40" s="51">
        <v>1036.0999999999999</v>
      </c>
      <c r="AH40" s="45">
        <f t="shared" ref="AH40" si="57">AG40/AF40*100</f>
        <v>238.34828617437321</v>
      </c>
      <c r="AI40" s="49">
        <f>429.6+8.4+244.9+9-166.4-100+773.8</f>
        <v>1199.3</v>
      </c>
      <c r="AJ40" s="49">
        <v>441.1</v>
      </c>
      <c r="AK40" s="49">
        <f>AJ40/AI40*100</f>
        <v>36.779788209789047</v>
      </c>
      <c r="AL40" s="49">
        <f>8.4+244.9+20+2000</f>
        <v>2273.3000000000002</v>
      </c>
      <c r="AM40" s="49">
        <v>823.2</v>
      </c>
      <c r="AN40" s="49">
        <f>AM40/AL40*100</f>
        <v>36.211674657986187</v>
      </c>
      <c r="AO40" s="49">
        <f>8.4+244.9+121.2+22.8-1.1-102.3+1640</f>
        <v>1933.9</v>
      </c>
      <c r="AP40" s="45">
        <v>1174.5</v>
      </c>
      <c r="AQ40" s="45">
        <f>AP40/AO40*100</f>
        <v>60.73219918299808</v>
      </c>
      <c r="AR40" s="113"/>
      <c r="AS40" s="113"/>
      <c r="AT40" s="46"/>
      <c r="AU40" s="46"/>
      <c r="AV40" s="46"/>
      <c r="AW40" s="46"/>
    </row>
    <row r="41" spans="1:49" s="26" customFormat="1" ht="48">
      <c r="A41" s="104"/>
      <c r="B41" s="107"/>
      <c r="C41" s="110"/>
      <c r="D41" s="37" t="s">
        <v>91</v>
      </c>
      <c r="E41" s="38">
        <f t="shared" si="52"/>
        <v>41.1</v>
      </c>
      <c r="F41" s="39">
        <f t="shared" si="52"/>
        <v>41.1</v>
      </c>
      <c r="G41" s="39">
        <f>F41/E41*100</f>
        <v>100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41.1</v>
      </c>
      <c r="O41" s="39">
        <v>0</v>
      </c>
      <c r="P41" s="39">
        <f>O41/N41*100</f>
        <v>0</v>
      </c>
      <c r="Q41" s="39">
        <v>0</v>
      </c>
      <c r="R41" s="39">
        <v>0</v>
      </c>
      <c r="S41" s="39">
        <v>0</v>
      </c>
      <c r="T41" s="52">
        <v>0</v>
      </c>
      <c r="U41" s="52">
        <v>0</v>
      </c>
      <c r="V41" s="39">
        <v>0</v>
      </c>
      <c r="W41" s="53">
        <v>0</v>
      </c>
      <c r="X41" s="53">
        <v>41.1</v>
      </c>
      <c r="Y41" s="39">
        <v>0</v>
      </c>
      <c r="Z41" s="39">
        <v>0</v>
      </c>
      <c r="AA41" s="39">
        <v>0</v>
      </c>
      <c r="AB41" s="53">
        <v>0</v>
      </c>
      <c r="AC41" s="52">
        <v>0</v>
      </c>
      <c r="AD41" s="52">
        <v>0</v>
      </c>
      <c r="AE41" s="53">
        <v>0</v>
      </c>
      <c r="AF41" s="52">
        <v>0</v>
      </c>
      <c r="AG41" s="54">
        <v>0</v>
      </c>
      <c r="AH41" s="39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45">
        <v>0</v>
      </c>
      <c r="AQ41" s="45">
        <v>0</v>
      </c>
      <c r="AR41" s="113"/>
      <c r="AS41" s="113"/>
      <c r="AT41" s="46"/>
      <c r="AU41" s="47"/>
      <c r="AW41" s="46"/>
    </row>
    <row r="42" spans="1:49" s="26" customFormat="1" ht="24">
      <c r="A42" s="104"/>
      <c r="B42" s="107"/>
      <c r="C42" s="110"/>
      <c r="D42" s="55" t="s">
        <v>92</v>
      </c>
      <c r="E42" s="44">
        <f t="shared" si="52"/>
        <v>0</v>
      </c>
      <c r="F42" s="45">
        <f t="shared" si="52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45">
        <v>0</v>
      </c>
      <c r="AA42" s="45">
        <v>0</v>
      </c>
      <c r="AB42" s="45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45">
        <v>0</v>
      </c>
      <c r="AJ42" s="45">
        <v>0</v>
      </c>
      <c r="AK42" s="45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113"/>
      <c r="AS42" s="113"/>
      <c r="AT42" s="46"/>
      <c r="AU42" s="47"/>
    </row>
    <row r="43" spans="1:49" s="26" customFormat="1" ht="24">
      <c r="A43" s="105"/>
      <c r="B43" s="108"/>
      <c r="C43" s="111"/>
      <c r="D43" s="55" t="s">
        <v>93</v>
      </c>
      <c r="E43" s="44">
        <f>H43+K43+N43+Q43+T43+W43+Z43+AC43+AF43+AI43+AL43+AO43</f>
        <v>0</v>
      </c>
      <c r="F43" s="45">
        <f>I43+L43+O43+R43+U43+X43+AA43+AD43+AG43+AJ43+AM43+AP43</f>
        <v>0</v>
      </c>
      <c r="G43" s="45">
        <v>0</v>
      </c>
      <c r="H43" s="45">
        <v>0</v>
      </c>
      <c r="I43" s="45">
        <v>0</v>
      </c>
      <c r="J43" s="45">
        <v>0</v>
      </c>
      <c r="K43" s="56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50">
        <v>0</v>
      </c>
      <c r="U43" s="50">
        <v>0</v>
      </c>
      <c r="V43" s="45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45">
        <v>0</v>
      </c>
      <c r="AI43" s="45">
        <v>0</v>
      </c>
      <c r="AJ43" s="45">
        <v>0</v>
      </c>
      <c r="AK43" s="45">
        <v>0</v>
      </c>
      <c r="AL43" s="50">
        <v>0</v>
      </c>
      <c r="AM43" s="50">
        <v>0</v>
      </c>
      <c r="AN43" s="50">
        <v>0</v>
      </c>
      <c r="AO43" s="45">
        <v>0</v>
      </c>
      <c r="AP43" s="50">
        <v>0</v>
      </c>
      <c r="AQ43" s="50">
        <v>0</v>
      </c>
      <c r="AR43" s="114"/>
      <c r="AS43" s="114"/>
      <c r="AT43" s="46"/>
      <c r="AU43" s="47"/>
    </row>
    <row r="44" spans="1:49" s="26" customFormat="1" ht="12.75">
      <c r="A44" s="103" t="s">
        <v>118</v>
      </c>
      <c r="B44" s="106" t="s">
        <v>119</v>
      </c>
      <c r="C44" s="109" t="s">
        <v>120</v>
      </c>
      <c r="D44" s="43" t="s">
        <v>88</v>
      </c>
      <c r="E44" s="44">
        <f>SUM(E45:E47)</f>
        <v>0</v>
      </c>
      <c r="F44" s="45">
        <f t="shared" ref="F44" si="58">SUM(F45:F47)</f>
        <v>0</v>
      </c>
      <c r="G44" s="45">
        <v>0</v>
      </c>
      <c r="H44" s="45">
        <f t="shared" ref="H44:I44" si="59">SUM(H45:H47)</f>
        <v>0</v>
      </c>
      <c r="I44" s="45">
        <f t="shared" si="59"/>
        <v>0</v>
      </c>
      <c r="J44" s="45">
        <v>0</v>
      </c>
      <c r="K44" s="45">
        <f t="shared" ref="K44:L44" si="60">SUM(K45:K47)</f>
        <v>0</v>
      </c>
      <c r="L44" s="45">
        <f t="shared" si="60"/>
        <v>0</v>
      </c>
      <c r="M44" s="45">
        <v>0</v>
      </c>
      <c r="N44" s="45">
        <f t="shared" ref="N44:O44" si="61">SUM(N45:N47)</f>
        <v>0</v>
      </c>
      <c r="O44" s="45">
        <f t="shared" si="61"/>
        <v>0</v>
      </c>
      <c r="P44" s="45">
        <v>0</v>
      </c>
      <c r="Q44" s="45">
        <f t="shared" ref="Q44:R44" si="62">SUM(Q45:Q47)</f>
        <v>0</v>
      </c>
      <c r="R44" s="45">
        <f t="shared" si="62"/>
        <v>0</v>
      </c>
      <c r="S44" s="45">
        <v>0</v>
      </c>
      <c r="T44" s="45">
        <f t="shared" ref="T44:AA44" si="63">SUM(T45:T47)</f>
        <v>0</v>
      </c>
      <c r="U44" s="45">
        <f t="shared" si="63"/>
        <v>0</v>
      </c>
      <c r="V44" s="45">
        <f t="shared" si="63"/>
        <v>0</v>
      </c>
      <c r="W44" s="45">
        <f t="shared" si="63"/>
        <v>0</v>
      </c>
      <c r="X44" s="45">
        <f t="shared" si="63"/>
        <v>0</v>
      </c>
      <c r="Y44" s="45">
        <f t="shared" si="63"/>
        <v>0</v>
      </c>
      <c r="Z44" s="45">
        <f t="shared" si="63"/>
        <v>0</v>
      </c>
      <c r="AA44" s="45">
        <f t="shared" si="63"/>
        <v>0</v>
      </c>
      <c r="AB44" s="50">
        <v>0</v>
      </c>
      <c r="AC44" s="45">
        <f t="shared" ref="AC44:AD44" si="64">SUM(AC45:AC47)</f>
        <v>0</v>
      </c>
      <c r="AD44" s="45">
        <f t="shared" si="64"/>
        <v>0</v>
      </c>
      <c r="AE44" s="45">
        <v>0</v>
      </c>
      <c r="AF44" s="45">
        <f t="shared" ref="AF44:AG44" si="65">SUM(AF45:AF47)</f>
        <v>0</v>
      </c>
      <c r="AG44" s="45">
        <f t="shared" si="65"/>
        <v>0</v>
      </c>
      <c r="AH44" s="45">
        <v>0</v>
      </c>
      <c r="AI44" s="45">
        <f t="shared" ref="AI44:AJ44" si="66">SUM(AI45:AI47)</f>
        <v>0</v>
      </c>
      <c r="AJ44" s="45">
        <f t="shared" si="66"/>
        <v>0</v>
      </c>
      <c r="AK44" s="45">
        <v>0</v>
      </c>
      <c r="AL44" s="45">
        <f t="shared" ref="AL44:AM44" si="67">SUM(AL45:AL47)</f>
        <v>0</v>
      </c>
      <c r="AM44" s="45">
        <f t="shared" si="67"/>
        <v>0</v>
      </c>
      <c r="AN44" s="50">
        <v>0</v>
      </c>
      <c r="AO44" s="45">
        <f t="shared" ref="AO44:AP44" si="68">SUM(AO45:AO47)</f>
        <v>0</v>
      </c>
      <c r="AP44" s="45">
        <f t="shared" si="68"/>
        <v>0</v>
      </c>
      <c r="AQ44" s="45">
        <v>0</v>
      </c>
      <c r="AR44" s="112" t="s">
        <v>121</v>
      </c>
      <c r="AS44" s="119"/>
      <c r="AT44" s="46"/>
      <c r="AU44" s="47"/>
    </row>
    <row r="45" spans="1:49" s="26" customFormat="1" ht="48">
      <c r="A45" s="104"/>
      <c r="B45" s="107"/>
      <c r="C45" s="110"/>
      <c r="D45" s="48" t="s">
        <v>89</v>
      </c>
      <c r="E45" s="44">
        <f>H45+K45+N45+Q45+T45+W45+Z45+AC45+AF45+AI45+AL45+AO45</f>
        <v>0</v>
      </c>
      <c r="F45" s="45">
        <f>I45+L45+O45+R45+U45+X45+AA45+AD45+AG45+AJ45+AM45+AP45</f>
        <v>0</v>
      </c>
      <c r="G45" s="45">
        <v>0</v>
      </c>
      <c r="H45" s="45">
        <v>0</v>
      </c>
      <c r="I45" s="45">
        <v>0</v>
      </c>
      <c r="J45" s="45">
        <v>0</v>
      </c>
      <c r="K45" s="56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45">
        <v>0</v>
      </c>
      <c r="AJ45" s="45">
        <v>0</v>
      </c>
      <c r="AK45" s="45">
        <v>0</v>
      </c>
      <c r="AL45" s="50">
        <v>0</v>
      </c>
      <c r="AM45" s="50">
        <v>0</v>
      </c>
      <c r="AN45" s="50">
        <v>0</v>
      </c>
      <c r="AO45" s="45">
        <v>0</v>
      </c>
      <c r="AP45" s="45">
        <v>0</v>
      </c>
      <c r="AQ45" s="45">
        <v>0</v>
      </c>
      <c r="AR45" s="113"/>
      <c r="AS45" s="120"/>
      <c r="AT45" s="46"/>
      <c r="AU45" s="47"/>
    </row>
    <row r="46" spans="1:49" s="26" customFormat="1" ht="12.75">
      <c r="A46" s="104"/>
      <c r="B46" s="107"/>
      <c r="C46" s="110"/>
      <c r="D46" s="48" t="s">
        <v>99</v>
      </c>
      <c r="E46" s="44">
        <f t="shared" ref="E46:F47" si="69">H46+K46+N46+Q46+T46+W46+Z46+AC46+AF46+AI46+AL46+AO46</f>
        <v>0</v>
      </c>
      <c r="F46" s="45">
        <f t="shared" si="69"/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45">
        <v>0</v>
      </c>
      <c r="AA46" s="45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45">
        <v>0</v>
      </c>
      <c r="AJ46" s="45">
        <v>0</v>
      </c>
      <c r="AK46" s="45">
        <v>0</v>
      </c>
      <c r="AL46" s="50">
        <v>0</v>
      </c>
      <c r="AM46" s="50">
        <v>0</v>
      </c>
      <c r="AN46" s="50">
        <v>0</v>
      </c>
      <c r="AO46" s="50">
        <v>0</v>
      </c>
      <c r="AP46" s="45">
        <v>0</v>
      </c>
      <c r="AQ46" s="45">
        <v>0</v>
      </c>
      <c r="AR46" s="113"/>
      <c r="AS46" s="120"/>
      <c r="AT46" s="46"/>
      <c r="AU46" s="47"/>
    </row>
    <row r="47" spans="1:49" s="26" customFormat="1" ht="24">
      <c r="A47" s="104"/>
      <c r="B47" s="107"/>
      <c r="C47" s="110"/>
      <c r="D47" s="55" t="s">
        <v>92</v>
      </c>
      <c r="E47" s="44">
        <f t="shared" si="69"/>
        <v>0</v>
      </c>
      <c r="F47" s="45">
        <f t="shared" si="69"/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45">
        <v>0</v>
      </c>
      <c r="AA47" s="45">
        <v>0</v>
      </c>
      <c r="AB47" s="45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45">
        <v>0</v>
      </c>
      <c r="AJ47" s="45">
        <v>0</v>
      </c>
      <c r="AK47" s="45">
        <v>0</v>
      </c>
      <c r="AL47" s="50">
        <v>0</v>
      </c>
      <c r="AM47" s="50">
        <v>0</v>
      </c>
      <c r="AN47" s="50">
        <v>0</v>
      </c>
      <c r="AO47" s="50">
        <v>0</v>
      </c>
      <c r="AP47" s="45">
        <v>0</v>
      </c>
      <c r="AQ47" s="45">
        <v>0</v>
      </c>
      <c r="AR47" s="113"/>
      <c r="AS47" s="120"/>
      <c r="AT47" s="46"/>
      <c r="AU47" s="47"/>
    </row>
    <row r="48" spans="1:49" s="26" customFormat="1" ht="24">
      <c r="A48" s="105"/>
      <c r="B48" s="108"/>
      <c r="C48" s="111"/>
      <c r="D48" s="55" t="s">
        <v>93</v>
      </c>
      <c r="E48" s="44">
        <f>H48+K48+N48+Q48+T48+W48+Z48+AC48+AF48+AI48+AL48+AO48</f>
        <v>0</v>
      </c>
      <c r="F48" s="45">
        <f>I48+L48+O48+R48+U48+X48+AA48+AD48+AG48+AJ48+AM48+AP48</f>
        <v>0</v>
      </c>
      <c r="G48" s="45">
        <v>0</v>
      </c>
      <c r="H48" s="45">
        <v>0</v>
      </c>
      <c r="I48" s="45">
        <v>0</v>
      </c>
      <c r="J48" s="45">
        <v>0</v>
      </c>
      <c r="K48" s="56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50">
        <v>0</v>
      </c>
      <c r="U48" s="50">
        <v>0</v>
      </c>
      <c r="V48" s="45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45">
        <v>0</v>
      </c>
      <c r="AI48" s="45">
        <v>0</v>
      </c>
      <c r="AJ48" s="45">
        <v>0</v>
      </c>
      <c r="AK48" s="45">
        <v>0</v>
      </c>
      <c r="AL48" s="50">
        <v>0</v>
      </c>
      <c r="AM48" s="50">
        <v>0</v>
      </c>
      <c r="AN48" s="50">
        <v>0</v>
      </c>
      <c r="AO48" s="45">
        <v>0</v>
      </c>
      <c r="AP48" s="45">
        <v>0</v>
      </c>
      <c r="AQ48" s="45">
        <v>0</v>
      </c>
      <c r="AR48" s="114"/>
      <c r="AS48" s="121"/>
      <c r="AT48" s="46"/>
      <c r="AU48" s="47"/>
    </row>
    <row r="49" spans="1:49" s="34" customFormat="1" ht="204">
      <c r="A49" s="57" t="s">
        <v>122</v>
      </c>
      <c r="B49" s="55" t="s">
        <v>123</v>
      </c>
      <c r="C49" s="58" t="s">
        <v>124</v>
      </c>
      <c r="D49" s="55" t="s">
        <v>125</v>
      </c>
      <c r="E49" s="32" t="s">
        <v>40</v>
      </c>
      <c r="F49" s="33" t="s">
        <v>40</v>
      </c>
      <c r="G49" s="33" t="s">
        <v>40</v>
      </c>
      <c r="H49" s="33" t="s">
        <v>40</v>
      </c>
      <c r="I49" s="33" t="s">
        <v>40</v>
      </c>
      <c r="J49" s="33" t="s">
        <v>40</v>
      </c>
      <c r="K49" s="33" t="s">
        <v>40</v>
      </c>
      <c r="L49" s="33" t="s">
        <v>40</v>
      </c>
      <c r="M49" s="33" t="s">
        <v>40</v>
      </c>
      <c r="N49" s="33" t="s">
        <v>40</v>
      </c>
      <c r="O49" s="33" t="s">
        <v>40</v>
      </c>
      <c r="P49" s="33" t="s">
        <v>40</v>
      </c>
      <c r="Q49" s="33" t="s">
        <v>40</v>
      </c>
      <c r="R49" s="33" t="s">
        <v>40</v>
      </c>
      <c r="S49" s="33" t="s">
        <v>40</v>
      </c>
      <c r="T49" s="33" t="s">
        <v>40</v>
      </c>
      <c r="U49" s="33" t="s">
        <v>40</v>
      </c>
      <c r="V49" s="33" t="s">
        <v>40</v>
      </c>
      <c r="W49" s="33" t="s">
        <v>40</v>
      </c>
      <c r="X49" s="33" t="s">
        <v>40</v>
      </c>
      <c r="Y49" s="33" t="s">
        <v>40</v>
      </c>
      <c r="Z49" s="33" t="s">
        <v>40</v>
      </c>
      <c r="AA49" s="33" t="s">
        <v>40</v>
      </c>
      <c r="AB49" s="33" t="s">
        <v>40</v>
      </c>
      <c r="AC49" s="33" t="s">
        <v>40</v>
      </c>
      <c r="AD49" s="33" t="s">
        <v>40</v>
      </c>
      <c r="AE49" s="33" t="s">
        <v>40</v>
      </c>
      <c r="AF49" s="33" t="s">
        <v>40</v>
      </c>
      <c r="AG49" s="33" t="s">
        <v>40</v>
      </c>
      <c r="AH49" s="33" t="s">
        <v>40</v>
      </c>
      <c r="AI49" s="33" t="s">
        <v>40</v>
      </c>
      <c r="AJ49" s="33" t="s">
        <v>40</v>
      </c>
      <c r="AK49" s="33" t="s">
        <v>40</v>
      </c>
      <c r="AL49" s="33" t="s">
        <v>40</v>
      </c>
      <c r="AM49" s="33" t="s">
        <v>40</v>
      </c>
      <c r="AN49" s="33" t="s">
        <v>40</v>
      </c>
      <c r="AO49" s="33" t="s">
        <v>40</v>
      </c>
      <c r="AP49" s="33"/>
      <c r="AQ49" s="33"/>
      <c r="AR49" s="59" t="s">
        <v>126</v>
      </c>
      <c r="AS49" s="60"/>
      <c r="AT49" s="46"/>
      <c r="AU49" s="47"/>
    </row>
    <row r="50" spans="1:49" s="34" customFormat="1" ht="12.75">
      <c r="A50" s="122" t="s">
        <v>17</v>
      </c>
      <c r="B50" s="125" t="s">
        <v>127</v>
      </c>
      <c r="C50" s="126"/>
      <c r="D50" s="31" t="s">
        <v>88</v>
      </c>
      <c r="E50" s="32">
        <f>E51+E52+E53</f>
        <v>0</v>
      </c>
      <c r="F50" s="33">
        <f t="shared" ref="F50:AP50" si="70">F51+F52+F53</f>
        <v>0</v>
      </c>
      <c r="G50" s="33">
        <v>0</v>
      </c>
      <c r="H50" s="33">
        <f t="shared" si="70"/>
        <v>0</v>
      </c>
      <c r="I50" s="33">
        <f t="shared" si="70"/>
        <v>0</v>
      </c>
      <c r="J50" s="33">
        <v>0</v>
      </c>
      <c r="K50" s="33">
        <f t="shared" si="70"/>
        <v>0</v>
      </c>
      <c r="L50" s="33">
        <f t="shared" si="70"/>
        <v>0</v>
      </c>
      <c r="M50" s="33">
        <v>0</v>
      </c>
      <c r="N50" s="33">
        <f t="shared" si="70"/>
        <v>0</v>
      </c>
      <c r="O50" s="33">
        <f t="shared" si="70"/>
        <v>0</v>
      </c>
      <c r="P50" s="33">
        <v>0</v>
      </c>
      <c r="Q50" s="33">
        <f t="shared" si="70"/>
        <v>0</v>
      </c>
      <c r="R50" s="33">
        <f t="shared" si="70"/>
        <v>0</v>
      </c>
      <c r="S50" s="33">
        <v>0</v>
      </c>
      <c r="T50" s="33">
        <f t="shared" si="70"/>
        <v>0</v>
      </c>
      <c r="U50" s="33">
        <f t="shared" si="70"/>
        <v>0</v>
      </c>
      <c r="V50" s="33">
        <v>0</v>
      </c>
      <c r="W50" s="33">
        <f t="shared" si="70"/>
        <v>0</v>
      </c>
      <c r="X50" s="33">
        <f t="shared" si="70"/>
        <v>0</v>
      </c>
      <c r="Y50" s="33">
        <v>0</v>
      </c>
      <c r="Z50" s="33">
        <f t="shared" si="70"/>
        <v>0</v>
      </c>
      <c r="AA50" s="33">
        <f t="shared" si="70"/>
        <v>0</v>
      </c>
      <c r="AB50" s="33">
        <v>0</v>
      </c>
      <c r="AC50" s="33">
        <f t="shared" si="70"/>
        <v>0</v>
      </c>
      <c r="AD50" s="33">
        <f t="shared" si="70"/>
        <v>0</v>
      </c>
      <c r="AE50" s="33">
        <v>0</v>
      </c>
      <c r="AF50" s="33">
        <f t="shared" si="70"/>
        <v>0</v>
      </c>
      <c r="AG50" s="33">
        <f t="shared" si="70"/>
        <v>0</v>
      </c>
      <c r="AH50" s="33">
        <v>0</v>
      </c>
      <c r="AI50" s="33">
        <f t="shared" si="70"/>
        <v>0</v>
      </c>
      <c r="AJ50" s="33">
        <f t="shared" si="70"/>
        <v>0</v>
      </c>
      <c r="AK50" s="33">
        <v>0</v>
      </c>
      <c r="AL50" s="33">
        <f t="shared" si="70"/>
        <v>0</v>
      </c>
      <c r="AM50" s="33">
        <f t="shared" si="70"/>
        <v>0</v>
      </c>
      <c r="AN50" s="33">
        <v>0</v>
      </c>
      <c r="AO50" s="33">
        <f t="shared" si="70"/>
        <v>0</v>
      </c>
      <c r="AP50" s="33">
        <f t="shared" si="70"/>
        <v>0</v>
      </c>
      <c r="AQ50" s="33">
        <v>0</v>
      </c>
      <c r="AR50" s="97"/>
      <c r="AS50" s="100"/>
      <c r="AT50" s="46"/>
      <c r="AU50" s="47"/>
    </row>
    <row r="51" spans="1:49" s="34" customFormat="1" ht="48">
      <c r="A51" s="123"/>
      <c r="B51" s="127"/>
      <c r="C51" s="128"/>
      <c r="D51" s="35" t="s">
        <v>89</v>
      </c>
      <c r="E51" s="32">
        <f t="shared" ref="E51:F53" si="71">E57</f>
        <v>0</v>
      </c>
      <c r="F51" s="33">
        <f t="shared" si="71"/>
        <v>0</v>
      </c>
      <c r="G51" s="33">
        <v>0</v>
      </c>
      <c r="H51" s="33">
        <f t="shared" ref="H51:I53" si="72">H57</f>
        <v>0</v>
      </c>
      <c r="I51" s="33">
        <f t="shared" si="72"/>
        <v>0</v>
      </c>
      <c r="J51" s="33">
        <v>0</v>
      </c>
      <c r="K51" s="33">
        <f t="shared" ref="K51:L53" si="73">K57</f>
        <v>0</v>
      </c>
      <c r="L51" s="33">
        <f t="shared" si="73"/>
        <v>0</v>
      </c>
      <c r="M51" s="33">
        <v>0</v>
      </c>
      <c r="N51" s="33">
        <f t="shared" ref="N51:O53" si="74">N57</f>
        <v>0</v>
      </c>
      <c r="O51" s="33">
        <f t="shared" si="74"/>
        <v>0</v>
      </c>
      <c r="P51" s="33">
        <v>0</v>
      </c>
      <c r="Q51" s="33">
        <f t="shared" ref="Q51:R53" si="75">Q57</f>
        <v>0</v>
      </c>
      <c r="R51" s="33">
        <f t="shared" si="75"/>
        <v>0</v>
      </c>
      <c r="S51" s="33">
        <v>0</v>
      </c>
      <c r="T51" s="33">
        <f t="shared" ref="T51:AD53" si="76">T57</f>
        <v>0</v>
      </c>
      <c r="U51" s="33">
        <f t="shared" si="76"/>
        <v>0</v>
      </c>
      <c r="V51" s="33">
        <f t="shared" si="76"/>
        <v>0</v>
      </c>
      <c r="W51" s="33">
        <f t="shared" si="76"/>
        <v>0</v>
      </c>
      <c r="X51" s="33">
        <f t="shared" si="76"/>
        <v>0</v>
      </c>
      <c r="Y51" s="33">
        <f t="shared" si="76"/>
        <v>0</v>
      </c>
      <c r="Z51" s="33">
        <f t="shared" si="76"/>
        <v>0</v>
      </c>
      <c r="AA51" s="33">
        <f t="shared" si="76"/>
        <v>0</v>
      </c>
      <c r="AB51" s="33">
        <f t="shared" si="76"/>
        <v>0</v>
      </c>
      <c r="AC51" s="33">
        <f t="shared" si="76"/>
        <v>0</v>
      </c>
      <c r="AD51" s="33">
        <f t="shared" si="76"/>
        <v>0</v>
      </c>
      <c r="AE51" s="33">
        <v>0</v>
      </c>
      <c r="AF51" s="33">
        <f t="shared" ref="AF51:AQ53" si="77">AF57</f>
        <v>0</v>
      </c>
      <c r="AG51" s="33">
        <f t="shared" si="77"/>
        <v>0</v>
      </c>
      <c r="AH51" s="33">
        <f t="shared" si="77"/>
        <v>0</v>
      </c>
      <c r="AI51" s="33">
        <f t="shared" si="77"/>
        <v>0</v>
      </c>
      <c r="AJ51" s="33">
        <f t="shared" si="77"/>
        <v>0</v>
      </c>
      <c r="AK51" s="33">
        <f t="shared" si="77"/>
        <v>0</v>
      </c>
      <c r="AL51" s="33">
        <f t="shared" si="77"/>
        <v>0</v>
      </c>
      <c r="AM51" s="33">
        <f t="shared" si="77"/>
        <v>0</v>
      </c>
      <c r="AN51" s="33">
        <f t="shared" si="77"/>
        <v>0</v>
      </c>
      <c r="AO51" s="33">
        <f t="shared" si="77"/>
        <v>0</v>
      </c>
      <c r="AP51" s="33">
        <f t="shared" si="77"/>
        <v>0</v>
      </c>
      <c r="AQ51" s="33">
        <f t="shared" si="77"/>
        <v>0</v>
      </c>
      <c r="AR51" s="98"/>
      <c r="AS51" s="101"/>
      <c r="AT51" s="46"/>
      <c r="AU51" s="47"/>
    </row>
    <row r="52" spans="1:49" s="34" customFormat="1" ht="12.75">
      <c r="A52" s="123"/>
      <c r="B52" s="127"/>
      <c r="C52" s="128"/>
      <c r="D52" s="35" t="s">
        <v>90</v>
      </c>
      <c r="E52" s="32">
        <f t="shared" si="71"/>
        <v>0</v>
      </c>
      <c r="F52" s="33">
        <f t="shared" si="71"/>
        <v>0</v>
      </c>
      <c r="G52" s="33">
        <v>0</v>
      </c>
      <c r="H52" s="33">
        <f t="shared" si="72"/>
        <v>0</v>
      </c>
      <c r="I52" s="33">
        <f t="shared" si="72"/>
        <v>0</v>
      </c>
      <c r="J52" s="33">
        <v>0</v>
      </c>
      <c r="K52" s="33">
        <f t="shared" si="73"/>
        <v>0</v>
      </c>
      <c r="L52" s="33">
        <f t="shared" si="73"/>
        <v>0</v>
      </c>
      <c r="M52" s="33">
        <v>0</v>
      </c>
      <c r="N52" s="33">
        <f t="shared" si="74"/>
        <v>0</v>
      </c>
      <c r="O52" s="33">
        <f t="shared" si="74"/>
        <v>0</v>
      </c>
      <c r="P52" s="33">
        <v>0</v>
      </c>
      <c r="Q52" s="33">
        <f t="shared" si="75"/>
        <v>0</v>
      </c>
      <c r="R52" s="33">
        <f t="shared" si="75"/>
        <v>0</v>
      </c>
      <c r="S52" s="33">
        <v>0</v>
      </c>
      <c r="T52" s="33">
        <f t="shared" si="76"/>
        <v>0</v>
      </c>
      <c r="U52" s="33">
        <f t="shared" si="76"/>
        <v>0</v>
      </c>
      <c r="V52" s="33">
        <f t="shared" si="76"/>
        <v>0</v>
      </c>
      <c r="W52" s="33">
        <f t="shared" si="76"/>
        <v>0</v>
      </c>
      <c r="X52" s="33">
        <f t="shared" si="76"/>
        <v>0</v>
      </c>
      <c r="Y52" s="33">
        <f t="shared" si="76"/>
        <v>0</v>
      </c>
      <c r="Z52" s="33">
        <f t="shared" si="76"/>
        <v>0</v>
      </c>
      <c r="AA52" s="33">
        <f t="shared" si="76"/>
        <v>0</v>
      </c>
      <c r="AB52" s="33">
        <f t="shared" si="76"/>
        <v>0</v>
      </c>
      <c r="AC52" s="33">
        <f t="shared" si="76"/>
        <v>0</v>
      </c>
      <c r="AD52" s="33">
        <f t="shared" si="76"/>
        <v>0</v>
      </c>
      <c r="AE52" s="33">
        <v>0</v>
      </c>
      <c r="AF52" s="33">
        <f t="shared" si="77"/>
        <v>0</v>
      </c>
      <c r="AG52" s="33">
        <f t="shared" si="77"/>
        <v>0</v>
      </c>
      <c r="AH52" s="33">
        <f t="shared" si="77"/>
        <v>0</v>
      </c>
      <c r="AI52" s="33">
        <f t="shared" si="77"/>
        <v>0</v>
      </c>
      <c r="AJ52" s="33">
        <f t="shared" si="77"/>
        <v>0</v>
      </c>
      <c r="AK52" s="33">
        <f t="shared" si="77"/>
        <v>0</v>
      </c>
      <c r="AL52" s="33">
        <f t="shared" si="77"/>
        <v>0</v>
      </c>
      <c r="AM52" s="33">
        <f t="shared" si="77"/>
        <v>0</v>
      </c>
      <c r="AN52" s="33">
        <f t="shared" si="77"/>
        <v>0</v>
      </c>
      <c r="AO52" s="33">
        <f t="shared" si="77"/>
        <v>0</v>
      </c>
      <c r="AP52" s="33">
        <f t="shared" si="77"/>
        <v>0</v>
      </c>
      <c r="AQ52" s="33">
        <f t="shared" si="77"/>
        <v>0</v>
      </c>
      <c r="AR52" s="98"/>
      <c r="AS52" s="101"/>
      <c r="AT52" s="46"/>
      <c r="AU52" s="47"/>
    </row>
    <row r="53" spans="1:49" s="34" customFormat="1" ht="24">
      <c r="A53" s="123"/>
      <c r="B53" s="127"/>
      <c r="C53" s="128"/>
      <c r="D53" s="40" t="s">
        <v>92</v>
      </c>
      <c r="E53" s="32">
        <f t="shared" si="71"/>
        <v>0</v>
      </c>
      <c r="F53" s="33">
        <f t="shared" si="71"/>
        <v>0</v>
      </c>
      <c r="G53" s="33">
        <v>0</v>
      </c>
      <c r="H53" s="33">
        <f t="shared" si="72"/>
        <v>0</v>
      </c>
      <c r="I53" s="33">
        <f t="shared" si="72"/>
        <v>0</v>
      </c>
      <c r="J53" s="33">
        <v>0</v>
      </c>
      <c r="K53" s="33">
        <f t="shared" si="73"/>
        <v>0</v>
      </c>
      <c r="L53" s="33">
        <f t="shared" si="73"/>
        <v>0</v>
      </c>
      <c r="M53" s="33">
        <v>0</v>
      </c>
      <c r="N53" s="33">
        <f t="shared" si="74"/>
        <v>0</v>
      </c>
      <c r="O53" s="33">
        <f t="shared" si="74"/>
        <v>0</v>
      </c>
      <c r="P53" s="33">
        <f>P59</f>
        <v>0</v>
      </c>
      <c r="Q53" s="33">
        <f t="shared" si="75"/>
        <v>0</v>
      </c>
      <c r="R53" s="33">
        <f t="shared" si="75"/>
        <v>0</v>
      </c>
      <c r="S53" s="33">
        <v>0</v>
      </c>
      <c r="T53" s="33">
        <f t="shared" si="76"/>
        <v>0</v>
      </c>
      <c r="U53" s="33">
        <f t="shared" si="76"/>
        <v>0</v>
      </c>
      <c r="V53" s="33">
        <f t="shared" si="76"/>
        <v>0</v>
      </c>
      <c r="W53" s="33">
        <f t="shared" si="76"/>
        <v>0</v>
      </c>
      <c r="X53" s="33">
        <f t="shared" si="76"/>
        <v>0</v>
      </c>
      <c r="Y53" s="33">
        <f t="shared" si="76"/>
        <v>0</v>
      </c>
      <c r="Z53" s="33">
        <f t="shared" si="76"/>
        <v>0</v>
      </c>
      <c r="AA53" s="33">
        <f t="shared" si="76"/>
        <v>0</v>
      </c>
      <c r="AB53" s="33">
        <f t="shared" si="76"/>
        <v>0</v>
      </c>
      <c r="AC53" s="33">
        <f t="shared" si="76"/>
        <v>0</v>
      </c>
      <c r="AD53" s="33">
        <f t="shared" si="76"/>
        <v>0</v>
      </c>
      <c r="AE53" s="33">
        <f>AE59</f>
        <v>0</v>
      </c>
      <c r="AF53" s="33">
        <f t="shared" si="77"/>
        <v>0</v>
      </c>
      <c r="AG53" s="33">
        <f t="shared" si="77"/>
        <v>0</v>
      </c>
      <c r="AH53" s="33">
        <f t="shared" si="77"/>
        <v>0</v>
      </c>
      <c r="AI53" s="33">
        <f t="shared" si="77"/>
        <v>0</v>
      </c>
      <c r="AJ53" s="33">
        <f t="shared" si="77"/>
        <v>0</v>
      </c>
      <c r="AK53" s="33">
        <f t="shared" si="77"/>
        <v>0</v>
      </c>
      <c r="AL53" s="33">
        <f t="shared" si="77"/>
        <v>0</v>
      </c>
      <c r="AM53" s="33">
        <f t="shared" si="77"/>
        <v>0</v>
      </c>
      <c r="AN53" s="33">
        <f t="shared" si="77"/>
        <v>0</v>
      </c>
      <c r="AO53" s="33">
        <f t="shared" si="77"/>
        <v>0</v>
      </c>
      <c r="AP53" s="33">
        <f t="shared" si="77"/>
        <v>0</v>
      </c>
      <c r="AQ53" s="33">
        <f t="shared" si="77"/>
        <v>0</v>
      </c>
      <c r="AR53" s="98"/>
      <c r="AS53" s="101"/>
      <c r="AT53" s="46"/>
      <c r="AU53" s="47"/>
    </row>
    <row r="54" spans="1:49" s="34" customFormat="1" ht="24">
      <c r="A54" s="124"/>
      <c r="B54" s="129"/>
      <c r="C54" s="130"/>
      <c r="D54" s="40" t="s">
        <v>93</v>
      </c>
      <c r="E54" s="32">
        <f>H54+K54+N54+Q54+T54+W54+Z54+AC54+AF54+AI54+AL54+AO54</f>
        <v>0</v>
      </c>
      <c r="F54" s="33">
        <f>I54+L54+O54+R54+U54+X54+AA54+AD54+AG54+AJ54+AM54+AP54</f>
        <v>0</v>
      </c>
      <c r="G54" s="33">
        <v>0</v>
      </c>
      <c r="H54" s="33">
        <v>0</v>
      </c>
      <c r="I54" s="33">
        <v>0</v>
      </c>
      <c r="J54" s="33">
        <v>0</v>
      </c>
      <c r="K54" s="41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42">
        <v>0</v>
      </c>
      <c r="U54" s="42">
        <v>0</v>
      </c>
      <c r="V54" s="33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33">
        <v>0</v>
      </c>
      <c r="AI54" s="33">
        <v>0</v>
      </c>
      <c r="AJ54" s="33">
        <v>0</v>
      </c>
      <c r="AK54" s="33">
        <v>0</v>
      </c>
      <c r="AL54" s="42">
        <v>0</v>
      </c>
      <c r="AM54" s="42">
        <v>0</v>
      </c>
      <c r="AN54" s="42">
        <v>0</v>
      </c>
      <c r="AO54" s="33">
        <v>0</v>
      </c>
      <c r="AP54" s="33">
        <v>0</v>
      </c>
      <c r="AQ54" s="33">
        <v>0</v>
      </c>
      <c r="AR54" s="99"/>
      <c r="AS54" s="102"/>
      <c r="AT54" s="46"/>
      <c r="AU54" s="47"/>
    </row>
    <row r="55" spans="1:49" s="34" customFormat="1" ht="156">
      <c r="A55" s="57" t="s">
        <v>128</v>
      </c>
      <c r="B55" s="55" t="s">
        <v>129</v>
      </c>
      <c r="C55" s="58" t="s">
        <v>130</v>
      </c>
      <c r="D55" s="55" t="s">
        <v>125</v>
      </c>
      <c r="E55" s="32" t="s">
        <v>40</v>
      </c>
      <c r="F55" s="33" t="s">
        <v>40</v>
      </c>
      <c r="G55" s="33" t="s">
        <v>40</v>
      </c>
      <c r="H55" s="33" t="s">
        <v>40</v>
      </c>
      <c r="I55" s="33" t="s">
        <v>40</v>
      </c>
      <c r="J55" s="33" t="s">
        <v>40</v>
      </c>
      <c r="K55" s="33" t="s">
        <v>40</v>
      </c>
      <c r="L55" s="33" t="s">
        <v>40</v>
      </c>
      <c r="M55" s="33" t="s">
        <v>40</v>
      </c>
      <c r="N55" s="33" t="s">
        <v>40</v>
      </c>
      <c r="O55" s="33" t="s">
        <v>40</v>
      </c>
      <c r="P55" s="33" t="s">
        <v>40</v>
      </c>
      <c r="Q55" s="33" t="s">
        <v>40</v>
      </c>
      <c r="R55" s="33" t="s">
        <v>40</v>
      </c>
      <c r="S55" s="33" t="s">
        <v>40</v>
      </c>
      <c r="T55" s="33" t="s">
        <v>40</v>
      </c>
      <c r="U55" s="33" t="s">
        <v>40</v>
      </c>
      <c r="V55" s="33" t="s">
        <v>40</v>
      </c>
      <c r="W55" s="33" t="s">
        <v>40</v>
      </c>
      <c r="X55" s="33" t="s">
        <v>40</v>
      </c>
      <c r="Y55" s="33" t="s">
        <v>40</v>
      </c>
      <c r="Z55" s="33" t="s">
        <v>40</v>
      </c>
      <c r="AA55" s="33" t="s">
        <v>40</v>
      </c>
      <c r="AB55" s="33" t="s">
        <v>40</v>
      </c>
      <c r="AC55" s="33" t="s">
        <v>40</v>
      </c>
      <c r="AD55" s="33" t="s">
        <v>40</v>
      </c>
      <c r="AE55" s="33" t="s">
        <v>40</v>
      </c>
      <c r="AF55" s="33" t="s">
        <v>40</v>
      </c>
      <c r="AG55" s="33" t="s">
        <v>40</v>
      </c>
      <c r="AH55" s="33" t="s">
        <v>40</v>
      </c>
      <c r="AI55" s="33" t="s">
        <v>40</v>
      </c>
      <c r="AJ55" s="33" t="s">
        <v>40</v>
      </c>
      <c r="AK55" s="33" t="s">
        <v>40</v>
      </c>
      <c r="AL55" s="33" t="s">
        <v>40</v>
      </c>
      <c r="AM55" s="33" t="s">
        <v>40</v>
      </c>
      <c r="AN55" s="33" t="s">
        <v>40</v>
      </c>
      <c r="AO55" s="33" t="s">
        <v>40</v>
      </c>
      <c r="AP55" s="33"/>
      <c r="AQ55" s="33"/>
      <c r="AR55" s="59" t="s">
        <v>131</v>
      </c>
      <c r="AS55" s="60"/>
      <c r="AT55" s="46"/>
      <c r="AU55" s="47"/>
    </row>
    <row r="56" spans="1:49" s="26" customFormat="1" ht="12.75">
      <c r="A56" s="131" t="s">
        <v>132</v>
      </c>
      <c r="B56" s="106" t="s">
        <v>133</v>
      </c>
      <c r="C56" s="119" t="s">
        <v>134</v>
      </c>
      <c r="D56" s="43" t="s">
        <v>88</v>
      </c>
      <c r="E56" s="44">
        <f>SUM(E57:E59)</f>
        <v>0</v>
      </c>
      <c r="F56" s="45">
        <f t="shared" ref="F56" si="78">SUM(F57:F59)</f>
        <v>0</v>
      </c>
      <c r="G56" s="45">
        <v>0</v>
      </c>
      <c r="H56" s="56">
        <f>H57+H58+H59</f>
        <v>0</v>
      </c>
      <c r="I56" s="56">
        <f>I57+I58+I59</f>
        <v>0</v>
      </c>
      <c r="J56" s="45">
        <v>0</v>
      </c>
      <c r="K56" s="56">
        <f>K57+K58+K59</f>
        <v>0</v>
      </c>
      <c r="L56" s="56">
        <f>L57+L58+L59</f>
        <v>0</v>
      </c>
      <c r="M56" s="56">
        <v>0</v>
      </c>
      <c r="N56" s="56">
        <f>N57+N58+N59</f>
        <v>0</v>
      </c>
      <c r="O56" s="56">
        <f>O57+O58+O59</f>
        <v>0</v>
      </c>
      <c r="P56" s="45">
        <v>0</v>
      </c>
      <c r="Q56" s="56">
        <f>Q57+Q58+Q59</f>
        <v>0</v>
      </c>
      <c r="R56" s="56">
        <f>R57+R58+R59</f>
        <v>0</v>
      </c>
      <c r="S56" s="56">
        <v>0</v>
      </c>
      <c r="T56" s="56">
        <f t="shared" ref="T56:AP56" si="79">T57+T58+T59</f>
        <v>0</v>
      </c>
      <c r="U56" s="56">
        <f t="shared" si="79"/>
        <v>0</v>
      </c>
      <c r="V56" s="56">
        <v>0</v>
      </c>
      <c r="W56" s="56">
        <f t="shared" si="79"/>
        <v>0</v>
      </c>
      <c r="X56" s="56">
        <f t="shared" si="79"/>
        <v>0</v>
      </c>
      <c r="Y56" s="56">
        <v>0</v>
      </c>
      <c r="Z56" s="56">
        <f t="shared" si="79"/>
        <v>0</v>
      </c>
      <c r="AA56" s="56">
        <f t="shared" si="79"/>
        <v>0</v>
      </c>
      <c r="AB56" s="56">
        <v>0</v>
      </c>
      <c r="AC56" s="56">
        <f t="shared" si="79"/>
        <v>0</v>
      </c>
      <c r="AD56" s="56">
        <f t="shared" si="79"/>
        <v>0</v>
      </c>
      <c r="AE56" s="56">
        <v>0</v>
      </c>
      <c r="AF56" s="56">
        <f t="shared" si="79"/>
        <v>0</v>
      </c>
      <c r="AG56" s="56">
        <f t="shared" si="79"/>
        <v>0</v>
      </c>
      <c r="AH56" s="50">
        <v>0</v>
      </c>
      <c r="AI56" s="56">
        <f t="shared" si="79"/>
        <v>0</v>
      </c>
      <c r="AJ56" s="56">
        <f t="shared" si="79"/>
        <v>0</v>
      </c>
      <c r="AK56" s="56">
        <v>0</v>
      </c>
      <c r="AL56" s="56">
        <f t="shared" si="79"/>
        <v>0</v>
      </c>
      <c r="AM56" s="56">
        <f t="shared" si="79"/>
        <v>0</v>
      </c>
      <c r="AN56" s="56">
        <v>0</v>
      </c>
      <c r="AO56" s="56">
        <f t="shared" si="79"/>
        <v>0</v>
      </c>
      <c r="AP56" s="56">
        <f t="shared" si="79"/>
        <v>0</v>
      </c>
      <c r="AQ56" s="45">
        <v>0</v>
      </c>
      <c r="AR56" s="112" t="s">
        <v>121</v>
      </c>
      <c r="AS56" s="119"/>
      <c r="AT56" s="46"/>
      <c r="AU56" s="47"/>
      <c r="AW56" s="46"/>
    </row>
    <row r="57" spans="1:49" s="26" customFormat="1" ht="48">
      <c r="A57" s="132"/>
      <c r="B57" s="107"/>
      <c r="C57" s="120"/>
      <c r="D57" s="48" t="s">
        <v>89</v>
      </c>
      <c r="E57" s="44">
        <f>H57+K57+N57+Q57+T57+W57+Z57+AC57+AF57+AI57+AL57+AO57</f>
        <v>0</v>
      </c>
      <c r="F57" s="45">
        <f>I57+L57+O57+R57+U57+X57+AA57+AD57+AG57+AJ57+AM57+AP57</f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9">
        <v>0</v>
      </c>
      <c r="U57" s="49">
        <v>0</v>
      </c>
      <c r="V57" s="50">
        <v>0</v>
      </c>
      <c r="W57" s="50">
        <v>0</v>
      </c>
      <c r="X57" s="50">
        <v>0</v>
      </c>
      <c r="Y57" s="50">
        <v>0</v>
      </c>
      <c r="Z57" s="45">
        <v>0</v>
      </c>
      <c r="AA57" s="45">
        <v>0</v>
      </c>
      <c r="AB57" s="50">
        <v>0</v>
      </c>
      <c r="AC57" s="49">
        <v>0</v>
      </c>
      <c r="AD57" s="49">
        <v>0</v>
      </c>
      <c r="AE57" s="50">
        <v>0</v>
      </c>
      <c r="AF57" s="49">
        <v>0</v>
      </c>
      <c r="AG57" s="51">
        <v>0</v>
      </c>
      <c r="AH57" s="45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5">
        <v>0</v>
      </c>
      <c r="AQ57" s="45">
        <v>0</v>
      </c>
      <c r="AR57" s="113"/>
      <c r="AS57" s="120"/>
      <c r="AT57" s="46"/>
      <c r="AU57" s="47"/>
      <c r="AW57" s="46"/>
    </row>
    <row r="58" spans="1:49" s="26" customFormat="1" ht="12.75">
      <c r="A58" s="132"/>
      <c r="B58" s="107"/>
      <c r="C58" s="120"/>
      <c r="D58" s="48" t="s">
        <v>90</v>
      </c>
      <c r="E58" s="44">
        <f t="shared" ref="E58:F59" si="80">H58+K58+N58+Q58+T58+W58+Z58+AC58+AF58+AI58+AL58+AO58</f>
        <v>0</v>
      </c>
      <c r="F58" s="45">
        <f t="shared" si="80"/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9">
        <v>0</v>
      </c>
      <c r="U58" s="49">
        <v>0</v>
      </c>
      <c r="V58" s="50">
        <v>0</v>
      </c>
      <c r="W58" s="50">
        <v>0</v>
      </c>
      <c r="X58" s="50">
        <v>0</v>
      </c>
      <c r="Y58" s="50">
        <v>0</v>
      </c>
      <c r="Z58" s="45">
        <v>0</v>
      </c>
      <c r="AA58" s="45">
        <v>0</v>
      </c>
      <c r="AB58" s="50">
        <v>0</v>
      </c>
      <c r="AC58" s="49">
        <v>0</v>
      </c>
      <c r="AD58" s="49">
        <v>0</v>
      </c>
      <c r="AE58" s="50">
        <v>0</v>
      </c>
      <c r="AF58" s="49">
        <v>0</v>
      </c>
      <c r="AG58" s="51">
        <v>0</v>
      </c>
      <c r="AH58" s="45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5">
        <v>0</v>
      </c>
      <c r="AQ58" s="45">
        <v>0</v>
      </c>
      <c r="AR58" s="113"/>
      <c r="AS58" s="120"/>
      <c r="AT58" s="46"/>
      <c r="AU58" s="47"/>
      <c r="AW58" s="46"/>
    </row>
    <row r="59" spans="1:49" s="26" customFormat="1" ht="24">
      <c r="A59" s="132"/>
      <c r="B59" s="107"/>
      <c r="C59" s="120"/>
      <c r="D59" s="55" t="s">
        <v>92</v>
      </c>
      <c r="E59" s="44">
        <f t="shared" si="80"/>
        <v>0</v>
      </c>
      <c r="F59" s="45">
        <f t="shared" si="80"/>
        <v>0</v>
      </c>
      <c r="G59" s="45">
        <v>0</v>
      </c>
      <c r="H59" s="45">
        <v>0</v>
      </c>
      <c r="I59" s="45">
        <v>0</v>
      </c>
      <c r="J59" s="45">
        <v>0</v>
      </c>
      <c r="K59" s="56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61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45">
        <v>0</v>
      </c>
      <c r="AJ59" s="45">
        <v>0</v>
      </c>
      <c r="AK59" s="45">
        <v>0</v>
      </c>
      <c r="AL59" s="50">
        <v>0</v>
      </c>
      <c r="AM59" s="50">
        <v>0</v>
      </c>
      <c r="AN59" s="50">
        <v>0</v>
      </c>
      <c r="AO59" s="45">
        <v>0</v>
      </c>
      <c r="AP59" s="45">
        <v>0</v>
      </c>
      <c r="AQ59" s="45">
        <v>0</v>
      </c>
      <c r="AR59" s="113"/>
      <c r="AS59" s="120"/>
      <c r="AT59" s="46"/>
      <c r="AU59" s="47"/>
      <c r="AW59" s="46"/>
    </row>
    <row r="60" spans="1:49" s="26" customFormat="1" ht="24">
      <c r="A60" s="133"/>
      <c r="B60" s="108"/>
      <c r="C60" s="121"/>
      <c r="D60" s="55" t="s">
        <v>93</v>
      </c>
      <c r="E60" s="44">
        <f>H60+K60+N60+Q60+T60+W60+Z60+AC60+AF60+AI60+AL60+AO60</f>
        <v>0</v>
      </c>
      <c r="F60" s="45">
        <f>I60+L60+O60+R60+U60+X60+AA60+AD60+AG60+AJ60+AM60+AP60</f>
        <v>0</v>
      </c>
      <c r="G60" s="45">
        <v>0</v>
      </c>
      <c r="H60" s="45">
        <v>0</v>
      </c>
      <c r="I60" s="45">
        <v>0</v>
      </c>
      <c r="J60" s="45">
        <v>0</v>
      </c>
      <c r="K60" s="56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50">
        <v>0</v>
      </c>
      <c r="U60" s="50">
        <v>0</v>
      </c>
      <c r="V60" s="45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45">
        <v>0</v>
      </c>
      <c r="AI60" s="45">
        <v>0</v>
      </c>
      <c r="AJ60" s="45">
        <v>0</v>
      </c>
      <c r="AK60" s="45">
        <v>0</v>
      </c>
      <c r="AL60" s="50">
        <v>0</v>
      </c>
      <c r="AM60" s="50">
        <v>0</v>
      </c>
      <c r="AN60" s="50">
        <v>0</v>
      </c>
      <c r="AO60" s="45">
        <v>0</v>
      </c>
      <c r="AP60" s="45">
        <v>0</v>
      </c>
      <c r="AQ60" s="45">
        <v>0</v>
      </c>
      <c r="AR60" s="114"/>
      <c r="AS60" s="121"/>
      <c r="AT60" s="46"/>
      <c r="AU60" s="47"/>
    </row>
    <row r="61" spans="1:49" s="34" customFormat="1" ht="12.75">
      <c r="A61" s="122" t="s">
        <v>20</v>
      </c>
      <c r="B61" s="125" t="s">
        <v>135</v>
      </c>
      <c r="C61" s="126"/>
      <c r="D61" s="31" t="s">
        <v>88</v>
      </c>
      <c r="E61" s="32">
        <f>E62+E63+E64</f>
        <v>826.7</v>
      </c>
      <c r="F61" s="33">
        <f>F62+F63+F64</f>
        <v>761.7</v>
      </c>
      <c r="G61" s="33">
        <f>F61/E61*100</f>
        <v>92.137413813959114</v>
      </c>
      <c r="H61" s="33">
        <f>H62+H63+H64</f>
        <v>0</v>
      </c>
      <c r="I61" s="33">
        <f>I62+I63+I64</f>
        <v>0</v>
      </c>
      <c r="J61" s="33">
        <v>0</v>
      </c>
      <c r="K61" s="33">
        <f>K62+K63+K64</f>
        <v>40</v>
      </c>
      <c r="L61" s="33">
        <f>L62+L63+L64</f>
        <v>40</v>
      </c>
      <c r="M61" s="33">
        <f>L61/K61*100</f>
        <v>100</v>
      </c>
      <c r="N61" s="33">
        <f>N62+N63+N64</f>
        <v>136.9</v>
      </c>
      <c r="O61" s="33">
        <f>O62+O63+O64</f>
        <v>136.9</v>
      </c>
      <c r="P61" s="33">
        <f>O61/N61*100</f>
        <v>100</v>
      </c>
      <c r="Q61" s="33">
        <f>Q62+Q63+Q64</f>
        <v>82.2</v>
      </c>
      <c r="R61" s="33">
        <f>R62+R63+R64</f>
        <v>13.5</v>
      </c>
      <c r="S61" s="33">
        <f>R61/Q61*100</f>
        <v>16.423357664233578</v>
      </c>
      <c r="T61" s="33">
        <f>T62+T63+T64</f>
        <v>120</v>
      </c>
      <c r="U61" s="33">
        <f>U62+U63+U64</f>
        <v>111</v>
      </c>
      <c r="V61" s="33">
        <f>U61/T61*100</f>
        <v>92.5</v>
      </c>
      <c r="W61" s="33">
        <f>W62+W63+W64</f>
        <v>44.400000000000006</v>
      </c>
      <c r="X61" s="33">
        <f>X62+X63+X64</f>
        <v>15</v>
      </c>
      <c r="Y61" s="33">
        <f>X61/W61*100</f>
        <v>33.783783783783775</v>
      </c>
      <c r="Z61" s="33">
        <f>Z62+Z63+Z64</f>
        <v>60</v>
      </c>
      <c r="AA61" s="33">
        <f>AA62+AA63+AA64</f>
        <v>59.3</v>
      </c>
      <c r="AB61" s="33">
        <f>AA61/Z61*100</f>
        <v>98.833333333333329</v>
      </c>
      <c r="AC61" s="33">
        <f>AC62+AC63+AC64</f>
        <v>20</v>
      </c>
      <c r="AD61" s="33">
        <f>AD62+AD63+AD64</f>
        <v>15.8</v>
      </c>
      <c r="AE61" s="33">
        <f>AD61/AC61*100</f>
        <v>79</v>
      </c>
      <c r="AF61" s="33">
        <f>AF62+AF63+AF64</f>
        <v>84.4</v>
      </c>
      <c r="AG61" s="33">
        <f>AG62+AG63+AG64</f>
        <v>36</v>
      </c>
      <c r="AH61" s="33">
        <f>AG61/AF61*100</f>
        <v>42.654028436018955</v>
      </c>
      <c r="AI61" s="33">
        <f>AI62+AI63+AI64</f>
        <v>68</v>
      </c>
      <c r="AJ61" s="33">
        <f>AJ62+AJ63+AJ64</f>
        <v>68</v>
      </c>
      <c r="AK61" s="33">
        <f>AJ61/AI61*100</f>
        <v>100</v>
      </c>
      <c r="AL61" s="33">
        <f>AL62+AL63+AL64</f>
        <v>112.6</v>
      </c>
      <c r="AM61" s="33">
        <f>AM62+AM63+AM64</f>
        <v>208</v>
      </c>
      <c r="AN61" s="33">
        <f>AM61/AL61*100</f>
        <v>184.7246891651865</v>
      </c>
      <c r="AO61" s="33">
        <f>AO62+AO63+AO64</f>
        <v>58.2</v>
      </c>
      <c r="AP61" s="33">
        <f>AP62+AP63+AP64</f>
        <v>58.2</v>
      </c>
      <c r="AQ61" s="33">
        <f>AP61/AO61*100</f>
        <v>100</v>
      </c>
      <c r="AR61" s="97"/>
      <c r="AS61" s="100"/>
      <c r="AT61" s="46"/>
      <c r="AU61" s="47"/>
    </row>
    <row r="62" spans="1:49" s="34" customFormat="1" ht="48">
      <c r="A62" s="123"/>
      <c r="B62" s="127"/>
      <c r="C62" s="128"/>
      <c r="D62" s="35" t="s">
        <v>89</v>
      </c>
      <c r="E62" s="32">
        <f>E68</f>
        <v>0</v>
      </c>
      <c r="F62" s="33">
        <f t="shared" ref="F62:AQ64" si="81">F68</f>
        <v>0</v>
      </c>
      <c r="G62" s="33">
        <v>0</v>
      </c>
      <c r="H62" s="33">
        <f t="shared" si="81"/>
        <v>0</v>
      </c>
      <c r="I62" s="33">
        <f t="shared" si="81"/>
        <v>0</v>
      </c>
      <c r="J62" s="33">
        <v>0</v>
      </c>
      <c r="K62" s="33">
        <f t="shared" si="81"/>
        <v>0</v>
      </c>
      <c r="L62" s="33">
        <f t="shared" si="81"/>
        <v>0</v>
      </c>
      <c r="M62" s="33">
        <v>0</v>
      </c>
      <c r="N62" s="33">
        <f t="shared" si="81"/>
        <v>0</v>
      </c>
      <c r="O62" s="33">
        <f t="shared" si="81"/>
        <v>0</v>
      </c>
      <c r="P62" s="33">
        <v>0</v>
      </c>
      <c r="Q62" s="33">
        <f t="shared" si="81"/>
        <v>0</v>
      </c>
      <c r="R62" s="33">
        <f t="shared" si="81"/>
        <v>0</v>
      </c>
      <c r="S62" s="33">
        <f t="shared" si="81"/>
        <v>0</v>
      </c>
      <c r="T62" s="33">
        <f t="shared" si="81"/>
        <v>0</v>
      </c>
      <c r="U62" s="33">
        <f t="shared" si="81"/>
        <v>0</v>
      </c>
      <c r="V62" s="33">
        <f t="shared" si="81"/>
        <v>0</v>
      </c>
      <c r="W62" s="33">
        <f t="shared" si="81"/>
        <v>0</v>
      </c>
      <c r="X62" s="33">
        <f t="shared" si="81"/>
        <v>0</v>
      </c>
      <c r="Y62" s="33">
        <f t="shared" si="81"/>
        <v>0</v>
      </c>
      <c r="Z62" s="33">
        <f t="shared" si="81"/>
        <v>0</v>
      </c>
      <c r="AA62" s="33">
        <f t="shared" si="81"/>
        <v>0</v>
      </c>
      <c r="AB62" s="33">
        <f t="shared" si="81"/>
        <v>0</v>
      </c>
      <c r="AC62" s="33">
        <f t="shared" si="81"/>
        <v>0</v>
      </c>
      <c r="AD62" s="33">
        <f t="shared" si="81"/>
        <v>0</v>
      </c>
      <c r="AE62" s="33">
        <f t="shared" si="81"/>
        <v>0</v>
      </c>
      <c r="AF62" s="33">
        <f t="shared" si="81"/>
        <v>0</v>
      </c>
      <c r="AG62" s="33">
        <f t="shared" si="81"/>
        <v>0</v>
      </c>
      <c r="AH62" s="33">
        <f t="shared" si="81"/>
        <v>0</v>
      </c>
      <c r="AI62" s="33">
        <f t="shared" si="81"/>
        <v>0</v>
      </c>
      <c r="AJ62" s="33">
        <f t="shared" si="81"/>
        <v>0</v>
      </c>
      <c r="AK62" s="33">
        <f t="shared" si="81"/>
        <v>0</v>
      </c>
      <c r="AL62" s="33">
        <f t="shared" si="81"/>
        <v>0</v>
      </c>
      <c r="AM62" s="33">
        <f t="shared" si="81"/>
        <v>0</v>
      </c>
      <c r="AN62" s="33">
        <f t="shared" si="81"/>
        <v>0</v>
      </c>
      <c r="AO62" s="33">
        <f t="shared" si="81"/>
        <v>0</v>
      </c>
      <c r="AP62" s="33">
        <f t="shared" si="81"/>
        <v>0</v>
      </c>
      <c r="AQ62" s="33">
        <f t="shared" si="81"/>
        <v>0</v>
      </c>
      <c r="AR62" s="98"/>
      <c r="AS62" s="101"/>
      <c r="AT62" s="46"/>
      <c r="AU62" s="47"/>
    </row>
    <row r="63" spans="1:49" s="34" customFormat="1" ht="12.75">
      <c r="A63" s="123"/>
      <c r="B63" s="127"/>
      <c r="C63" s="128"/>
      <c r="D63" s="35" t="s">
        <v>90</v>
      </c>
      <c r="E63" s="32">
        <f>E69</f>
        <v>826.7</v>
      </c>
      <c r="F63" s="33">
        <f t="shared" si="81"/>
        <v>761.7</v>
      </c>
      <c r="G63" s="33">
        <f>F63/E63*100</f>
        <v>92.137413813959114</v>
      </c>
      <c r="H63" s="33">
        <f t="shared" si="81"/>
        <v>0</v>
      </c>
      <c r="I63" s="33">
        <f t="shared" si="81"/>
        <v>0</v>
      </c>
      <c r="J63" s="33">
        <v>0</v>
      </c>
      <c r="K63" s="33">
        <f t="shared" si="81"/>
        <v>40</v>
      </c>
      <c r="L63" s="33">
        <f t="shared" si="81"/>
        <v>40</v>
      </c>
      <c r="M63" s="33">
        <f>L63/K63*100</f>
        <v>100</v>
      </c>
      <c r="N63" s="33">
        <f t="shared" si="81"/>
        <v>136.9</v>
      </c>
      <c r="O63" s="33">
        <f t="shared" si="81"/>
        <v>136.9</v>
      </c>
      <c r="P63" s="33">
        <f>O63/N63*100</f>
        <v>100</v>
      </c>
      <c r="Q63" s="33">
        <f t="shared" si="81"/>
        <v>82.2</v>
      </c>
      <c r="R63" s="33">
        <f t="shared" si="81"/>
        <v>13.5</v>
      </c>
      <c r="S63" s="33">
        <f>R63/Q63*100</f>
        <v>16.423357664233578</v>
      </c>
      <c r="T63" s="33">
        <f t="shared" si="81"/>
        <v>120</v>
      </c>
      <c r="U63" s="33">
        <f t="shared" si="81"/>
        <v>111</v>
      </c>
      <c r="V63" s="33">
        <f>U63/T63*100</f>
        <v>92.5</v>
      </c>
      <c r="W63" s="33">
        <f t="shared" si="81"/>
        <v>44.400000000000006</v>
      </c>
      <c r="X63" s="33">
        <f t="shared" si="81"/>
        <v>15</v>
      </c>
      <c r="Y63" s="33">
        <f>X63/W63*100</f>
        <v>33.783783783783775</v>
      </c>
      <c r="Z63" s="33">
        <f t="shared" si="81"/>
        <v>60</v>
      </c>
      <c r="AA63" s="33">
        <f t="shared" si="81"/>
        <v>59.3</v>
      </c>
      <c r="AB63" s="33">
        <f>AA63/Z63*100</f>
        <v>98.833333333333329</v>
      </c>
      <c r="AC63" s="33">
        <f t="shared" si="81"/>
        <v>20</v>
      </c>
      <c r="AD63" s="33">
        <f t="shared" si="81"/>
        <v>15.8</v>
      </c>
      <c r="AE63" s="33">
        <f>AD63/AC63*100</f>
        <v>79</v>
      </c>
      <c r="AF63" s="33">
        <f t="shared" si="81"/>
        <v>84.4</v>
      </c>
      <c r="AG63" s="33">
        <f t="shared" si="81"/>
        <v>36</v>
      </c>
      <c r="AH63" s="33">
        <f>AG63/AF63*100</f>
        <v>42.654028436018955</v>
      </c>
      <c r="AI63" s="33">
        <f>AI69</f>
        <v>68</v>
      </c>
      <c r="AJ63" s="33">
        <f t="shared" si="81"/>
        <v>68</v>
      </c>
      <c r="AK63" s="33">
        <f>AJ63/AI63*100</f>
        <v>100</v>
      </c>
      <c r="AL63" s="33">
        <f t="shared" si="81"/>
        <v>112.6</v>
      </c>
      <c r="AM63" s="33">
        <f t="shared" si="81"/>
        <v>208</v>
      </c>
      <c r="AN63" s="33">
        <f t="shared" si="81"/>
        <v>184.7246891651865</v>
      </c>
      <c r="AO63" s="33">
        <f t="shared" si="81"/>
        <v>58.2</v>
      </c>
      <c r="AP63" s="33">
        <f t="shared" si="81"/>
        <v>58.2</v>
      </c>
      <c r="AQ63" s="33">
        <f>AP63/AO63*100</f>
        <v>100</v>
      </c>
      <c r="AR63" s="98"/>
      <c r="AS63" s="101"/>
      <c r="AT63" s="46"/>
      <c r="AU63" s="47"/>
    </row>
    <row r="64" spans="1:49" s="34" customFormat="1" ht="24">
      <c r="A64" s="123"/>
      <c r="B64" s="127"/>
      <c r="C64" s="128"/>
      <c r="D64" s="40" t="s">
        <v>92</v>
      </c>
      <c r="E64" s="32">
        <f>E70</f>
        <v>0</v>
      </c>
      <c r="F64" s="33">
        <f>F70</f>
        <v>0</v>
      </c>
      <c r="G64" s="33">
        <v>0</v>
      </c>
      <c r="H64" s="33">
        <f>H70</f>
        <v>0</v>
      </c>
      <c r="I64" s="33">
        <f>I70</f>
        <v>0</v>
      </c>
      <c r="J64" s="33">
        <f>J70</f>
        <v>0</v>
      </c>
      <c r="K64" s="33">
        <f>K70</f>
        <v>0</v>
      </c>
      <c r="L64" s="33">
        <f>L70</f>
        <v>0</v>
      </c>
      <c r="M64" s="33">
        <v>0</v>
      </c>
      <c r="N64" s="33">
        <f t="shared" si="81"/>
        <v>0</v>
      </c>
      <c r="O64" s="33">
        <f t="shared" si="81"/>
        <v>0</v>
      </c>
      <c r="P64" s="33">
        <f t="shared" si="81"/>
        <v>0</v>
      </c>
      <c r="Q64" s="33">
        <f t="shared" si="81"/>
        <v>0</v>
      </c>
      <c r="R64" s="33">
        <f t="shared" si="81"/>
        <v>0</v>
      </c>
      <c r="S64" s="33">
        <f t="shared" si="81"/>
        <v>0</v>
      </c>
      <c r="T64" s="33">
        <f t="shared" si="81"/>
        <v>0</v>
      </c>
      <c r="U64" s="33">
        <f t="shared" si="81"/>
        <v>0</v>
      </c>
      <c r="V64" s="33">
        <f t="shared" si="81"/>
        <v>0</v>
      </c>
      <c r="W64" s="33">
        <f t="shared" si="81"/>
        <v>0</v>
      </c>
      <c r="X64" s="33">
        <f t="shared" si="81"/>
        <v>0</v>
      </c>
      <c r="Y64" s="33">
        <f t="shared" si="81"/>
        <v>0</v>
      </c>
      <c r="Z64" s="33">
        <f t="shared" si="81"/>
        <v>0</v>
      </c>
      <c r="AA64" s="33">
        <f t="shared" si="81"/>
        <v>0</v>
      </c>
      <c r="AB64" s="33">
        <f t="shared" si="81"/>
        <v>0</v>
      </c>
      <c r="AC64" s="33">
        <f t="shared" si="81"/>
        <v>0</v>
      </c>
      <c r="AD64" s="33">
        <f t="shared" si="81"/>
        <v>0</v>
      </c>
      <c r="AE64" s="33">
        <f t="shared" si="81"/>
        <v>0</v>
      </c>
      <c r="AF64" s="33">
        <f t="shared" si="81"/>
        <v>0</v>
      </c>
      <c r="AG64" s="33">
        <f t="shared" si="81"/>
        <v>0</v>
      </c>
      <c r="AH64" s="33">
        <f t="shared" si="81"/>
        <v>0</v>
      </c>
      <c r="AI64" s="33">
        <f t="shared" si="81"/>
        <v>0</v>
      </c>
      <c r="AJ64" s="33">
        <f t="shared" si="81"/>
        <v>0</v>
      </c>
      <c r="AK64" s="33">
        <f t="shared" si="81"/>
        <v>0</v>
      </c>
      <c r="AL64" s="33">
        <f t="shared" si="81"/>
        <v>0</v>
      </c>
      <c r="AM64" s="33">
        <f t="shared" si="81"/>
        <v>0</v>
      </c>
      <c r="AN64" s="33">
        <f t="shared" si="81"/>
        <v>0</v>
      </c>
      <c r="AO64" s="33">
        <f t="shared" si="81"/>
        <v>0</v>
      </c>
      <c r="AP64" s="33">
        <f t="shared" si="81"/>
        <v>0</v>
      </c>
      <c r="AQ64" s="33">
        <f t="shared" si="81"/>
        <v>0</v>
      </c>
      <c r="AR64" s="98"/>
      <c r="AS64" s="101"/>
      <c r="AT64" s="46"/>
      <c r="AU64" s="47"/>
    </row>
    <row r="65" spans="1:50" s="34" customFormat="1" ht="24">
      <c r="A65" s="124"/>
      <c r="B65" s="129"/>
      <c r="C65" s="130"/>
      <c r="D65" s="40" t="s">
        <v>93</v>
      </c>
      <c r="E65" s="32">
        <f>H65+K65+N65+Q65+T65+W65+Z65+AC65+AF65+AI65+AL65+AO65</f>
        <v>0</v>
      </c>
      <c r="F65" s="33">
        <f>I65+L65+O65+R65+U65+X65+AA65+AD65+AG65+AJ65+AM65+AP65</f>
        <v>0</v>
      </c>
      <c r="G65" s="33">
        <v>0</v>
      </c>
      <c r="H65" s="33">
        <v>0</v>
      </c>
      <c r="I65" s="33">
        <v>0</v>
      </c>
      <c r="J65" s="33">
        <v>0</v>
      </c>
      <c r="K65" s="41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42">
        <v>0</v>
      </c>
      <c r="U65" s="42">
        <v>0</v>
      </c>
      <c r="V65" s="33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33">
        <v>0</v>
      </c>
      <c r="AI65" s="33">
        <v>0</v>
      </c>
      <c r="AJ65" s="33">
        <v>0</v>
      </c>
      <c r="AK65" s="33">
        <v>0</v>
      </c>
      <c r="AL65" s="42">
        <v>0</v>
      </c>
      <c r="AM65" s="42">
        <v>0</v>
      </c>
      <c r="AN65" s="42">
        <v>0</v>
      </c>
      <c r="AO65" s="33">
        <v>0</v>
      </c>
      <c r="AP65" s="33">
        <v>0</v>
      </c>
      <c r="AQ65" s="33">
        <v>0</v>
      </c>
      <c r="AR65" s="99"/>
      <c r="AS65" s="102"/>
      <c r="AT65" s="46"/>
      <c r="AU65" s="47"/>
    </row>
    <row r="66" spans="1:50" s="34" customFormat="1" ht="84">
      <c r="A66" s="62" t="s">
        <v>136</v>
      </c>
      <c r="B66" s="55" t="s">
        <v>137</v>
      </c>
      <c r="C66" s="58" t="s">
        <v>138</v>
      </c>
      <c r="D66" s="55" t="s">
        <v>125</v>
      </c>
      <c r="E66" s="32" t="s">
        <v>40</v>
      </c>
      <c r="F66" s="33" t="s">
        <v>40</v>
      </c>
      <c r="G66" s="33" t="s">
        <v>40</v>
      </c>
      <c r="H66" s="33" t="s">
        <v>40</v>
      </c>
      <c r="I66" s="33" t="s">
        <v>40</v>
      </c>
      <c r="J66" s="33" t="s">
        <v>40</v>
      </c>
      <c r="K66" s="33" t="s">
        <v>40</v>
      </c>
      <c r="L66" s="33" t="s">
        <v>40</v>
      </c>
      <c r="M66" s="33" t="s">
        <v>40</v>
      </c>
      <c r="N66" s="33" t="s">
        <v>40</v>
      </c>
      <c r="O66" s="33" t="s">
        <v>40</v>
      </c>
      <c r="P66" s="33" t="s">
        <v>40</v>
      </c>
      <c r="Q66" s="33" t="s">
        <v>40</v>
      </c>
      <c r="R66" s="33" t="s">
        <v>40</v>
      </c>
      <c r="S66" s="33" t="s">
        <v>40</v>
      </c>
      <c r="T66" s="33" t="s">
        <v>40</v>
      </c>
      <c r="U66" s="33" t="s">
        <v>40</v>
      </c>
      <c r="V66" s="33" t="s">
        <v>40</v>
      </c>
      <c r="W66" s="33" t="s">
        <v>40</v>
      </c>
      <c r="X66" s="33" t="s">
        <v>40</v>
      </c>
      <c r="Y66" s="33" t="s">
        <v>40</v>
      </c>
      <c r="Z66" s="33" t="s">
        <v>40</v>
      </c>
      <c r="AA66" s="33" t="s">
        <v>40</v>
      </c>
      <c r="AB66" s="33" t="s">
        <v>40</v>
      </c>
      <c r="AC66" s="33" t="s">
        <v>40</v>
      </c>
      <c r="AD66" s="33" t="s">
        <v>40</v>
      </c>
      <c r="AE66" s="33" t="s">
        <v>40</v>
      </c>
      <c r="AF66" s="33" t="s">
        <v>40</v>
      </c>
      <c r="AG66" s="33" t="s">
        <v>40</v>
      </c>
      <c r="AH66" s="33" t="s">
        <v>40</v>
      </c>
      <c r="AI66" s="33" t="s">
        <v>40</v>
      </c>
      <c r="AJ66" s="33" t="s">
        <v>40</v>
      </c>
      <c r="AK66" s="33" t="s">
        <v>40</v>
      </c>
      <c r="AL66" s="33" t="s">
        <v>40</v>
      </c>
      <c r="AM66" s="33" t="s">
        <v>40</v>
      </c>
      <c r="AN66" s="33" t="s">
        <v>40</v>
      </c>
      <c r="AO66" s="33" t="s">
        <v>40</v>
      </c>
      <c r="AP66" s="33" t="s">
        <v>40</v>
      </c>
      <c r="AQ66" s="33" t="s">
        <v>40</v>
      </c>
      <c r="AR66" s="63" t="s">
        <v>139</v>
      </c>
      <c r="AS66" s="64"/>
      <c r="AT66" s="46"/>
      <c r="AU66" s="47"/>
    </row>
    <row r="67" spans="1:50" s="26" customFormat="1" ht="12.75">
      <c r="A67" s="134" t="s">
        <v>140</v>
      </c>
      <c r="B67" s="106" t="s">
        <v>141</v>
      </c>
      <c r="C67" s="135" t="s">
        <v>142</v>
      </c>
      <c r="D67" s="43" t="s">
        <v>88</v>
      </c>
      <c r="E67" s="44">
        <f>E68+E69+E70+E71</f>
        <v>826.7</v>
      </c>
      <c r="F67" s="45">
        <f>F68+F69+F70+F71</f>
        <v>761.7</v>
      </c>
      <c r="G67" s="45">
        <f>F67/E67*100</f>
        <v>92.137413813959114</v>
      </c>
      <c r="H67" s="45">
        <f>H68+H69+H70+H71</f>
        <v>0</v>
      </c>
      <c r="I67" s="45">
        <f>I68+I69+I70+I71</f>
        <v>0</v>
      </c>
      <c r="J67" s="45">
        <v>0</v>
      </c>
      <c r="K67" s="45">
        <f>K68+K69+K70+K71</f>
        <v>40</v>
      </c>
      <c r="L67" s="45">
        <f>L68+L69+L70+L71</f>
        <v>40</v>
      </c>
      <c r="M67" s="45">
        <f>L67/K67*100</f>
        <v>100</v>
      </c>
      <c r="N67" s="45">
        <f>N68+N69+N70+N71</f>
        <v>136.9</v>
      </c>
      <c r="O67" s="45">
        <f>O68+O69+O70+O71</f>
        <v>136.9</v>
      </c>
      <c r="P67" s="45">
        <f>O67/N67*100</f>
        <v>100</v>
      </c>
      <c r="Q67" s="45">
        <f>Q68+Q69+Q70+Q71</f>
        <v>82.2</v>
      </c>
      <c r="R67" s="45">
        <f>R68+R69+R70+R71</f>
        <v>13.5</v>
      </c>
      <c r="S67" s="45">
        <f>R67/Q67*100</f>
        <v>16.423357664233578</v>
      </c>
      <c r="T67" s="45">
        <f>T68+T69+T70+T71</f>
        <v>120</v>
      </c>
      <c r="U67" s="45">
        <f>U68+U69+U70+U71</f>
        <v>111</v>
      </c>
      <c r="V67" s="45">
        <f>U67/T67*100</f>
        <v>92.5</v>
      </c>
      <c r="W67" s="45">
        <f>W68+W69+W70+W71</f>
        <v>44.400000000000006</v>
      </c>
      <c r="X67" s="45">
        <f>X68+X69+X70+X71</f>
        <v>15</v>
      </c>
      <c r="Y67" s="45">
        <f>X67/W67*100</f>
        <v>33.783783783783775</v>
      </c>
      <c r="Z67" s="45">
        <f>Z68+Z69+Z70+Z71</f>
        <v>60</v>
      </c>
      <c r="AA67" s="45">
        <f>AA68+AA69+AA70+AA71</f>
        <v>59.3</v>
      </c>
      <c r="AB67" s="45">
        <f>AA67/Z67*100</f>
        <v>98.833333333333329</v>
      </c>
      <c r="AC67" s="45">
        <f>AC68+AC69+AC70+AC71</f>
        <v>20</v>
      </c>
      <c r="AD67" s="45">
        <f>AD68+AD69+AD70+AD71</f>
        <v>15.8</v>
      </c>
      <c r="AE67" s="45">
        <f>AD67/AC67*100</f>
        <v>79</v>
      </c>
      <c r="AF67" s="45">
        <f>AF68+AF69+AF70+AF71</f>
        <v>84.4</v>
      </c>
      <c r="AG67" s="45">
        <f>AG68+AG69+AG70+AG71</f>
        <v>36</v>
      </c>
      <c r="AH67" s="45">
        <f>AG67/AF67*100</f>
        <v>42.654028436018955</v>
      </c>
      <c r="AI67" s="45">
        <f>AI68+AI69+AI70+AI71</f>
        <v>68</v>
      </c>
      <c r="AJ67" s="45">
        <f>AJ68+AJ69+AJ70+AJ71</f>
        <v>68</v>
      </c>
      <c r="AK67" s="45">
        <f>AJ67/AI67*100</f>
        <v>100</v>
      </c>
      <c r="AL67" s="45">
        <f>AL68+AL69+AL70+AL71</f>
        <v>112.6</v>
      </c>
      <c r="AM67" s="45">
        <f>AM68+AM69+AM70+AM71</f>
        <v>208</v>
      </c>
      <c r="AN67" s="45">
        <f>AM67/AL67*100</f>
        <v>184.7246891651865</v>
      </c>
      <c r="AO67" s="45">
        <f>AO68+AO69+AO70+AO71</f>
        <v>58.2</v>
      </c>
      <c r="AP67" s="56">
        <f>AP68+AP69+AP70</f>
        <v>58.2</v>
      </c>
      <c r="AQ67" s="45">
        <f>AP67/AO67*100</f>
        <v>100</v>
      </c>
      <c r="AR67" s="112" t="s">
        <v>143</v>
      </c>
      <c r="AS67" s="112" t="s">
        <v>144</v>
      </c>
      <c r="AT67" s="46"/>
      <c r="AU67" s="47"/>
      <c r="AW67" s="46"/>
    </row>
    <row r="68" spans="1:50" s="26" customFormat="1" ht="48">
      <c r="A68" s="134"/>
      <c r="B68" s="107"/>
      <c r="C68" s="135"/>
      <c r="D68" s="48" t="s">
        <v>89</v>
      </c>
      <c r="E68" s="44">
        <f>H68+K68+N68+Q68+T68+W68+Z68+AC68+AF68+AI68+AL68+AO68</f>
        <v>0</v>
      </c>
      <c r="F68" s="45">
        <f>I68+L68+O68+R68+U68+X68+AA68+AD68+AG68+AJ68+AM68+AP68</f>
        <v>0</v>
      </c>
      <c r="G68" s="45">
        <v>0</v>
      </c>
      <c r="H68" s="45">
        <v>0</v>
      </c>
      <c r="I68" s="45">
        <v>0</v>
      </c>
      <c r="J68" s="45">
        <v>0</v>
      </c>
      <c r="K68" s="56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45">
        <v>0</v>
      </c>
      <c r="AJ68" s="45">
        <v>0</v>
      </c>
      <c r="AK68" s="45">
        <v>0</v>
      </c>
      <c r="AL68" s="50">
        <v>0</v>
      </c>
      <c r="AM68" s="50">
        <v>0</v>
      </c>
      <c r="AN68" s="50">
        <v>0</v>
      </c>
      <c r="AO68" s="45">
        <v>0</v>
      </c>
      <c r="AP68" s="45">
        <v>0</v>
      </c>
      <c r="AQ68" s="45">
        <v>0</v>
      </c>
      <c r="AR68" s="113"/>
      <c r="AS68" s="113"/>
      <c r="AT68" s="46"/>
      <c r="AU68" s="47"/>
      <c r="AW68" s="46"/>
    </row>
    <row r="69" spans="1:50" s="26" customFormat="1" ht="12.75">
      <c r="A69" s="134"/>
      <c r="B69" s="107"/>
      <c r="C69" s="135"/>
      <c r="D69" s="48" t="s">
        <v>90</v>
      </c>
      <c r="E69" s="44">
        <f t="shared" ref="E69:F70" si="82">H69+K69+N69+Q69+T69+W69+Z69+AC69+AF69+AI69+AL69+AO69</f>
        <v>826.7</v>
      </c>
      <c r="F69" s="45">
        <f t="shared" si="82"/>
        <v>761.7</v>
      </c>
      <c r="G69" s="45">
        <f>F69/E69*100</f>
        <v>92.137413813959114</v>
      </c>
      <c r="H69" s="45">
        <v>0</v>
      </c>
      <c r="I69" s="45">
        <v>0</v>
      </c>
      <c r="J69" s="45">
        <v>0</v>
      </c>
      <c r="K69" s="45">
        <v>40</v>
      </c>
      <c r="L69" s="45">
        <v>40</v>
      </c>
      <c r="M69" s="45">
        <f>L69/K69*100</f>
        <v>100</v>
      </c>
      <c r="N69" s="45">
        <f>43.7+89.2+4</f>
        <v>136.9</v>
      </c>
      <c r="O69" s="45">
        <v>136.9</v>
      </c>
      <c r="P69" s="45">
        <f>O69/N69*100</f>
        <v>100</v>
      </c>
      <c r="Q69" s="45">
        <v>82.2</v>
      </c>
      <c r="R69" s="45">
        <v>13.5</v>
      </c>
      <c r="S69" s="45">
        <f>R69/Q69*100</f>
        <v>16.423357664233578</v>
      </c>
      <c r="T69" s="49">
        <f>82.2+37.8</f>
        <v>120</v>
      </c>
      <c r="U69" s="49">
        <v>111</v>
      </c>
      <c r="V69" s="45">
        <f>U69/T69*100</f>
        <v>92.5</v>
      </c>
      <c r="W69" s="50">
        <f>82.2-37.8</f>
        <v>44.400000000000006</v>
      </c>
      <c r="X69" s="50">
        <v>15</v>
      </c>
      <c r="Y69" s="50">
        <f t="shared" ref="Y69" si="83">X69/W69*100</f>
        <v>33.783783783783775</v>
      </c>
      <c r="Z69" s="45">
        <v>60</v>
      </c>
      <c r="AA69" s="45">
        <v>59.3</v>
      </c>
      <c r="AB69" s="45">
        <f>AA69/Z69*100</f>
        <v>98.833333333333329</v>
      </c>
      <c r="AC69" s="49">
        <v>20</v>
      </c>
      <c r="AD69" s="49">
        <v>15.8</v>
      </c>
      <c r="AE69" s="50">
        <f>AD69/AC69*100</f>
        <v>79</v>
      </c>
      <c r="AF69" s="49">
        <v>84.4</v>
      </c>
      <c r="AG69" s="51">
        <v>36</v>
      </c>
      <c r="AH69" s="50">
        <f>AG69/AF69*100</f>
        <v>42.654028436018955</v>
      </c>
      <c r="AI69" s="49">
        <v>68</v>
      </c>
      <c r="AJ69" s="49">
        <v>68</v>
      </c>
      <c r="AK69" s="49">
        <f>AJ69/AI69*100</f>
        <v>100</v>
      </c>
      <c r="AL69" s="49">
        <v>112.6</v>
      </c>
      <c r="AM69" s="49">
        <v>208</v>
      </c>
      <c r="AN69" s="45">
        <f>AM69/AL69*100</f>
        <v>184.7246891651865</v>
      </c>
      <c r="AO69" s="49">
        <v>58.2</v>
      </c>
      <c r="AP69" s="45">
        <v>58.2</v>
      </c>
      <c r="AQ69" s="45">
        <f>AP69/AO69*100</f>
        <v>100</v>
      </c>
      <c r="AR69" s="113"/>
      <c r="AS69" s="113"/>
      <c r="AT69" s="46"/>
      <c r="AU69" s="46"/>
      <c r="AV69" s="46"/>
      <c r="AW69" s="46"/>
    </row>
    <row r="70" spans="1:50" s="26" customFormat="1" ht="24">
      <c r="A70" s="134"/>
      <c r="B70" s="107"/>
      <c r="C70" s="135"/>
      <c r="D70" s="55" t="s">
        <v>92</v>
      </c>
      <c r="E70" s="44">
        <f t="shared" si="82"/>
        <v>0</v>
      </c>
      <c r="F70" s="45">
        <f t="shared" si="82"/>
        <v>0</v>
      </c>
      <c r="G70" s="45">
        <v>0</v>
      </c>
      <c r="H70" s="45">
        <v>0</v>
      </c>
      <c r="I70" s="45">
        <v>0</v>
      </c>
      <c r="J70" s="45">
        <v>0</v>
      </c>
      <c r="K70" s="56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45">
        <v>0</v>
      </c>
      <c r="AJ70" s="45">
        <v>0</v>
      </c>
      <c r="AK70" s="45">
        <v>0</v>
      </c>
      <c r="AL70" s="50">
        <v>0</v>
      </c>
      <c r="AM70" s="50">
        <v>0</v>
      </c>
      <c r="AN70" s="50">
        <v>0</v>
      </c>
      <c r="AO70" s="45">
        <v>0</v>
      </c>
      <c r="AP70" s="45">
        <v>0</v>
      </c>
      <c r="AQ70" s="45">
        <v>0</v>
      </c>
      <c r="AR70" s="113"/>
      <c r="AS70" s="113"/>
      <c r="AT70" s="46"/>
      <c r="AU70" s="47"/>
      <c r="AW70" s="46"/>
    </row>
    <row r="71" spans="1:50" s="26" customFormat="1" ht="24">
      <c r="A71" s="134"/>
      <c r="B71" s="108"/>
      <c r="C71" s="135"/>
      <c r="D71" s="55" t="s">
        <v>93</v>
      </c>
      <c r="E71" s="44">
        <f>H71+K71+N71+Q71+T71+W71+Z71+AC71+AF71+AI71+AL71+AO71</f>
        <v>0</v>
      </c>
      <c r="F71" s="45">
        <f>I71+L71+O71+R71+U71+X71+AA71+AD71+AG71+AJ71+AM71+AP71</f>
        <v>0</v>
      </c>
      <c r="G71" s="45">
        <v>0</v>
      </c>
      <c r="H71" s="45">
        <v>0</v>
      </c>
      <c r="I71" s="45">
        <v>0</v>
      </c>
      <c r="J71" s="45">
        <v>0</v>
      </c>
      <c r="K71" s="56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50">
        <v>0</v>
      </c>
      <c r="U71" s="50">
        <v>0</v>
      </c>
      <c r="V71" s="45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45">
        <v>0</v>
      </c>
      <c r="AI71" s="45">
        <v>0</v>
      </c>
      <c r="AJ71" s="45">
        <v>0</v>
      </c>
      <c r="AK71" s="45">
        <v>0</v>
      </c>
      <c r="AL71" s="50">
        <v>0</v>
      </c>
      <c r="AM71" s="50">
        <v>0</v>
      </c>
      <c r="AN71" s="50">
        <v>0</v>
      </c>
      <c r="AO71" s="45">
        <v>0</v>
      </c>
      <c r="AP71" s="45">
        <v>0</v>
      </c>
      <c r="AQ71" s="45">
        <v>0</v>
      </c>
      <c r="AR71" s="114"/>
      <c r="AS71" s="114"/>
      <c r="AT71" s="46"/>
      <c r="AU71" s="47"/>
    </row>
    <row r="72" spans="1:50" s="34" customFormat="1" ht="12.75">
      <c r="A72" s="88" t="s">
        <v>23</v>
      </c>
      <c r="B72" s="91" t="s">
        <v>145</v>
      </c>
      <c r="C72" s="92"/>
      <c r="D72" s="31" t="s">
        <v>88</v>
      </c>
      <c r="E72" s="33">
        <f>SUM(E73:E76)</f>
        <v>0</v>
      </c>
      <c r="F72" s="33">
        <f>SUM(F73:F76)</f>
        <v>0</v>
      </c>
      <c r="G72" s="33">
        <v>0</v>
      </c>
      <c r="H72" s="33">
        <f>H73+H74+H75</f>
        <v>0</v>
      </c>
      <c r="I72" s="33">
        <f>I73+I74+I75</f>
        <v>0</v>
      </c>
      <c r="J72" s="33">
        <v>0</v>
      </c>
      <c r="K72" s="33">
        <f>K73+K74+K75</f>
        <v>0</v>
      </c>
      <c r="L72" s="33">
        <f>L73+L74+L75</f>
        <v>0</v>
      </c>
      <c r="M72" s="33">
        <v>0</v>
      </c>
      <c r="N72" s="33">
        <f>N73+N74+N75</f>
        <v>0</v>
      </c>
      <c r="O72" s="33">
        <f>O73+O74+O75</f>
        <v>0</v>
      </c>
      <c r="P72" s="33">
        <v>0</v>
      </c>
      <c r="Q72" s="33">
        <f>Q73+Q74+Q75</f>
        <v>0</v>
      </c>
      <c r="R72" s="33">
        <f>R73+R74+R75</f>
        <v>0</v>
      </c>
      <c r="S72" s="33">
        <v>0</v>
      </c>
      <c r="T72" s="33">
        <f>T73+T74+T75</f>
        <v>0</v>
      </c>
      <c r="U72" s="33">
        <f>U73+U74+U75</f>
        <v>0</v>
      </c>
      <c r="V72" s="33">
        <v>0</v>
      </c>
      <c r="W72" s="33">
        <f>W73+W74+W75</f>
        <v>0</v>
      </c>
      <c r="X72" s="33">
        <f>X73+X74+X75</f>
        <v>0</v>
      </c>
      <c r="Y72" s="33">
        <v>0</v>
      </c>
      <c r="Z72" s="33">
        <f>Z73+Z74+Z75</f>
        <v>0</v>
      </c>
      <c r="AA72" s="33">
        <f>AA73+AA74+AA75</f>
        <v>0</v>
      </c>
      <c r="AB72" s="33">
        <v>0</v>
      </c>
      <c r="AC72" s="33">
        <f>AC73+AC74+AC75</f>
        <v>0</v>
      </c>
      <c r="AD72" s="33">
        <f>AD73+AD74+AD75</f>
        <v>0</v>
      </c>
      <c r="AE72" s="33">
        <v>0</v>
      </c>
      <c r="AF72" s="33">
        <f>AF73+AF74+AF75</f>
        <v>0</v>
      </c>
      <c r="AG72" s="33">
        <f>AG73+AG74+AG75</f>
        <v>0</v>
      </c>
      <c r="AH72" s="33">
        <v>0</v>
      </c>
      <c r="AI72" s="33">
        <f>AI73+AI74+AI75</f>
        <v>0</v>
      </c>
      <c r="AJ72" s="33">
        <f>AJ73+AJ74+AJ75</f>
        <v>0</v>
      </c>
      <c r="AK72" s="33">
        <v>0</v>
      </c>
      <c r="AL72" s="33">
        <f>AL73+AL74+AL75</f>
        <v>0</v>
      </c>
      <c r="AM72" s="33">
        <f>AM73+AM74+AM75</f>
        <v>0</v>
      </c>
      <c r="AN72" s="33">
        <v>0</v>
      </c>
      <c r="AO72" s="33">
        <f>AO73+AO74+AO75</f>
        <v>0</v>
      </c>
      <c r="AP72" s="33">
        <f>AP73+AP74+AP75</f>
        <v>0</v>
      </c>
      <c r="AQ72" s="33">
        <v>0</v>
      </c>
      <c r="AR72" s="97"/>
      <c r="AS72" s="100"/>
      <c r="AT72" s="36"/>
    </row>
    <row r="73" spans="1:50" s="34" customFormat="1" ht="48">
      <c r="A73" s="89"/>
      <c r="B73" s="93"/>
      <c r="C73" s="94"/>
      <c r="D73" s="35" t="s">
        <v>89</v>
      </c>
      <c r="E73" s="33">
        <v>0</v>
      </c>
      <c r="F73" s="33">
        <v>0</v>
      </c>
      <c r="G73" s="33">
        <v>0</v>
      </c>
      <c r="H73" s="33">
        <f t="shared" ref="H73:I74" si="84">H78+H83</f>
        <v>0</v>
      </c>
      <c r="I73" s="33">
        <f t="shared" si="84"/>
        <v>0</v>
      </c>
      <c r="J73" s="33">
        <v>0</v>
      </c>
      <c r="K73" s="33">
        <f t="shared" ref="K73:L74" si="85">K78+K83</f>
        <v>0</v>
      </c>
      <c r="L73" s="33">
        <f t="shared" si="85"/>
        <v>0</v>
      </c>
      <c r="M73" s="33">
        <v>0</v>
      </c>
      <c r="N73" s="33">
        <f t="shared" ref="N73:O74" si="86">N78+N83</f>
        <v>0</v>
      </c>
      <c r="O73" s="33">
        <f t="shared" si="86"/>
        <v>0</v>
      </c>
      <c r="P73" s="33">
        <v>0</v>
      </c>
      <c r="Q73" s="33">
        <f t="shared" ref="Q73:R74" si="87">Q78+Q83</f>
        <v>0</v>
      </c>
      <c r="R73" s="33">
        <f t="shared" si="87"/>
        <v>0</v>
      </c>
      <c r="S73" s="33">
        <v>0</v>
      </c>
      <c r="T73" s="33">
        <f t="shared" ref="T73:U74" si="88">T78+T83</f>
        <v>0</v>
      </c>
      <c r="U73" s="33">
        <f t="shared" si="88"/>
        <v>0</v>
      </c>
      <c r="V73" s="33">
        <v>0</v>
      </c>
      <c r="W73" s="33">
        <f t="shared" ref="W73:X74" si="89">W78+W83</f>
        <v>0</v>
      </c>
      <c r="X73" s="33">
        <f t="shared" si="89"/>
        <v>0</v>
      </c>
      <c r="Y73" s="33">
        <v>0</v>
      </c>
      <c r="Z73" s="33">
        <f t="shared" ref="Z73:AA74" si="90">Z78+Z83</f>
        <v>0</v>
      </c>
      <c r="AA73" s="33">
        <f t="shared" si="90"/>
        <v>0</v>
      </c>
      <c r="AB73" s="33">
        <v>0</v>
      </c>
      <c r="AC73" s="33">
        <f t="shared" ref="AC73:AD74" si="91">AC78+AC83</f>
        <v>0</v>
      </c>
      <c r="AD73" s="33">
        <f t="shared" si="91"/>
        <v>0</v>
      </c>
      <c r="AE73" s="33">
        <v>0</v>
      </c>
      <c r="AF73" s="33">
        <f t="shared" ref="AF73:AG74" si="92">AF78+AF83</f>
        <v>0</v>
      </c>
      <c r="AG73" s="33">
        <f t="shared" si="92"/>
        <v>0</v>
      </c>
      <c r="AH73" s="33">
        <v>0</v>
      </c>
      <c r="AI73" s="33">
        <f t="shared" ref="AI73:AJ74" si="93">AI78+AI83</f>
        <v>0</v>
      </c>
      <c r="AJ73" s="33">
        <f t="shared" si="93"/>
        <v>0</v>
      </c>
      <c r="AK73" s="33">
        <v>0</v>
      </c>
      <c r="AL73" s="33">
        <f t="shared" ref="AL73:AM74" si="94">AL78+AL83</f>
        <v>0</v>
      </c>
      <c r="AM73" s="33">
        <f t="shared" si="94"/>
        <v>0</v>
      </c>
      <c r="AN73" s="33">
        <v>0</v>
      </c>
      <c r="AO73" s="33">
        <f t="shared" ref="AO73:AP74" si="95">AO78+AO83</f>
        <v>0</v>
      </c>
      <c r="AP73" s="33">
        <f t="shared" si="95"/>
        <v>0</v>
      </c>
      <c r="AQ73" s="33">
        <v>0</v>
      </c>
      <c r="AR73" s="98"/>
      <c r="AS73" s="101"/>
      <c r="AT73" s="36"/>
    </row>
    <row r="74" spans="1:50" s="34" customFormat="1" ht="12.75">
      <c r="A74" s="89"/>
      <c r="B74" s="93"/>
      <c r="C74" s="94"/>
      <c r="D74" s="35" t="s">
        <v>90</v>
      </c>
      <c r="E74" s="33">
        <f>E79+E84</f>
        <v>0</v>
      </c>
      <c r="F74" s="33">
        <f>F79+F84</f>
        <v>0</v>
      </c>
      <c r="G74" s="33">
        <v>0</v>
      </c>
      <c r="H74" s="33">
        <f t="shared" si="84"/>
        <v>0</v>
      </c>
      <c r="I74" s="33">
        <f t="shared" si="84"/>
        <v>0</v>
      </c>
      <c r="J74" s="33">
        <v>0</v>
      </c>
      <c r="K74" s="33">
        <f t="shared" si="85"/>
        <v>0</v>
      </c>
      <c r="L74" s="33">
        <f t="shared" si="85"/>
        <v>0</v>
      </c>
      <c r="M74" s="33">
        <v>0</v>
      </c>
      <c r="N74" s="33">
        <f t="shared" si="86"/>
        <v>0</v>
      </c>
      <c r="O74" s="33">
        <f t="shared" si="86"/>
        <v>0</v>
      </c>
      <c r="P74" s="33">
        <v>0</v>
      </c>
      <c r="Q74" s="33">
        <f t="shared" si="87"/>
        <v>0</v>
      </c>
      <c r="R74" s="33">
        <f t="shared" si="87"/>
        <v>0</v>
      </c>
      <c r="S74" s="33">
        <v>0</v>
      </c>
      <c r="T74" s="33">
        <f t="shared" si="88"/>
        <v>0</v>
      </c>
      <c r="U74" s="33">
        <f t="shared" si="88"/>
        <v>0</v>
      </c>
      <c r="V74" s="33">
        <v>0</v>
      </c>
      <c r="W74" s="33">
        <f t="shared" si="89"/>
        <v>0</v>
      </c>
      <c r="X74" s="33">
        <f t="shared" si="89"/>
        <v>0</v>
      </c>
      <c r="Y74" s="33">
        <v>0</v>
      </c>
      <c r="Z74" s="33">
        <f t="shared" si="90"/>
        <v>0</v>
      </c>
      <c r="AA74" s="33">
        <f t="shared" si="90"/>
        <v>0</v>
      </c>
      <c r="AB74" s="33">
        <v>0</v>
      </c>
      <c r="AC74" s="33">
        <f t="shared" si="91"/>
        <v>0</v>
      </c>
      <c r="AD74" s="33">
        <f t="shared" si="91"/>
        <v>0</v>
      </c>
      <c r="AE74" s="33">
        <v>0</v>
      </c>
      <c r="AF74" s="33">
        <f t="shared" si="92"/>
        <v>0</v>
      </c>
      <c r="AG74" s="33">
        <f t="shared" si="92"/>
        <v>0</v>
      </c>
      <c r="AH74" s="33">
        <v>0</v>
      </c>
      <c r="AI74" s="33">
        <f t="shared" si="93"/>
        <v>0</v>
      </c>
      <c r="AJ74" s="33">
        <f t="shared" si="93"/>
        <v>0</v>
      </c>
      <c r="AK74" s="33">
        <v>0</v>
      </c>
      <c r="AL74" s="33">
        <f t="shared" si="94"/>
        <v>0</v>
      </c>
      <c r="AM74" s="33">
        <f t="shared" si="94"/>
        <v>0</v>
      </c>
      <c r="AN74" s="33">
        <v>0</v>
      </c>
      <c r="AO74" s="33">
        <f t="shared" si="95"/>
        <v>0</v>
      </c>
      <c r="AP74" s="33">
        <f t="shared" si="95"/>
        <v>0</v>
      </c>
      <c r="AQ74" s="33">
        <v>0</v>
      </c>
      <c r="AR74" s="98"/>
      <c r="AS74" s="101"/>
      <c r="AT74" s="36"/>
    </row>
    <row r="75" spans="1:50" s="34" customFormat="1" ht="24">
      <c r="A75" s="89"/>
      <c r="B75" s="93"/>
      <c r="C75" s="94"/>
      <c r="D75" s="40" t="s">
        <v>92</v>
      </c>
      <c r="E75" s="33">
        <v>0</v>
      </c>
      <c r="F75" s="33">
        <v>0</v>
      </c>
      <c r="G75" s="33">
        <v>0</v>
      </c>
      <c r="H75" s="33">
        <f>H80+H85</f>
        <v>0</v>
      </c>
      <c r="I75" s="33">
        <f>I80+I85</f>
        <v>0</v>
      </c>
      <c r="J75" s="33">
        <v>0</v>
      </c>
      <c r="K75" s="33">
        <f>K80+K85</f>
        <v>0</v>
      </c>
      <c r="L75" s="33">
        <f>L80+L85</f>
        <v>0</v>
      </c>
      <c r="M75" s="33">
        <v>0</v>
      </c>
      <c r="N75" s="33">
        <f>N80+N85</f>
        <v>0</v>
      </c>
      <c r="O75" s="33">
        <f>O80+O85</f>
        <v>0</v>
      </c>
      <c r="P75" s="33">
        <v>0</v>
      </c>
      <c r="Q75" s="33">
        <f>Q80+Q85</f>
        <v>0</v>
      </c>
      <c r="R75" s="33">
        <f>R80+R85</f>
        <v>0</v>
      </c>
      <c r="S75" s="33">
        <v>0</v>
      </c>
      <c r="T75" s="33">
        <f>T80+T85</f>
        <v>0</v>
      </c>
      <c r="U75" s="33">
        <f>U80+U85</f>
        <v>0</v>
      </c>
      <c r="V75" s="33">
        <v>0</v>
      </c>
      <c r="W75" s="33">
        <f>W80+W85</f>
        <v>0</v>
      </c>
      <c r="X75" s="33">
        <f>X80+X85</f>
        <v>0</v>
      </c>
      <c r="Y75" s="33">
        <v>0</v>
      </c>
      <c r="Z75" s="33">
        <f>Z80+Z85</f>
        <v>0</v>
      </c>
      <c r="AA75" s="33">
        <f>AA80+AA85</f>
        <v>0</v>
      </c>
      <c r="AB75" s="33">
        <v>0</v>
      </c>
      <c r="AC75" s="33">
        <f>AC80+AC85</f>
        <v>0</v>
      </c>
      <c r="AD75" s="33">
        <f>AD80+AD85</f>
        <v>0</v>
      </c>
      <c r="AE75" s="33">
        <v>0</v>
      </c>
      <c r="AF75" s="33">
        <f>AF80+AF85</f>
        <v>0</v>
      </c>
      <c r="AG75" s="33">
        <f>AG80+AG85</f>
        <v>0</v>
      </c>
      <c r="AH75" s="33">
        <v>0</v>
      </c>
      <c r="AI75" s="33">
        <f>AI80+AI85</f>
        <v>0</v>
      </c>
      <c r="AJ75" s="33">
        <f>AJ80+AJ85</f>
        <v>0</v>
      </c>
      <c r="AK75" s="33">
        <v>0</v>
      </c>
      <c r="AL75" s="33">
        <f>AL80+AL85</f>
        <v>0</v>
      </c>
      <c r="AM75" s="33">
        <f>AM80+AM85</f>
        <v>0</v>
      </c>
      <c r="AN75" s="33">
        <v>0</v>
      </c>
      <c r="AO75" s="33">
        <f>AO80+AO85</f>
        <v>0</v>
      </c>
      <c r="AP75" s="33">
        <f>AP80+AP85</f>
        <v>0</v>
      </c>
      <c r="AQ75" s="33">
        <v>0</v>
      </c>
      <c r="AR75" s="98"/>
      <c r="AS75" s="101"/>
      <c r="AT75" s="36"/>
    </row>
    <row r="76" spans="1:50" s="34" customFormat="1" ht="24">
      <c r="A76" s="90"/>
      <c r="B76" s="95"/>
      <c r="C76" s="96"/>
      <c r="D76" s="40" t="s">
        <v>93</v>
      </c>
      <c r="E76" s="33">
        <f>H76+K76+N76+Q76+T76+W76+Z76+AC76+AF76+AI76+AL76+AO76</f>
        <v>0</v>
      </c>
      <c r="F76" s="33">
        <f>I76+L76+O76+R76+U76+X76+AA76+AD76+AG76+AJ76+AM76+AP76</f>
        <v>0</v>
      </c>
      <c r="G76" s="33">
        <v>0</v>
      </c>
      <c r="H76" s="33">
        <v>0</v>
      </c>
      <c r="I76" s="33">
        <v>0</v>
      </c>
      <c r="J76" s="33">
        <v>0</v>
      </c>
      <c r="K76" s="41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2">
        <v>0</v>
      </c>
      <c r="U76" s="42">
        <v>0</v>
      </c>
      <c r="V76" s="33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33">
        <v>0</v>
      </c>
      <c r="AI76" s="33">
        <v>0</v>
      </c>
      <c r="AJ76" s="33">
        <v>0</v>
      </c>
      <c r="AK76" s="33">
        <v>0</v>
      </c>
      <c r="AL76" s="42">
        <v>0</v>
      </c>
      <c r="AM76" s="42">
        <v>0</v>
      </c>
      <c r="AN76" s="42">
        <v>0</v>
      </c>
      <c r="AO76" s="33">
        <v>0</v>
      </c>
      <c r="AP76" s="33">
        <v>0</v>
      </c>
      <c r="AQ76" s="33">
        <v>0</v>
      </c>
      <c r="AR76" s="99"/>
      <c r="AS76" s="102"/>
      <c r="AT76" s="36"/>
    </row>
    <row r="77" spans="1:50" s="26" customFormat="1" ht="12.75">
      <c r="A77" s="103" t="s">
        <v>146</v>
      </c>
      <c r="B77" s="106" t="s">
        <v>147</v>
      </c>
      <c r="C77" s="109" t="s">
        <v>148</v>
      </c>
      <c r="D77" s="43" t="s">
        <v>88</v>
      </c>
      <c r="E77" s="45">
        <f>SUM(E78:E80)</f>
        <v>0</v>
      </c>
      <c r="F77" s="45">
        <f>SUM(F78:F80)</f>
        <v>0</v>
      </c>
      <c r="G77" s="45">
        <v>0</v>
      </c>
      <c r="H77" s="45">
        <v>0</v>
      </c>
      <c r="I77" s="45">
        <v>0</v>
      </c>
      <c r="J77" s="45">
        <v>0</v>
      </c>
      <c r="K77" s="56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50">
        <v>0</v>
      </c>
      <c r="U77" s="50">
        <v>0</v>
      </c>
      <c r="V77" s="45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45">
        <v>0</v>
      </c>
      <c r="AI77" s="45">
        <v>0</v>
      </c>
      <c r="AJ77" s="45">
        <v>0</v>
      </c>
      <c r="AK77" s="45">
        <v>0</v>
      </c>
      <c r="AL77" s="50">
        <v>0</v>
      </c>
      <c r="AM77" s="50">
        <v>0</v>
      </c>
      <c r="AN77" s="50">
        <v>0</v>
      </c>
      <c r="AO77" s="45">
        <v>0</v>
      </c>
      <c r="AP77" s="45">
        <v>0</v>
      </c>
      <c r="AQ77" s="45">
        <v>0</v>
      </c>
      <c r="AR77" s="112" t="s">
        <v>149</v>
      </c>
      <c r="AS77" s="119"/>
      <c r="AT77" s="46"/>
      <c r="AU77" s="46"/>
      <c r="AV77" s="47"/>
      <c r="AX77" s="46"/>
    </row>
    <row r="78" spans="1:50" s="26" customFormat="1" ht="48">
      <c r="A78" s="104"/>
      <c r="B78" s="107"/>
      <c r="C78" s="110"/>
      <c r="D78" s="48" t="s">
        <v>89</v>
      </c>
      <c r="E78" s="45">
        <f>H78+K78+N78+Q78+T78+W78+Z78+AC78+AF78+AI78+AL78+AO78</f>
        <v>0</v>
      </c>
      <c r="F78" s="45">
        <f>I78+L78+O78+R78+U78+X78+AA78+AD78+AG78+AJ78+AM78+AP78</f>
        <v>0</v>
      </c>
      <c r="G78" s="45">
        <v>0</v>
      </c>
      <c r="H78" s="45">
        <v>0</v>
      </c>
      <c r="I78" s="45">
        <v>0</v>
      </c>
      <c r="J78" s="45">
        <v>0</v>
      </c>
      <c r="K78" s="56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50">
        <v>0</v>
      </c>
      <c r="U78" s="50">
        <v>0</v>
      </c>
      <c r="V78" s="45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45">
        <v>0</v>
      </c>
      <c r="AI78" s="45">
        <v>0</v>
      </c>
      <c r="AJ78" s="45">
        <v>0</v>
      </c>
      <c r="AK78" s="45">
        <v>0</v>
      </c>
      <c r="AL78" s="50">
        <v>0</v>
      </c>
      <c r="AM78" s="50">
        <v>0</v>
      </c>
      <c r="AN78" s="50">
        <v>0</v>
      </c>
      <c r="AO78" s="45">
        <v>0</v>
      </c>
      <c r="AP78" s="45">
        <v>0</v>
      </c>
      <c r="AQ78" s="45">
        <v>0</v>
      </c>
      <c r="AR78" s="113"/>
      <c r="AS78" s="120"/>
      <c r="AT78" s="46"/>
      <c r="AU78" s="46"/>
      <c r="AV78" s="47"/>
      <c r="AX78" s="46"/>
    </row>
    <row r="79" spans="1:50" s="26" customFormat="1" ht="12.75">
      <c r="A79" s="104"/>
      <c r="B79" s="107"/>
      <c r="C79" s="110"/>
      <c r="D79" s="48" t="s">
        <v>99</v>
      </c>
      <c r="E79" s="45">
        <f t="shared" ref="E79:F80" si="96">H79+K79+N79+Q79+T79+W79+Z79+AC79+AF79+AI79+AL79+AO79</f>
        <v>0</v>
      </c>
      <c r="F79" s="45">
        <f t="shared" si="96"/>
        <v>0</v>
      </c>
      <c r="G79" s="45">
        <v>0</v>
      </c>
      <c r="H79" s="45">
        <v>0</v>
      </c>
      <c r="I79" s="45">
        <v>0</v>
      </c>
      <c r="J79" s="45">
        <v>0</v>
      </c>
      <c r="K79" s="56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50">
        <v>0</v>
      </c>
      <c r="U79" s="50">
        <v>0</v>
      </c>
      <c r="V79" s="45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45">
        <v>0</v>
      </c>
      <c r="AI79" s="45">
        <v>0</v>
      </c>
      <c r="AJ79" s="45">
        <v>0</v>
      </c>
      <c r="AK79" s="45">
        <v>0</v>
      </c>
      <c r="AL79" s="50">
        <v>0</v>
      </c>
      <c r="AM79" s="50">
        <v>0</v>
      </c>
      <c r="AN79" s="45">
        <v>0</v>
      </c>
      <c r="AO79" s="45">
        <v>0</v>
      </c>
      <c r="AP79" s="45">
        <v>0</v>
      </c>
      <c r="AQ79" s="45">
        <v>0</v>
      </c>
      <c r="AR79" s="113"/>
      <c r="AS79" s="120"/>
      <c r="AT79" s="46"/>
      <c r="AU79" s="46"/>
      <c r="AV79" s="47"/>
      <c r="AX79" s="46"/>
    </row>
    <row r="80" spans="1:50" s="26" customFormat="1" ht="24">
      <c r="A80" s="104"/>
      <c r="B80" s="107"/>
      <c r="C80" s="110"/>
      <c r="D80" s="55" t="s">
        <v>92</v>
      </c>
      <c r="E80" s="45">
        <f t="shared" si="96"/>
        <v>0</v>
      </c>
      <c r="F80" s="45">
        <f t="shared" si="96"/>
        <v>0</v>
      </c>
      <c r="G80" s="45">
        <v>0</v>
      </c>
      <c r="H80" s="45">
        <v>0</v>
      </c>
      <c r="I80" s="45">
        <v>0</v>
      </c>
      <c r="J80" s="45">
        <v>0</v>
      </c>
      <c r="K80" s="56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50">
        <v>0</v>
      </c>
      <c r="U80" s="50">
        <v>0</v>
      </c>
      <c r="V80" s="45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45">
        <v>0</v>
      </c>
      <c r="AI80" s="45">
        <v>0</v>
      </c>
      <c r="AJ80" s="45">
        <v>0</v>
      </c>
      <c r="AK80" s="45">
        <v>0</v>
      </c>
      <c r="AL80" s="50">
        <v>0</v>
      </c>
      <c r="AM80" s="50">
        <v>0</v>
      </c>
      <c r="AN80" s="50">
        <v>0</v>
      </c>
      <c r="AO80" s="45">
        <v>0</v>
      </c>
      <c r="AP80" s="45">
        <v>0</v>
      </c>
      <c r="AQ80" s="45">
        <v>0</v>
      </c>
      <c r="AR80" s="113"/>
      <c r="AS80" s="120"/>
      <c r="AT80" s="46"/>
      <c r="AU80" s="46"/>
      <c r="AV80" s="47"/>
      <c r="AX80" s="46"/>
    </row>
    <row r="81" spans="1:50" s="26" customFormat="1" ht="24">
      <c r="A81" s="105"/>
      <c r="B81" s="108"/>
      <c r="C81" s="111"/>
      <c r="D81" s="55" t="s">
        <v>93</v>
      </c>
      <c r="E81" s="45">
        <f>H81+K81+N81+Q81+T81+W81+Z81+AC81+AF81+AI81+AL81+AO81</f>
        <v>0</v>
      </c>
      <c r="F81" s="45">
        <f>I81+L81+O81+R81+U81+X81+AA81+AD81+AG81+AJ81+AM81+AP81</f>
        <v>0</v>
      </c>
      <c r="G81" s="45">
        <v>0</v>
      </c>
      <c r="H81" s="45">
        <v>0</v>
      </c>
      <c r="I81" s="45">
        <v>0</v>
      </c>
      <c r="J81" s="45">
        <v>0</v>
      </c>
      <c r="K81" s="56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50">
        <v>0</v>
      </c>
      <c r="U81" s="50">
        <v>0</v>
      </c>
      <c r="V81" s="45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45">
        <v>0</v>
      </c>
      <c r="AI81" s="45">
        <v>0</v>
      </c>
      <c r="AJ81" s="45">
        <v>0</v>
      </c>
      <c r="AK81" s="45">
        <v>0</v>
      </c>
      <c r="AL81" s="50">
        <v>0</v>
      </c>
      <c r="AM81" s="50">
        <v>0</v>
      </c>
      <c r="AN81" s="50">
        <v>0</v>
      </c>
      <c r="AO81" s="45">
        <v>0</v>
      </c>
      <c r="AP81" s="45">
        <v>0</v>
      </c>
      <c r="AQ81" s="45">
        <v>0</v>
      </c>
      <c r="AR81" s="114"/>
      <c r="AS81" s="121"/>
      <c r="AT81" s="46"/>
      <c r="AU81" s="46"/>
      <c r="AV81" s="47"/>
    </row>
    <row r="82" spans="1:50" s="26" customFormat="1" ht="12.75">
      <c r="A82" s="103" t="s">
        <v>150</v>
      </c>
      <c r="B82" s="109" t="s">
        <v>151</v>
      </c>
      <c r="C82" s="109" t="s">
        <v>152</v>
      </c>
      <c r="D82" s="43" t="s">
        <v>88</v>
      </c>
      <c r="E82" s="45">
        <f>E83+E84+E85+E86</f>
        <v>0</v>
      </c>
      <c r="F82" s="45">
        <f>F83+F84+F85+F86</f>
        <v>0</v>
      </c>
      <c r="G82" s="45">
        <v>0</v>
      </c>
      <c r="H82" s="45">
        <f>H83+H84+H85+H86</f>
        <v>0</v>
      </c>
      <c r="I82" s="45">
        <v>0</v>
      </c>
      <c r="J82" s="45">
        <v>0</v>
      </c>
      <c r="K82" s="45">
        <v>0</v>
      </c>
      <c r="L82" s="45">
        <f>L83+L84+L85+L86</f>
        <v>0</v>
      </c>
      <c r="M82" s="45">
        <v>0</v>
      </c>
      <c r="N82" s="45">
        <v>0</v>
      </c>
      <c r="O82" s="45">
        <f>O83+O84+O85+O86</f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f t="shared" ref="AF82:AP82" si="97">AF83+AF84+AF85+AF86</f>
        <v>0</v>
      </c>
      <c r="AG82" s="45">
        <f t="shared" si="97"/>
        <v>0</v>
      </c>
      <c r="AH82" s="45">
        <f t="shared" si="97"/>
        <v>0</v>
      </c>
      <c r="AI82" s="45">
        <f t="shared" si="97"/>
        <v>0</v>
      </c>
      <c r="AJ82" s="45">
        <f t="shared" si="97"/>
        <v>0</v>
      </c>
      <c r="AK82" s="45">
        <f t="shared" si="97"/>
        <v>0</v>
      </c>
      <c r="AL82" s="45">
        <f t="shared" si="97"/>
        <v>0</v>
      </c>
      <c r="AM82" s="45">
        <f t="shared" si="97"/>
        <v>0</v>
      </c>
      <c r="AN82" s="45">
        <f t="shared" si="97"/>
        <v>0</v>
      </c>
      <c r="AO82" s="45">
        <f t="shared" si="97"/>
        <v>0</v>
      </c>
      <c r="AP82" s="45">
        <f t="shared" si="97"/>
        <v>0</v>
      </c>
      <c r="AQ82" s="45">
        <v>0</v>
      </c>
      <c r="AR82" s="112" t="s">
        <v>149</v>
      </c>
      <c r="AS82" s="119"/>
      <c r="AT82" s="46"/>
      <c r="AU82" s="46"/>
      <c r="AV82" s="47"/>
      <c r="AX82" s="46"/>
    </row>
    <row r="83" spans="1:50" s="26" customFormat="1" ht="48">
      <c r="A83" s="104"/>
      <c r="B83" s="110"/>
      <c r="C83" s="110"/>
      <c r="D83" s="48" t="s">
        <v>89</v>
      </c>
      <c r="E83" s="45">
        <f>H83+K83+N83+Q83+T83+W83+Z83+AC83+AF83+AI83+AL83+AO83</f>
        <v>0</v>
      </c>
      <c r="F83" s="45">
        <f>I83+L83+O83+R83+U83+X83+AA83+AD83+AG83+AJ83+AM83+AP83</f>
        <v>0</v>
      </c>
      <c r="G83" s="45">
        <v>0</v>
      </c>
      <c r="H83" s="45">
        <v>0</v>
      </c>
      <c r="I83" s="45">
        <v>0</v>
      </c>
      <c r="J83" s="45">
        <v>0</v>
      </c>
      <c r="K83" s="56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50">
        <v>0</v>
      </c>
      <c r="U83" s="50">
        <v>0</v>
      </c>
      <c r="V83" s="45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45">
        <v>0</v>
      </c>
      <c r="AI83" s="45">
        <v>0</v>
      </c>
      <c r="AJ83" s="45">
        <v>0</v>
      </c>
      <c r="AK83" s="45">
        <v>0</v>
      </c>
      <c r="AL83" s="50">
        <v>0</v>
      </c>
      <c r="AM83" s="50">
        <v>0</v>
      </c>
      <c r="AN83" s="50">
        <v>0</v>
      </c>
      <c r="AO83" s="45">
        <v>0</v>
      </c>
      <c r="AP83" s="45">
        <v>0</v>
      </c>
      <c r="AQ83" s="45">
        <v>0</v>
      </c>
      <c r="AR83" s="113"/>
      <c r="AS83" s="120"/>
      <c r="AT83" s="46"/>
      <c r="AU83" s="46"/>
      <c r="AV83" s="47"/>
      <c r="AX83" s="46"/>
    </row>
    <row r="84" spans="1:50" s="26" customFormat="1" ht="12.75">
      <c r="A84" s="104"/>
      <c r="B84" s="110"/>
      <c r="C84" s="110"/>
      <c r="D84" s="48" t="s">
        <v>99</v>
      </c>
      <c r="E84" s="45">
        <f>H84+K84+N84+Q84+T84+W84+Z84+AC84+AF84+AI84+AL84+AO84</f>
        <v>0</v>
      </c>
      <c r="F84" s="45">
        <f>I84+L84+O84+R84+U84+X84+AA84+AD84+AG84+AJ84+AM84+AP84</f>
        <v>0</v>
      </c>
      <c r="G84" s="45">
        <v>0</v>
      </c>
      <c r="H84" s="45">
        <v>0</v>
      </c>
      <c r="I84" s="45">
        <v>0</v>
      </c>
      <c r="J84" s="45">
        <v>0</v>
      </c>
      <c r="K84" s="56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50">
        <v>0</v>
      </c>
      <c r="U84" s="50">
        <v>0</v>
      </c>
      <c r="V84" s="45">
        <v>0</v>
      </c>
      <c r="W84" s="45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45">
        <v>0</v>
      </c>
      <c r="AG84" s="50">
        <v>0</v>
      </c>
      <c r="AH84" s="45">
        <v>0</v>
      </c>
      <c r="AI84" s="45">
        <v>0</v>
      </c>
      <c r="AJ84" s="45">
        <v>0</v>
      </c>
      <c r="AK84" s="45">
        <v>0</v>
      </c>
      <c r="AL84" s="50">
        <v>0</v>
      </c>
      <c r="AM84" s="50">
        <v>0</v>
      </c>
      <c r="AN84" s="50">
        <v>0</v>
      </c>
      <c r="AO84" s="45">
        <v>0</v>
      </c>
      <c r="AP84" s="45">
        <v>0</v>
      </c>
      <c r="AQ84" s="45">
        <v>0</v>
      </c>
      <c r="AR84" s="113"/>
      <c r="AS84" s="120"/>
      <c r="AT84" s="46"/>
      <c r="AU84" s="46"/>
      <c r="AV84" s="47"/>
      <c r="AX84" s="46"/>
    </row>
    <row r="85" spans="1:50" s="26" customFormat="1" ht="24">
      <c r="A85" s="104"/>
      <c r="B85" s="110"/>
      <c r="C85" s="110"/>
      <c r="D85" s="55" t="s">
        <v>92</v>
      </c>
      <c r="E85" s="45">
        <f t="shared" ref="E85:F85" si="98">H85+K85+N85+Q85+T85+W85+Z85+AC85+AF85+AI85+AL85+AO85</f>
        <v>0</v>
      </c>
      <c r="F85" s="45">
        <f t="shared" si="98"/>
        <v>0</v>
      </c>
      <c r="G85" s="45">
        <v>0</v>
      </c>
      <c r="H85" s="45">
        <v>0</v>
      </c>
      <c r="I85" s="45">
        <v>0</v>
      </c>
      <c r="J85" s="45">
        <v>0</v>
      </c>
      <c r="K85" s="56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50">
        <v>0</v>
      </c>
      <c r="U85" s="50">
        <v>0</v>
      </c>
      <c r="V85" s="45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45">
        <v>0</v>
      </c>
      <c r="AJ85" s="45">
        <v>0</v>
      </c>
      <c r="AK85" s="45">
        <v>0</v>
      </c>
      <c r="AL85" s="50">
        <v>0</v>
      </c>
      <c r="AM85" s="50">
        <v>0</v>
      </c>
      <c r="AN85" s="50">
        <v>0</v>
      </c>
      <c r="AO85" s="45">
        <v>0</v>
      </c>
      <c r="AP85" s="45">
        <v>0</v>
      </c>
      <c r="AQ85" s="45">
        <v>0</v>
      </c>
      <c r="AR85" s="113"/>
      <c r="AS85" s="120"/>
      <c r="AT85" s="46"/>
      <c r="AU85" s="46"/>
      <c r="AV85" s="47"/>
    </row>
    <row r="86" spans="1:50" s="26" customFormat="1" ht="24">
      <c r="A86" s="105"/>
      <c r="B86" s="111"/>
      <c r="C86" s="111"/>
      <c r="D86" s="55" t="s">
        <v>93</v>
      </c>
      <c r="E86" s="45">
        <f>H86+K86+N86+Q86+T86+W86+Z86+AC86+AF86+AI86+AL86+AO86</f>
        <v>0</v>
      </c>
      <c r="F86" s="45">
        <f>I86+L86+O86+R86+U86+X86+AA86+AD86+AG86+AJ86+AM86+AP86</f>
        <v>0</v>
      </c>
      <c r="G86" s="45">
        <v>0</v>
      </c>
      <c r="H86" s="45">
        <v>0</v>
      </c>
      <c r="I86" s="45">
        <v>0</v>
      </c>
      <c r="J86" s="45">
        <v>0</v>
      </c>
      <c r="K86" s="56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50">
        <v>0</v>
      </c>
      <c r="U86" s="50">
        <v>0</v>
      </c>
      <c r="V86" s="45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45">
        <v>0</v>
      </c>
      <c r="AI86" s="45">
        <v>0</v>
      </c>
      <c r="AJ86" s="45">
        <v>0</v>
      </c>
      <c r="AK86" s="45">
        <v>0</v>
      </c>
      <c r="AL86" s="50">
        <v>0</v>
      </c>
      <c r="AM86" s="50">
        <v>0</v>
      </c>
      <c r="AN86" s="50">
        <v>0</v>
      </c>
      <c r="AO86" s="45">
        <v>0</v>
      </c>
      <c r="AP86" s="45">
        <v>0</v>
      </c>
      <c r="AQ86" s="45">
        <v>0</v>
      </c>
      <c r="AR86" s="114"/>
      <c r="AS86" s="121"/>
      <c r="AT86" s="46"/>
      <c r="AU86" s="46"/>
      <c r="AV86" s="47"/>
    </row>
    <row r="87" spans="1:50" s="34" customFormat="1" ht="12.75">
      <c r="A87" s="136" t="s">
        <v>153</v>
      </c>
      <c r="B87" s="136"/>
      <c r="C87" s="136"/>
      <c r="D87" s="40" t="s">
        <v>88</v>
      </c>
      <c r="E87" s="32">
        <f>E88+E89+E91</f>
        <v>461952.5</v>
      </c>
      <c r="F87" s="33">
        <f>F88+F89+F91</f>
        <v>449619.7</v>
      </c>
      <c r="G87" s="33">
        <f>F87/E87*100</f>
        <v>97.33028828721568</v>
      </c>
      <c r="H87" s="33">
        <f t="shared" ref="H87:I87" si="99">H88+H89+H91</f>
        <v>6558.8999999999987</v>
      </c>
      <c r="I87" s="33">
        <f t="shared" si="99"/>
        <v>6503.1999999999989</v>
      </c>
      <c r="J87" s="33">
        <f>I87/H87*100</f>
        <v>99.150772233148857</v>
      </c>
      <c r="K87" s="33">
        <f t="shared" ref="K87:L87" si="100">K88+K89+K91</f>
        <v>48082</v>
      </c>
      <c r="L87" s="33">
        <f t="shared" si="100"/>
        <v>47124.600000000006</v>
      </c>
      <c r="M87" s="33">
        <f>L87/K87*100</f>
        <v>98.008818268790833</v>
      </c>
      <c r="N87" s="33">
        <f t="shared" ref="N87:O87" si="101">N88+N89+N91</f>
        <v>37444.6</v>
      </c>
      <c r="O87" s="33">
        <f t="shared" si="101"/>
        <v>34575.700000000004</v>
      </c>
      <c r="P87" s="33">
        <f>O87/N87*100</f>
        <v>92.338281087259588</v>
      </c>
      <c r="Q87" s="33">
        <f t="shared" ref="Q87:R87" si="102">Q88+Q89+Q91</f>
        <v>34857.499999999993</v>
      </c>
      <c r="R87" s="33">
        <f t="shared" si="102"/>
        <v>32835.599999999999</v>
      </c>
      <c r="S87" s="33">
        <f>R87/Q87*100</f>
        <v>94.199526644194236</v>
      </c>
      <c r="T87" s="33">
        <f t="shared" ref="T87:U87" si="103">T88+T89+T91</f>
        <v>39005.999999999993</v>
      </c>
      <c r="U87" s="33">
        <f t="shared" si="103"/>
        <v>38074.5</v>
      </c>
      <c r="V87" s="33">
        <f>U87/T87*100</f>
        <v>97.611905860636838</v>
      </c>
      <c r="W87" s="33">
        <f t="shared" ref="W87" si="104">W88+W89+W91</f>
        <v>45177.900000000009</v>
      </c>
      <c r="X87" s="33">
        <f>X88+X89+X91</f>
        <v>41214.9</v>
      </c>
      <c r="Y87" s="33">
        <f>X87/W87*100</f>
        <v>91.228011926185133</v>
      </c>
      <c r="Z87" s="33">
        <f t="shared" ref="Z87:AA87" si="105">Z88+Z89+Z91</f>
        <v>46359.3</v>
      </c>
      <c r="AA87" s="33">
        <f t="shared" si="105"/>
        <v>45061.1</v>
      </c>
      <c r="AB87" s="33">
        <f>AA87/Z87*100</f>
        <v>97.199698873796621</v>
      </c>
      <c r="AC87" s="33">
        <f t="shared" ref="AC87:AD87" si="106">AC88+AC89+AC91</f>
        <v>39187.699999999997</v>
      </c>
      <c r="AD87" s="33">
        <f t="shared" si="106"/>
        <v>37133.9</v>
      </c>
      <c r="AE87" s="33">
        <f>AD87/AC87*100</f>
        <v>94.759069810170033</v>
      </c>
      <c r="AF87" s="33">
        <f t="shared" ref="AF87:AG87" si="107">AF88+AF89+AF91</f>
        <v>37477.299999999996</v>
      </c>
      <c r="AG87" s="33">
        <f t="shared" si="107"/>
        <v>36931.4</v>
      </c>
      <c r="AH87" s="33">
        <f>AG87/AF87*100</f>
        <v>98.543384929010386</v>
      </c>
      <c r="AI87" s="33">
        <f t="shared" ref="AI87:AJ87" si="108">AI88+AI89+AI91</f>
        <v>30432.800000000003</v>
      </c>
      <c r="AJ87" s="33">
        <f t="shared" si="108"/>
        <v>31138.399999999994</v>
      </c>
      <c r="AK87" s="33">
        <f>AJ87/AI87*100</f>
        <v>102.31855103703896</v>
      </c>
      <c r="AL87" s="33">
        <f t="shared" ref="AL87:AM87" si="109">AL88+AL89+AL91</f>
        <v>34354.9</v>
      </c>
      <c r="AM87" s="33">
        <f t="shared" si="109"/>
        <v>32386.3</v>
      </c>
      <c r="AN87" s="33">
        <f>AM87/AL87*100</f>
        <v>94.269813039770156</v>
      </c>
      <c r="AO87" s="33">
        <f t="shared" ref="AO87:AP87" si="110">AO88+AO89+AO91</f>
        <v>63013.600000000013</v>
      </c>
      <c r="AP87" s="33">
        <f t="shared" si="110"/>
        <v>66640.100000000006</v>
      </c>
      <c r="AQ87" s="65">
        <f>AP87/AO87*100</f>
        <v>105.75510683408025</v>
      </c>
      <c r="AR87" s="86"/>
      <c r="AS87" s="137"/>
      <c r="AT87" s="46"/>
      <c r="AU87" s="47"/>
    </row>
    <row r="88" spans="1:50" s="34" customFormat="1" ht="48">
      <c r="A88" s="136"/>
      <c r="B88" s="136"/>
      <c r="C88" s="136"/>
      <c r="D88" s="35" t="s">
        <v>89</v>
      </c>
      <c r="E88" s="32">
        <f>E12+E51+E62</f>
        <v>14582.7</v>
      </c>
      <c r="F88" s="33">
        <f>F12+F51+F62</f>
        <v>14541.699999999999</v>
      </c>
      <c r="G88" s="33">
        <f>F88/E88*100</f>
        <v>99.718844932694211</v>
      </c>
      <c r="H88" s="33">
        <f>H12+H51+H62</f>
        <v>75.600000000000023</v>
      </c>
      <c r="I88" s="33">
        <f>I12+I51+I62</f>
        <v>75.599999999999994</v>
      </c>
      <c r="J88" s="33">
        <f t="shared" ref="J88:J89" si="111">I88/H88*100</f>
        <v>99.999999999999972</v>
      </c>
      <c r="K88" s="33">
        <f>K12+K51+K62</f>
        <v>571.79999999999995</v>
      </c>
      <c r="L88" s="33">
        <f>L12+L51+L62</f>
        <v>537.9</v>
      </c>
      <c r="M88" s="33">
        <f t="shared" ref="M88:M91" si="112">L88/K88*100</f>
        <v>94.071353620146908</v>
      </c>
      <c r="N88" s="33">
        <f>N12+N51+N62</f>
        <v>709</v>
      </c>
      <c r="O88" s="33">
        <f>O12+O51+O62</f>
        <v>507</v>
      </c>
      <c r="P88" s="33">
        <f t="shared" ref="P88:P91" si="113">O88/N88*100</f>
        <v>71.509167842031033</v>
      </c>
      <c r="Q88" s="33">
        <f>Q12+Q51+Q62</f>
        <v>752.59999999999991</v>
      </c>
      <c r="R88" s="33">
        <f>R12+R51+R62</f>
        <v>504.7</v>
      </c>
      <c r="S88" s="33">
        <f t="shared" ref="S88:S91" si="114">R88/Q88*100</f>
        <v>67.060855700239173</v>
      </c>
      <c r="T88" s="33">
        <f>T12+T51+T62</f>
        <v>1149.8</v>
      </c>
      <c r="U88" s="33">
        <f>U12+U51+U62</f>
        <v>970.09999999999991</v>
      </c>
      <c r="V88" s="33">
        <f t="shared" ref="V88:V91" si="115">U88/T88*100</f>
        <v>84.371194990433125</v>
      </c>
      <c r="W88" s="33">
        <f>W12+W51+W62</f>
        <v>1381.3000000000002</v>
      </c>
      <c r="X88" s="33">
        <f>X12+X51+X62</f>
        <v>994.7</v>
      </c>
      <c r="Y88" s="33">
        <f t="shared" ref="Y88:Y91" si="116">X88/W88*100</f>
        <v>72.011872873380142</v>
      </c>
      <c r="Z88" s="33">
        <f t="shared" ref="Z88:AD89" si="117">Z12+Z51+Z62</f>
        <v>1547.6999999999998</v>
      </c>
      <c r="AA88" s="33">
        <f t="shared" si="117"/>
        <v>1521.2</v>
      </c>
      <c r="AB88" s="33">
        <f t="shared" ref="AB88" si="118">AA88/Z88*100</f>
        <v>98.287781869871438</v>
      </c>
      <c r="AC88" s="33">
        <f t="shared" si="117"/>
        <v>1889.2</v>
      </c>
      <c r="AD88" s="33">
        <f t="shared" si="117"/>
        <v>1822.1</v>
      </c>
      <c r="AE88" s="33">
        <f t="shared" ref="AE88:AE89" si="119">AD88/AC88*100</f>
        <v>96.448232055896668</v>
      </c>
      <c r="AF88" s="33">
        <f>AF12+AF51+AF62</f>
        <v>2530.6999999999998</v>
      </c>
      <c r="AG88" s="33">
        <f>AG12+AG51+AG62</f>
        <v>2499.1999999999998</v>
      </c>
      <c r="AH88" s="33">
        <f t="shared" ref="AH88" si="120">AG88/AF88*100</f>
        <v>98.755285098984473</v>
      </c>
      <c r="AI88" s="33">
        <f t="shared" ref="AI88:AP89" si="121">AI12+AI51+AI62</f>
        <v>890.49999999999989</v>
      </c>
      <c r="AJ88" s="33">
        <f t="shared" si="121"/>
        <v>1190.0999999999999</v>
      </c>
      <c r="AK88" s="33">
        <f t="shared" ref="AK88" si="122">AJ88/AI88*100</f>
        <v>133.64402021336329</v>
      </c>
      <c r="AL88" s="33">
        <f t="shared" si="121"/>
        <v>1472.1</v>
      </c>
      <c r="AM88" s="33">
        <f t="shared" si="121"/>
        <v>1694.1</v>
      </c>
      <c r="AN88" s="33">
        <f t="shared" ref="AN88" si="123">AM88/AL88*100</f>
        <v>115.08049724882821</v>
      </c>
      <c r="AO88" s="33">
        <f t="shared" si="121"/>
        <v>1612.4</v>
      </c>
      <c r="AP88" s="33">
        <f t="shared" si="121"/>
        <v>2225</v>
      </c>
      <c r="AQ88" s="33">
        <f t="shared" ref="AQ88:AQ89" si="124">AP88/AO88*100</f>
        <v>137.99305383279582</v>
      </c>
      <c r="AR88" s="86"/>
      <c r="AS88" s="137"/>
      <c r="AT88" s="46"/>
      <c r="AU88" s="47"/>
    </row>
    <row r="89" spans="1:50" s="34" customFormat="1" ht="12.75">
      <c r="A89" s="136"/>
      <c r="B89" s="136"/>
      <c r="C89" s="136"/>
      <c r="D89" s="35" t="s">
        <v>90</v>
      </c>
      <c r="E89" s="32">
        <f>E13+E52+E63</f>
        <v>441959.7</v>
      </c>
      <c r="F89" s="33">
        <f>F13+F52+F63</f>
        <v>429667.9</v>
      </c>
      <c r="G89" s="33">
        <f>F89/E89*100</f>
        <v>97.218796193408579</v>
      </c>
      <c r="H89" s="33">
        <f>H13+H52+H63</f>
        <v>6483.2999999999984</v>
      </c>
      <c r="I89" s="33">
        <f>I13+I52+I63</f>
        <v>6427.5999999999985</v>
      </c>
      <c r="J89" s="33">
        <f t="shared" si="111"/>
        <v>99.14086961886693</v>
      </c>
      <c r="K89" s="33">
        <f>K13+K52+K63</f>
        <v>47395</v>
      </c>
      <c r="L89" s="33">
        <f>L13+L52+L63</f>
        <v>46461.500000000007</v>
      </c>
      <c r="M89" s="33">
        <f t="shared" si="112"/>
        <v>98.03038295178817</v>
      </c>
      <c r="N89" s="33">
        <f>N13+N52+N63</f>
        <v>36081.4</v>
      </c>
      <c r="O89" s="33">
        <f>O13+O52+O63</f>
        <v>33432.600000000006</v>
      </c>
      <c r="P89" s="33">
        <f t="shared" si="113"/>
        <v>92.658821442626959</v>
      </c>
      <c r="Q89" s="33">
        <f>Q13+Q52+Q63</f>
        <v>33651.799999999996</v>
      </c>
      <c r="R89" s="33">
        <f>R13+R52+R63</f>
        <v>31992.999999999996</v>
      </c>
      <c r="S89" s="33">
        <f t="shared" si="114"/>
        <v>95.070694583944999</v>
      </c>
      <c r="T89" s="33">
        <f>T13+T52+T63</f>
        <v>37233.099999999991</v>
      </c>
      <c r="U89" s="33">
        <f>U13+U52+U63</f>
        <v>36656.6</v>
      </c>
      <c r="V89" s="33">
        <f t="shared" si="115"/>
        <v>98.451646518823324</v>
      </c>
      <c r="W89" s="33">
        <f>W13+W52+W63</f>
        <v>43192.100000000006</v>
      </c>
      <c r="X89" s="33">
        <f>X13+X52+X63</f>
        <v>39675.200000000004</v>
      </c>
      <c r="Y89" s="33">
        <f t="shared" si="116"/>
        <v>91.857538762875606</v>
      </c>
      <c r="Z89" s="33">
        <f t="shared" si="117"/>
        <v>44197.3</v>
      </c>
      <c r="AA89" s="33">
        <f t="shared" si="117"/>
        <v>42925.599999999999</v>
      </c>
      <c r="AB89" s="33">
        <f>AA89/Z89*100</f>
        <v>97.122674914530975</v>
      </c>
      <c r="AC89" s="33">
        <f t="shared" si="117"/>
        <v>36859.9</v>
      </c>
      <c r="AD89" s="33">
        <f t="shared" si="117"/>
        <v>34873.200000000004</v>
      </c>
      <c r="AE89" s="33">
        <f t="shared" si="119"/>
        <v>94.610131877731646</v>
      </c>
      <c r="AF89" s="33">
        <f>AF13+AF52+AF63</f>
        <v>34411.199999999997</v>
      </c>
      <c r="AG89" s="33">
        <f>AG13+AG52+AG63</f>
        <v>33773.600000000006</v>
      </c>
      <c r="AH89" s="33">
        <f>AG89/AF89*100</f>
        <v>98.147114892825613</v>
      </c>
      <c r="AI89" s="33">
        <f t="shared" si="121"/>
        <v>29089.000000000004</v>
      </c>
      <c r="AJ89" s="33">
        <f t="shared" si="121"/>
        <v>29280.299999999996</v>
      </c>
      <c r="AK89" s="33">
        <f>AJ89/AI89*100</f>
        <v>100.65763690742202</v>
      </c>
      <c r="AL89" s="33">
        <f t="shared" si="121"/>
        <v>32747.8</v>
      </c>
      <c r="AM89" s="33">
        <f t="shared" si="121"/>
        <v>30557.200000000001</v>
      </c>
      <c r="AN89" s="33">
        <f>AM89/AL89*100</f>
        <v>93.310695680320507</v>
      </c>
      <c r="AO89" s="33">
        <f t="shared" si="121"/>
        <v>60617.80000000001</v>
      </c>
      <c r="AP89" s="33">
        <f t="shared" si="121"/>
        <v>63611.499999999993</v>
      </c>
      <c r="AQ89" s="65">
        <f t="shared" si="124"/>
        <v>104.93864838380802</v>
      </c>
      <c r="AR89" s="86"/>
      <c r="AS89" s="137"/>
      <c r="AT89" s="46"/>
      <c r="AU89" s="47"/>
    </row>
    <row r="90" spans="1:50" s="34" customFormat="1" ht="48">
      <c r="A90" s="136"/>
      <c r="B90" s="136"/>
      <c r="C90" s="136"/>
      <c r="D90" s="37" t="s">
        <v>91</v>
      </c>
      <c r="E90" s="38">
        <f>H90+K90+N90+Q90+T90+W90+Z90+AC90+AF90+AI90+AL90+AO90</f>
        <v>66.2</v>
      </c>
      <c r="F90" s="39">
        <f>I90+L90+O90+R90+U90+X90+AA90+AD90+AG90+AJ90+AM90+AP90</f>
        <v>66.2</v>
      </c>
      <c r="G90" s="39">
        <f>F90/E90*100</f>
        <v>100</v>
      </c>
      <c r="H90" s="39">
        <f>H14</f>
        <v>0</v>
      </c>
      <c r="I90" s="39">
        <f>I14</f>
        <v>0</v>
      </c>
      <c r="J90" s="39">
        <v>0</v>
      </c>
      <c r="K90" s="39">
        <f>K14</f>
        <v>0</v>
      </c>
      <c r="L90" s="39">
        <f>L14</f>
        <v>0</v>
      </c>
      <c r="M90" s="39">
        <v>0</v>
      </c>
      <c r="N90" s="39">
        <f>N14</f>
        <v>66.2</v>
      </c>
      <c r="O90" s="39">
        <f>O14</f>
        <v>0</v>
      </c>
      <c r="P90" s="39">
        <f>O90/N90*100</f>
        <v>0</v>
      </c>
      <c r="Q90" s="39">
        <f t="shared" ref="Q90:AP90" si="125">Q14</f>
        <v>0</v>
      </c>
      <c r="R90" s="39">
        <f t="shared" si="125"/>
        <v>0</v>
      </c>
      <c r="S90" s="39">
        <v>0</v>
      </c>
      <c r="T90" s="39">
        <f t="shared" si="125"/>
        <v>0</v>
      </c>
      <c r="U90" s="39">
        <f t="shared" si="125"/>
        <v>0</v>
      </c>
      <c r="V90" s="39">
        <v>0</v>
      </c>
      <c r="W90" s="39">
        <f t="shared" si="125"/>
        <v>0</v>
      </c>
      <c r="X90" s="39">
        <f t="shared" si="125"/>
        <v>66.2</v>
      </c>
      <c r="Y90" s="39">
        <v>0</v>
      </c>
      <c r="Z90" s="39">
        <f t="shared" si="125"/>
        <v>0</v>
      </c>
      <c r="AA90" s="39">
        <f t="shared" si="125"/>
        <v>0</v>
      </c>
      <c r="AB90" s="39">
        <f t="shared" si="125"/>
        <v>0</v>
      </c>
      <c r="AC90" s="39">
        <f t="shared" si="125"/>
        <v>0</v>
      </c>
      <c r="AD90" s="39">
        <f t="shared" si="125"/>
        <v>0</v>
      </c>
      <c r="AE90" s="39">
        <f t="shared" si="125"/>
        <v>0</v>
      </c>
      <c r="AF90" s="39">
        <f t="shared" si="125"/>
        <v>0</v>
      </c>
      <c r="AG90" s="39">
        <f t="shared" si="125"/>
        <v>0</v>
      </c>
      <c r="AH90" s="39">
        <f t="shared" si="125"/>
        <v>0</v>
      </c>
      <c r="AI90" s="39">
        <f t="shared" si="125"/>
        <v>0</v>
      </c>
      <c r="AJ90" s="39">
        <f t="shared" si="125"/>
        <v>0</v>
      </c>
      <c r="AK90" s="39">
        <v>0</v>
      </c>
      <c r="AL90" s="39">
        <f t="shared" si="125"/>
        <v>0</v>
      </c>
      <c r="AM90" s="39">
        <f t="shared" si="125"/>
        <v>0</v>
      </c>
      <c r="AN90" s="39">
        <f t="shared" si="125"/>
        <v>0</v>
      </c>
      <c r="AO90" s="39">
        <f t="shared" si="125"/>
        <v>0</v>
      </c>
      <c r="AP90" s="39">
        <f t="shared" si="125"/>
        <v>0</v>
      </c>
      <c r="AQ90" s="65">
        <v>0</v>
      </c>
      <c r="AR90" s="86"/>
      <c r="AS90" s="137"/>
      <c r="AT90" s="46"/>
      <c r="AU90" s="47"/>
    </row>
    <row r="91" spans="1:50" s="34" customFormat="1" ht="24">
      <c r="A91" s="136"/>
      <c r="B91" s="136"/>
      <c r="C91" s="136"/>
      <c r="D91" s="40" t="s">
        <v>92</v>
      </c>
      <c r="E91" s="32">
        <f>E15+E53+E64</f>
        <v>5410.1</v>
      </c>
      <c r="F91" s="33">
        <f>F15+F53+F64</f>
        <v>5410.1</v>
      </c>
      <c r="G91" s="33">
        <f>F91/E91*100</f>
        <v>100</v>
      </c>
      <c r="H91" s="33">
        <f>H15+H53+H64</f>
        <v>0</v>
      </c>
      <c r="I91" s="33">
        <f>I15+I53+I64</f>
        <v>0</v>
      </c>
      <c r="J91" s="33">
        <v>0</v>
      </c>
      <c r="K91" s="33">
        <f>K15+K53+K64</f>
        <v>115.2</v>
      </c>
      <c r="L91" s="33">
        <f>L15+L53+L64</f>
        <v>125.2</v>
      </c>
      <c r="M91" s="33">
        <f t="shared" si="112"/>
        <v>108.68055555555556</v>
      </c>
      <c r="N91" s="33">
        <f>N15+N53+N64</f>
        <v>654.20000000000005</v>
      </c>
      <c r="O91" s="33">
        <f>O15+O53+O64</f>
        <v>636.1</v>
      </c>
      <c r="P91" s="33">
        <f t="shared" si="113"/>
        <v>97.23326199938856</v>
      </c>
      <c r="Q91" s="33">
        <f>Q15+Q53+Q64</f>
        <v>453.1</v>
      </c>
      <c r="R91" s="33">
        <f>R15+R53+R64</f>
        <v>337.9</v>
      </c>
      <c r="S91" s="33">
        <f t="shared" si="114"/>
        <v>74.575148973736475</v>
      </c>
      <c r="T91" s="33">
        <f>T15+T53+T64</f>
        <v>623.1</v>
      </c>
      <c r="U91" s="33">
        <f>U15+U53+U64</f>
        <v>447.8</v>
      </c>
      <c r="V91" s="33">
        <f t="shared" si="115"/>
        <v>71.86647408120686</v>
      </c>
      <c r="W91" s="33">
        <f>W15+W53+W64</f>
        <v>604.5</v>
      </c>
      <c r="X91" s="33">
        <f>X15+X53+X64</f>
        <v>545</v>
      </c>
      <c r="Y91" s="33">
        <f t="shared" si="116"/>
        <v>90.157154673283699</v>
      </c>
      <c r="Z91" s="33">
        <f>Z15+Z53+Z64</f>
        <v>614.30000000000007</v>
      </c>
      <c r="AA91" s="33">
        <f>AA15+AA53+AA64</f>
        <v>614.29999999999995</v>
      </c>
      <c r="AB91" s="33">
        <f>AA91/Z91*100</f>
        <v>99.999999999999972</v>
      </c>
      <c r="AC91" s="33">
        <f>AC15+AC53+AC64</f>
        <v>438.60000000000008</v>
      </c>
      <c r="AD91" s="33">
        <f>AD15+AD53+AD64</f>
        <v>438.6</v>
      </c>
      <c r="AE91" s="33">
        <f>AD91/AC91*100</f>
        <v>99.999999999999986</v>
      </c>
      <c r="AF91" s="33">
        <f>AF15+AF53+AF64</f>
        <v>535.4</v>
      </c>
      <c r="AG91" s="33">
        <f>AG15+AG53+AG64</f>
        <v>658.6</v>
      </c>
      <c r="AH91" s="33">
        <f>AG91/AF91*100</f>
        <v>123.01083302203961</v>
      </c>
      <c r="AI91" s="33">
        <f>AI15+AI53+AI64</f>
        <v>453.3</v>
      </c>
      <c r="AJ91" s="33">
        <f>AJ15+AJ53+AJ64</f>
        <v>668</v>
      </c>
      <c r="AK91" s="33">
        <f>AJ91/AI91*100</f>
        <v>147.36377674829032</v>
      </c>
      <c r="AL91" s="33">
        <f>AL15+AL53+AL64</f>
        <v>135</v>
      </c>
      <c r="AM91" s="33">
        <f>AM15+AM53+AM64</f>
        <v>135</v>
      </c>
      <c r="AN91" s="33">
        <f>AM91/AL91*100</f>
        <v>100</v>
      </c>
      <c r="AO91" s="33">
        <f>AO15+AO53+AO64</f>
        <v>783.40000000000009</v>
      </c>
      <c r="AP91" s="33">
        <f>AP15+AP53+AP64</f>
        <v>803.6</v>
      </c>
      <c r="AQ91" s="65">
        <f>AP91/AO91*100</f>
        <v>102.57850395711003</v>
      </c>
      <c r="AR91" s="86"/>
      <c r="AS91" s="137"/>
      <c r="AT91" s="46"/>
      <c r="AU91" s="47"/>
    </row>
    <row r="92" spans="1:50" s="26" customFormat="1" ht="24">
      <c r="A92" s="136"/>
      <c r="B92" s="136"/>
      <c r="C92" s="136"/>
      <c r="D92" s="40" t="s">
        <v>93</v>
      </c>
      <c r="E92" s="32">
        <f>H92+K92+N92+Q92+T92+W92+Z92+AC92+AF92+AI92+AL92+AO92</f>
        <v>0</v>
      </c>
      <c r="F92" s="33">
        <f>I92+L92+O92+R92+U92+X92+AA92+AD92+AG92+AJ92+AM92+AP92</f>
        <v>0</v>
      </c>
      <c r="G92" s="33">
        <v>0</v>
      </c>
      <c r="H92" s="33">
        <v>0</v>
      </c>
      <c r="I92" s="33">
        <v>0</v>
      </c>
      <c r="J92" s="33">
        <v>0</v>
      </c>
      <c r="K92" s="41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2">
        <v>0</v>
      </c>
      <c r="U92" s="42">
        <v>0</v>
      </c>
      <c r="V92" s="33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33">
        <v>0</v>
      </c>
      <c r="AI92" s="33">
        <v>0</v>
      </c>
      <c r="AJ92" s="33">
        <v>0</v>
      </c>
      <c r="AK92" s="33">
        <v>0</v>
      </c>
      <c r="AL92" s="42">
        <v>0</v>
      </c>
      <c r="AM92" s="42">
        <v>0</v>
      </c>
      <c r="AN92" s="42">
        <v>0</v>
      </c>
      <c r="AO92" s="33">
        <v>0</v>
      </c>
      <c r="AP92" s="33">
        <v>0</v>
      </c>
      <c r="AQ92" s="33">
        <v>0</v>
      </c>
      <c r="AR92" s="86"/>
      <c r="AS92" s="137"/>
      <c r="AT92" s="46"/>
      <c r="AU92" s="47"/>
    </row>
    <row r="93" spans="1:50" s="34" customFormat="1" ht="12.75">
      <c r="A93" s="136" t="s">
        <v>154</v>
      </c>
      <c r="B93" s="136"/>
      <c r="C93" s="136"/>
      <c r="D93" s="40" t="s">
        <v>88</v>
      </c>
      <c r="E93" s="32">
        <f>E94+E95+E96</f>
        <v>231.6</v>
      </c>
      <c r="F93" s="33">
        <f>F94+F95+F96</f>
        <v>231.6</v>
      </c>
      <c r="G93" s="33">
        <f>F93/E93*100</f>
        <v>100</v>
      </c>
      <c r="H93" s="33">
        <f t="shared" ref="H93:I93" si="126">H94+H95+H96</f>
        <v>0</v>
      </c>
      <c r="I93" s="33">
        <f t="shared" si="126"/>
        <v>0</v>
      </c>
      <c r="J93" s="33">
        <v>0</v>
      </c>
      <c r="K93" s="33">
        <f t="shared" ref="K93:L93" si="127">K94+K95+K96</f>
        <v>0</v>
      </c>
      <c r="L93" s="33">
        <f t="shared" si="127"/>
        <v>0</v>
      </c>
      <c r="M93" s="33">
        <v>0</v>
      </c>
      <c r="N93" s="33">
        <f t="shared" ref="N93:O93" si="128">N94+N95+N96</f>
        <v>0</v>
      </c>
      <c r="O93" s="33">
        <f t="shared" si="128"/>
        <v>0</v>
      </c>
      <c r="P93" s="33">
        <v>0</v>
      </c>
      <c r="Q93" s="33">
        <f t="shared" ref="Q93:R93" si="129">Q94+Q95+Q96</f>
        <v>0</v>
      </c>
      <c r="R93" s="33">
        <f t="shared" si="129"/>
        <v>0</v>
      </c>
      <c r="S93" s="33">
        <v>0</v>
      </c>
      <c r="T93" s="33">
        <f t="shared" ref="T93:U93" si="130">T94+T95+T96</f>
        <v>0</v>
      </c>
      <c r="U93" s="33">
        <f t="shared" si="130"/>
        <v>0</v>
      </c>
      <c r="V93" s="33">
        <v>0</v>
      </c>
      <c r="W93" s="33">
        <f t="shared" ref="W93:X93" si="131">W94+W95+W96</f>
        <v>0</v>
      </c>
      <c r="X93" s="33">
        <f t="shared" si="131"/>
        <v>0</v>
      </c>
      <c r="Y93" s="33">
        <v>0</v>
      </c>
      <c r="Z93" s="33">
        <f t="shared" ref="Z93:AA93" si="132">Z94+Z95+Z96</f>
        <v>231.6</v>
      </c>
      <c r="AA93" s="33">
        <f t="shared" si="132"/>
        <v>231.6</v>
      </c>
      <c r="AB93" s="33">
        <f t="shared" ref="AB93" si="133">AA93/Z93*100</f>
        <v>100</v>
      </c>
      <c r="AC93" s="33">
        <f t="shared" ref="AC93:AD93" si="134">AC94+AC95+AC96</f>
        <v>0</v>
      </c>
      <c r="AD93" s="33">
        <f t="shared" si="134"/>
        <v>0</v>
      </c>
      <c r="AE93" s="33">
        <v>0</v>
      </c>
      <c r="AF93" s="33">
        <f t="shared" ref="AF93:AG93" si="135">AF94+AF95+AF96</f>
        <v>0</v>
      </c>
      <c r="AG93" s="33">
        <f t="shared" si="135"/>
        <v>0</v>
      </c>
      <c r="AH93" s="33">
        <v>0</v>
      </c>
      <c r="AI93" s="33">
        <f t="shared" ref="AI93:AJ93" si="136">AI94+AI95+AI96</f>
        <v>0</v>
      </c>
      <c r="AJ93" s="33">
        <f t="shared" si="136"/>
        <v>0</v>
      </c>
      <c r="AK93" s="33">
        <v>0</v>
      </c>
      <c r="AL93" s="33">
        <f t="shared" ref="AL93:AM93" si="137">AL94+AL95+AL96</f>
        <v>0</v>
      </c>
      <c r="AM93" s="33">
        <f t="shared" si="137"/>
        <v>0</v>
      </c>
      <c r="AN93" s="33">
        <v>0</v>
      </c>
      <c r="AO93" s="33">
        <f t="shared" ref="AO93:AP93" si="138">AO94+AO95+AO96</f>
        <v>0</v>
      </c>
      <c r="AP93" s="33">
        <f t="shared" si="138"/>
        <v>0</v>
      </c>
      <c r="AQ93" s="33">
        <v>0</v>
      </c>
      <c r="AR93" s="86"/>
      <c r="AS93" s="137"/>
      <c r="AT93" s="46"/>
      <c r="AU93" s="47"/>
    </row>
    <row r="94" spans="1:50" s="34" customFormat="1" ht="48">
      <c r="A94" s="136"/>
      <c r="B94" s="136"/>
      <c r="C94" s="136"/>
      <c r="D94" s="35" t="s">
        <v>89</v>
      </c>
      <c r="E94" s="32">
        <f>H94+K94+N94+Q94+T94+W94+Z94+AC94+AF94+AI94+AL94+AO94</f>
        <v>0</v>
      </c>
      <c r="F94" s="33">
        <f>I94+L94+O94+R94+U94+X94+AA94+AD94+AG94+AJ94+AM94+AP94</f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86"/>
      <c r="AS94" s="137"/>
      <c r="AT94" s="46"/>
      <c r="AU94" s="47"/>
    </row>
    <row r="95" spans="1:50" s="34" customFormat="1" ht="12.75">
      <c r="A95" s="136"/>
      <c r="B95" s="136"/>
      <c r="C95" s="136"/>
      <c r="D95" s="35" t="s">
        <v>90</v>
      </c>
      <c r="E95" s="32">
        <f t="shared" ref="E95:F96" si="139">H95+K95+N95+Q95+T95+W95+Z95+AC95+AF95+AI95+AL95+AO95</f>
        <v>231.6</v>
      </c>
      <c r="F95" s="33">
        <f t="shared" si="139"/>
        <v>231.6</v>
      </c>
      <c r="G95" s="33">
        <f>F95/E95*100</f>
        <v>100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231.6</v>
      </c>
      <c r="AA95" s="33">
        <v>231.6</v>
      </c>
      <c r="AB95" s="33">
        <f t="shared" ref="AB95" si="140">AA95/Z95*100</f>
        <v>100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86"/>
      <c r="AS95" s="137"/>
      <c r="AT95" s="46"/>
      <c r="AU95" s="47"/>
    </row>
    <row r="96" spans="1:50" s="34" customFormat="1" ht="24">
      <c r="A96" s="136"/>
      <c r="B96" s="136"/>
      <c r="C96" s="136"/>
      <c r="D96" s="40" t="s">
        <v>92</v>
      </c>
      <c r="E96" s="32">
        <f t="shared" si="139"/>
        <v>0</v>
      </c>
      <c r="F96" s="33">
        <f t="shared" si="139"/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86"/>
      <c r="AS96" s="137"/>
      <c r="AT96" s="46"/>
      <c r="AU96" s="47"/>
    </row>
    <row r="97" spans="1:47" s="26" customFormat="1" ht="24">
      <c r="A97" s="136"/>
      <c r="B97" s="136"/>
      <c r="C97" s="136"/>
      <c r="D97" s="40" t="s">
        <v>93</v>
      </c>
      <c r="E97" s="32">
        <f>H97+K97+N97+Q97+T97+W97+Z97+AC97+AF97+AI97+AL97+AO97</f>
        <v>0</v>
      </c>
      <c r="F97" s="33">
        <f>I97+L97+O97+R97+U97+X97+AA97+AD97+AG97+AJ97+AM97+AP97</f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86"/>
      <c r="AS97" s="137"/>
      <c r="AT97" s="46"/>
      <c r="AU97" s="47"/>
    </row>
    <row r="98" spans="1:47" s="34" customFormat="1" ht="12.75">
      <c r="A98" s="136" t="s">
        <v>155</v>
      </c>
      <c r="B98" s="136"/>
      <c r="C98" s="136"/>
      <c r="D98" s="40" t="s">
        <v>88</v>
      </c>
      <c r="E98" s="32">
        <f>E99+E100+E101</f>
        <v>461720.89999999997</v>
      </c>
      <c r="F98" s="33">
        <f>F99+F100+F101</f>
        <v>449388.10000000003</v>
      </c>
      <c r="G98" s="33">
        <f>F98/E98*100</f>
        <v>97.328949155214772</v>
      </c>
      <c r="H98" s="33">
        <f>H99+H100+H101</f>
        <v>6558.8999999999987</v>
      </c>
      <c r="I98" s="33">
        <f>I99+I100+I101</f>
        <v>6503.1999999999989</v>
      </c>
      <c r="J98" s="33">
        <f>I98/H98*100</f>
        <v>99.150772233148857</v>
      </c>
      <c r="K98" s="33">
        <f>K99+K100+K101</f>
        <v>48082</v>
      </c>
      <c r="L98" s="33">
        <f>L99+L100+L101</f>
        <v>47124.600000000006</v>
      </c>
      <c r="M98" s="33">
        <f>L98/K98*100</f>
        <v>98.008818268790833</v>
      </c>
      <c r="N98" s="33">
        <f>N99+N100+N101</f>
        <v>37444.6</v>
      </c>
      <c r="O98" s="33">
        <f>O99+O100+O101</f>
        <v>34575.700000000004</v>
      </c>
      <c r="P98" s="33">
        <f>O98/N98*100</f>
        <v>92.338281087259588</v>
      </c>
      <c r="Q98" s="33">
        <f>Q99+Q100+Q101</f>
        <v>34857.499999999993</v>
      </c>
      <c r="R98" s="33">
        <f>R99+R100+R101</f>
        <v>32835.599999999999</v>
      </c>
      <c r="S98" s="33">
        <f>R98/Q98*100</f>
        <v>94.199526644194236</v>
      </c>
      <c r="T98" s="33">
        <f>T99+T100+T101</f>
        <v>39005.999999999993</v>
      </c>
      <c r="U98" s="33">
        <f>U99+U100+U101</f>
        <v>38074.5</v>
      </c>
      <c r="V98" s="33">
        <f>U98/T98*100</f>
        <v>97.611905860636838</v>
      </c>
      <c r="W98" s="33">
        <f>W99+W100+W101</f>
        <v>45177.900000000009</v>
      </c>
      <c r="X98" s="33">
        <f>X99+X100+X101</f>
        <v>41214.9</v>
      </c>
      <c r="Y98" s="33">
        <f>X98/W98*100</f>
        <v>91.228011926185133</v>
      </c>
      <c r="Z98" s="33">
        <f>Z99+Z100+Z101</f>
        <v>46127.700000000004</v>
      </c>
      <c r="AA98" s="33">
        <f>AA99+AA100+AA101</f>
        <v>44829.5</v>
      </c>
      <c r="AB98" s="33">
        <f>AA98/Z98*100</f>
        <v>97.185638997825592</v>
      </c>
      <c r="AC98" s="33">
        <f>AC99+AC100+AC101</f>
        <v>39187.699999999997</v>
      </c>
      <c r="AD98" s="33">
        <f>AD99+AD100+AD101</f>
        <v>37133.9</v>
      </c>
      <c r="AE98" s="33">
        <f>AD98/AC98*100</f>
        <v>94.759069810170033</v>
      </c>
      <c r="AF98" s="33">
        <f>AF99+AF100+AF101</f>
        <v>37477.299999999996</v>
      </c>
      <c r="AG98" s="33">
        <f>AG99+AG100+AG101</f>
        <v>36931.4</v>
      </c>
      <c r="AH98" s="33">
        <f>AG98/AF98*100</f>
        <v>98.543384929010386</v>
      </c>
      <c r="AI98" s="33">
        <f>AI99+AI100+AI101</f>
        <v>30432.800000000003</v>
      </c>
      <c r="AJ98" s="33">
        <f>AJ99+AJ100+AJ101</f>
        <v>31138.399999999994</v>
      </c>
      <c r="AK98" s="33">
        <f>AJ98/AI98*100</f>
        <v>102.31855103703896</v>
      </c>
      <c r="AL98" s="33">
        <f>AL99+AL100+AL101</f>
        <v>34354.9</v>
      </c>
      <c r="AM98" s="33">
        <f>AM99+AM100+AM101</f>
        <v>32386.3</v>
      </c>
      <c r="AN98" s="33">
        <f>AM98/AL98*100</f>
        <v>94.269813039770156</v>
      </c>
      <c r="AO98" s="33">
        <f>AO99+AO100+AO101</f>
        <v>63013.600000000013</v>
      </c>
      <c r="AP98" s="33">
        <f>AP99+AP100+AP101</f>
        <v>66640.100000000006</v>
      </c>
      <c r="AQ98" s="65">
        <f>AP98/AO98*100</f>
        <v>105.75510683408025</v>
      </c>
      <c r="AR98" s="86"/>
      <c r="AS98" s="137"/>
      <c r="AT98" s="46"/>
      <c r="AU98" s="47"/>
    </row>
    <row r="99" spans="1:47" s="34" customFormat="1" ht="48">
      <c r="A99" s="136"/>
      <c r="B99" s="136"/>
      <c r="C99" s="136"/>
      <c r="D99" s="35" t="s">
        <v>89</v>
      </c>
      <c r="E99" s="32">
        <f>H99+K99+N99+Q99+T99+W99+Z99+AC99+AF99+AI99+AL99+AO99</f>
        <v>14582.7</v>
      </c>
      <c r="F99" s="33">
        <f>I99+L99+O99+R99+U99+X99+AA99+AD99+AG99+AJ99+AM99+AP99</f>
        <v>14541.7</v>
      </c>
      <c r="G99" s="33">
        <f>F99/E99*100</f>
        <v>99.718844932694211</v>
      </c>
      <c r="H99" s="33">
        <f>H88-H94</f>
        <v>75.600000000000023</v>
      </c>
      <c r="I99" s="33">
        <f>I88-I94</f>
        <v>75.599999999999994</v>
      </c>
      <c r="J99" s="33">
        <f t="shared" ref="J99:J100" si="141">I99/H99*100</f>
        <v>99.999999999999972</v>
      </c>
      <c r="K99" s="33">
        <f>K88-K94</f>
        <v>571.79999999999995</v>
      </c>
      <c r="L99" s="33">
        <f>L88-L94</f>
        <v>537.9</v>
      </c>
      <c r="M99" s="33">
        <f t="shared" ref="M99:M101" si="142">L99/K99*100</f>
        <v>94.071353620146908</v>
      </c>
      <c r="N99" s="33">
        <f>N88-N94</f>
        <v>709</v>
      </c>
      <c r="O99" s="33">
        <f>O88-O94</f>
        <v>507</v>
      </c>
      <c r="P99" s="33">
        <f t="shared" ref="P99:P101" si="143">O99/N99*100</f>
        <v>71.509167842031033</v>
      </c>
      <c r="Q99" s="33">
        <f>Q88-Q94</f>
        <v>752.59999999999991</v>
      </c>
      <c r="R99" s="33">
        <f>R88-R94</f>
        <v>504.7</v>
      </c>
      <c r="S99" s="33">
        <f t="shared" ref="S99:S101" si="144">R99/Q99*100</f>
        <v>67.060855700239173</v>
      </c>
      <c r="T99" s="33">
        <f>T88-T94</f>
        <v>1149.8</v>
      </c>
      <c r="U99" s="33">
        <f>U88-U94</f>
        <v>970.09999999999991</v>
      </c>
      <c r="V99" s="33">
        <f t="shared" ref="V99:V101" si="145">U99/T99*100</f>
        <v>84.371194990433125</v>
      </c>
      <c r="W99" s="33">
        <f>W88-W94</f>
        <v>1381.3000000000002</v>
      </c>
      <c r="X99" s="33">
        <f>X88-X94</f>
        <v>994.7</v>
      </c>
      <c r="Y99" s="33">
        <f t="shared" ref="Y99:Y101" si="146">X99/W99*100</f>
        <v>72.011872873380142</v>
      </c>
      <c r="Z99" s="33">
        <f>Z88-Z94</f>
        <v>1547.6999999999998</v>
      </c>
      <c r="AA99" s="33">
        <f>AA88-AA94</f>
        <v>1521.2</v>
      </c>
      <c r="AB99" s="33">
        <f t="shared" ref="AB99:AB101" si="147">AA99/Z99*100</f>
        <v>98.287781869871438</v>
      </c>
      <c r="AC99" s="33">
        <f>AC88-AC94</f>
        <v>1889.2</v>
      </c>
      <c r="AD99" s="33">
        <f>AD88-AD94</f>
        <v>1822.1</v>
      </c>
      <c r="AE99" s="33">
        <f t="shared" ref="AE99:AE101" si="148">AD99/AC99*100</f>
        <v>96.448232055896668</v>
      </c>
      <c r="AF99" s="33">
        <f>AF88-AF94</f>
        <v>2530.6999999999998</v>
      </c>
      <c r="AG99" s="33">
        <f>AG88-AG94</f>
        <v>2499.1999999999998</v>
      </c>
      <c r="AH99" s="33">
        <f t="shared" ref="AH99:AH101" si="149">AG99/AF99*100</f>
        <v>98.755285098984473</v>
      </c>
      <c r="AI99" s="33">
        <f>AI88-AI94</f>
        <v>890.49999999999989</v>
      </c>
      <c r="AJ99" s="33">
        <f>AJ88-AJ94</f>
        <v>1190.0999999999999</v>
      </c>
      <c r="AK99" s="33">
        <f t="shared" ref="AK99:AK101" si="150">AJ99/AI99*100</f>
        <v>133.64402021336329</v>
      </c>
      <c r="AL99" s="33">
        <f>AL88-AL94</f>
        <v>1472.1</v>
      </c>
      <c r="AM99" s="33">
        <f>AM88-AM94</f>
        <v>1694.1</v>
      </c>
      <c r="AN99" s="33">
        <f t="shared" ref="AN99:AN101" si="151">AM99/AL99*100</f>
        <v>115.08049724882821</v>
      </c>
      <c r="AO99" s="33">
        <f>AO88-AO94</f>
        <v>1612.4</v>
      </c>
      <c r="AP99" s="33">
        <f>AP88-AP94</f>
        <v>2225</v>
      </c>
      <c r="AQ99" s="65">
        <f t="shared" ref="AQ99:AQ101" si="152">AP99/AO99*100</f>
        <v>137.99305383279582</v>
      </c>
      <c r="AR99" s="86"/>
      <c r="AS99" s="137"/>
      <c r="AT99" s="46"/>
      <c r="AU99" s="47"/>
    </row>
    <row r="100" spans="1:47" s="34" customFormat="1" ht="12.75">
      <c r="A100" s="136"/>
      <c r="B100" s="136"/>
      <c r="C100" s="136"/>
      <c r="D100" s="35" t="s">
        <v>90</v>
      </c>
      <c r="E100" s="32">
        <f t="shared" ref="E100:F101" si="153">H100+K100+N100+Q100+T100+W100+Z100+AC100+AF100+AI100+AL100+AO100</f>
        <v>441728.1</v>
      </c>
      <c r="F100" s="33">
        <f>I100+L100+O100+R100+U100+X100+AA100+AD100+AG100+AJ100+AM100+AP100</f>
        <v>429436.30000000005</v>
      </c>
      <c r="G100" s="33">
        <f>F100/E100*100</f>
        <v>97.21733799593008</v>
      </c>
      <c r="H100" s="33">
        <f>H89-H95</f>
        <v>6483.2999999999984</v>
      </c>
      <c r="I100" s="33">
        <f>I89-I95</f>
        <v>6427.5999999999985</v>
      </c>
      <c r="J100" s="33">
        <f t="shared" si="141"/>
        <v>99.14086961886693</v>
      </c>
      <c r="K100" s="33">
        <f>K89-K95</f>
        <v>47395</v>
      </c>
      <c r="L100" s="33">
        <f>L89-L95</f>
        <v>46461.500000000007</v>
      </c>
      <c r="M100" s="33">
        <f t="shared" si="142"/>
        <v>98.03038295178817</v>
      </c>
      <c r="N100" s="33">
        <f>N89-N95</f>
        <v>36081.4</v>
      </c>
      <c r="O100" s="33">
        <f>O89-O95</f>
        <v>33432.600000000006</v>
      </c>
      <c r="P100" s="33">
        <f t="shared" si="143"/>
        <v>92.658821442626959</v>
      </c>
      <c r="Q100" s="33">
        <f>Q89-Q95</f>
        <v>33651.799999999996</v>
      </c>
      <c r="R100" s="33">
        <f>R89-R95</f>
        <v>31992.999999999996</v>
      </c>
      <c r="S100" s="33">
        <f t="shared" si="144"/>
        <v>95.070694583944999</v>
      </c>
      <c r="T100" s="33">
        <f>T89-T95</f>
        <v>37233.099999999991</v>
      </c>
      <c r="U100" s="33">
        <f>U89-U95</f>
        <v>36656.6</v>
      </c>
      <c r="V100" s="33">
        <f t="shared" si="145"/>
        <v>98.451646518823324</v>
      </c>
      <c r="W100" s="33">
        <f>W89-W95</f>
        <v>43192.100000000006</v>
      </c>
      <c r="X100" s="33">
        <f>X89-X95</f>
        <v>39675.200000000004</v>
      </c>
      <c r="Y100" s="33">
        <f t="shared" si="146"/>
        <v>91.857538762875606</v>
      </c>
      <c r="Z100" s="33">
        <f>Z89-Z95</f>
        <v>43965.700000000004</v>
      </c>
      <c r="AA100" s="33">
        <f>AA89-AA95</f>
        <v>42694</v>
      </c>
      <c r="AB100" s="33">
        <f t="shared" si="147"/>
        <v>97.107517906003991</v>
      </c>
      <c r="AC100" s="33">
        <f>AC89-AC95</f>
        <v>36859.9</v>
      </c>
      <c r="AD100" s="33">
        <f>AD89-AD95</f>
        <v>34873.200000000004</v>
      </c>
      <c r="AE100" s="33">
        <f t="shared" si="148"/>
        <v>94.610131877731646</v>
      </c>
      <c r="AF100" s="33">
        <f>AF89-AF95</f>
        <v>34411.199999999997</v>
      </c>
      <c r="AG100" s="33">
        <f>AG89-AG95</f>
        <v>33773.600000000006</v>
      </c>
      <c r="AH100" s="33">
        <f t="shared" si="149"/>
        <v>98.147114892825613</v>
      </c>
      <c r="AI100" s="33">
        <f>AI89-AI95</f>
        <v>29089.000000000004</v>
      </c>
      <c r="AJ100" s="33">
        <f>AJ89-AJ95</f>
        <v>29280.299999999996</v>
      </c>
      <c r="AK100" s="33">
        <f t="shared" si="150"/>
        <v>100.65763690742202</v>
      </c>
      <c r="AL100" s="33">
        <f>AL89-AL95</f>
        <v>32747.8</v>
      </c>
      <c r="AM100" s="33">
        <f>AM89-AM95</f>
        <v>30557.200000000001</v>
      </c>
      <c r="AN100" s="33">
        <f t="shared" si="151"/>
        <v>93.310695680320507</v>
      </c>
      <c r="AO100" s="33">
        <f>AO89-AO95</f>
        <v>60617.80000000001</v>
      </c>
      <c r="AP100" s="33">
        <f>AP89-AP95</f>
        <v>63611.499999999993</v>
      </c>
      <c r="AQ100" s="65">
        <f t="shared" si="152"/>
        <v>104.93864838380802</v>
      </c>
      <c r="AR100" s="86"/>
      <c r="AS100" s="137"/>
      <c r="AT100" s="46"/>
      <c r="AU100" s="47"/>
    </row>
    <row r="101" spans="1:47" s="34" customFormat="1" ht="24">
      <c r="A101" s="136"/>
      <c r="B101" s="136"/>
      <c r="C101" s="136"/>
      <c r="D101" s="40" t="s">
        <v>92</v>
      </c>
      <c r="E101" s="32">
        <f>H101+K101+N101+Q101+T101+W101+Z101+AC101+AF101+AI101+AL101+AO101</f>
        <v>5410.1</v>
      </c>
      <c r="F101" s="33">
        <f t="shared" si="153"/>
        <v>5410.1</v>
      </c>
      <c r="G101" s="33">
        <f>F101/E101*100</f>
        <v>100</v>
      </c>
      <c r="H101" s="33">
        <f t="shared" ref="H101:I101" si="154">H91-H96</f>
        <v>0</v>
      </c>
      <c r="I101" s="33">
        <f t="shared" si="154"/>
        <v>0</v>
      </c>
      <c r="J101" s="33">
        <v>0</v>
      </c>
      <c r="K101" s="33">
        <f t="shared" ref="K101:L101" si="155">K91-K96</f>
        <v>115.2</v>
      </c>
      <c r="L101" s="33">
        <f t="shared" si="155"/>
        <v>125.2</v>
      </c>
      <c r="M101" s="33">
        <f t="shared" si="142"/>
        <v>108.68055555555556</v>
      </c>
      <c r="N101" s="33">
        <f t="shared" ref="N101:O101" si="156">N91-N96</f>
        <v>654.20000000000005</v>
      </c>
      <c r="O101" s="33">
        <f t="shared" si="156"/>
        <v>636.1</v>
      </c>
      <c r="P101" s="33">
        <f t="shared" si="143"/>
        <v>97.23326199938856</v>
      </c>
      <c r="Q101" s="33">
        <f t="shared" ref="Q101:R101" si="157">Q91-Q96</f>
        <v>453.1</v>
      </c>
      <c r="R101" s="33">
        <f t="shared" si="157"/>
        <v>337.9</v>
      </c>
      <c r="S101" s="33">
        <f t="shared" si="144"/>
        <v>74.575148973736475</v>
      </c>
      <c r="T101" s="33">
        <f t="shared" ref="T101:U101" si="158">T91-T96</f>
        <v>623.1</v>
      </c>
      <c r="U101" s="33">
        <f t="shared" si="158"/>
        <v>447.8</v>
      </c>
      <c r="V101" s="33">
        <f t="shared" si="145"/>
        <v>71.86647408120686</v>
      </c>
      <c r="W101" s="33">
        <f t="shared" ref="W101:X101" si="159">W91-W96</f>
        <v>604.5</v>
      </c>
      <c r="X101" s="33">
        <f t="shared" si="159"/>
        <v>545</v>
      </c>
      <c r="Y101" s="33">
        <f t="shared" si="146"/>
        <v>90.157154673283699</v>
      </c>
      <c r="Z101" s="33">
        <f t="shared" ref="Z101:AA101" si="160">Z91-Z96</f>
        <v>614.30000000000007</v>
      </c>
      <c r="AA101" s="33">
        <f t="shared" si="160"/>
        <v>614.29999999999995</v>
      </c>
      <c r="AB101" s="33">
        <f t="shared" si="147"/>
        <v>99.999999999999972</v>
      </c>
      <c r="AC101" s="33">
        <f t="shared" ref="AC101:AD101" si="161">AC91-AC96</f>
        <v>438.60000000000008</v>
      </c>
      <c r="AD101" s="33">
        <f t="shared" si="161"/>
        <v>438.6</v>
      </c>
      <c r="AE101" s="33">
        <f t="shared" si="148"/>
        <v>99.999999999999986</v>
      </c>
      <c r="AF101" s="33">
        <f t="shared" ref="AF101:AG101" si="162">AF91-AF96</f>
        <v>535.4</v>
      </c>
      <c r="AG101" s="33">
        <f t="shared" si="162"/>
        <v>658.6</v>
      </c>
      <c r="AH101" s="33">
        <f t="shared" si="149"/>
        <v>123.01083302203961</v>
      </c>
      <c r="AI101" s="33">
        <f t="shared" ref="AI101:AJ101" si="163">AI91-AI96</f>
        <v>453.3</v>
      </c>
      <c r="AJ101" s="33">
        <f t="shared" si="163"/>
        <v>668</v>
      </c>
      <c r="AK101" s="33">
        <f t="shared" si="150"/>
        <v>147.36377674829032</v>
      </c>
      <c r="AL101" s="33">
        <f t="shared" ref="AL101:AM101" si="164">AL91-AL96</f>
        <v>135</v>
      </c>
      <c r="AM101" s="33">
        <f t="shared" si="164"/>
        <v>135</v>
      </c>
      <c r="AN101" s="33">
        <f t="shared" si="151"/>
        <v>100</v>
      </c>
      <c r="AO101" s="33">
        <f t="shared" ref="AO101:AP101" si="165">AO91-AO96</f>
        <v>783.40000000000009</v>
      </c>
      <c r="AP101" s="33">
        <f t="shared" si="165"/>
        <v>803.6</v>
      </c>
      <c r="AQ101" s="65">
        <f t="shared" si="152"/>
        <v>102.57850395711003</v>
      </c>
      <c r="AR101" s="86"/>
      <c r="AS101" s="137"/>
      <c r="AT101" s="46"/>
      <c r="AU101" s="47"/>
    </row>
    <row r="102" spans="1:47" s="26" customFormat="1" ht="24">
      <c r="A102" s="136"/>
      <c r="B102" s="136"/>
      <c r="C102" s="136"/>
      <c r="D102" s="40" t="s">
        <v>93</v>
      </c>
      <c r="E102" s="32">
        <f>H102+K102+N102+Q102+T102+W102+Z102+AC102+AF102+AI102+AL102+AO102</f>
        <v>0</v>
      </c>
      <c r="F102" s="33">
        <f>I102+L102+O102+R102+U102+X102+AA102+AD102+AG102+AJ102+AM102+AP102</f>
        <v>0</v>
      </c>
      <c r="G102" s="33">
        <v>0</v>
      </c>
      <c r="H102" s="33">
        <v>0</v>
      </c>
      <c r="I102" s="33">
        <v>0</v>
      </c>
      <c r="J102" s="33">
        <v>0</v>
      </c>
      <c r="K102" s="41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42">
        <v>0</v>
      </c>
      <c r="U102" s="42">
        <v>0</v>
      </c>
      <c r="V102" s="33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33">
        <v>0</v>
      </c>
      <c r="AI102" s="33">
        <v>0</v>
      </c>
      <c r="AJ102" s="33">
        <v>0</v>
      </c>
      <c r="AK102" s="33">
        <v>0</v>
      </c>
      <c r="AL102" s="42">
        <v>0</v>
      </c>
      <c r="AM102" s="42">
        <v>0</v>
      </c>
      <c r="AN102" s="42">
        <v>0</v>
      </c>
      <c r="AO102" s="33">
        <v>0</v>
      </c>
      <c r="AP102" s="33">
        <v>0</v>
      </c>
      <c r="AQ102" s="33">
        <v>0</v>
      </c>
      <c r="AR102" s="86"/>
      <c r="AS102" s="137"/>
      <c r="AT102" s="46"/>
      <c r="AU102" s="47"/>
    </row>
    <row r="103" spans="1:47">
      <c r="A103" s="138" t="s">
        <v>156</v>
      </c>
      <c r="B103" s="138"/>
      <c r="C103" s="138"/>
      <c r="AR103" s="68"/>
    </row>
    <row r="104" spans="1:47" s="26" customFormat="1" ht="12.75">
      <c r="A104" s="139" t="s">
        <v>157</v>
      </c>
      <c r="B104" s="140"/>
      <c r="C104" s="141"/>
      <c r="D104" s="55" t="s">
        <v>88</v>
      </c>
      <c r="E104" s="44">
        <f>E105+E106+E107</f>
        <v>288080.10000000003</v>
      </c>
      <c r="F104" s="45">
        <f>F105+F106+F107</f>
        <v>281384.40000000008</v>
      </c>
      <c r="G104" s="45">
        <f>F104/E104*100</f>
        <v>97.675750598531465</v>
      </c>
      <c r="H104" s="45">
        <f>H105+H106+H107</f>
        <v>4246.1999999999989</v>
      </c>
      <c r="I104" s="45">
        <f>I105+I106+I107</f>
        <v>4225.7999999999993</v>
      </c>
      <c r="J104" s="45">
        <f>I104/H104*100</f>
        <v>99.519570439451755</v>
      </c>
      <c r="K104" s="45">
        <f>K105+K106+K107</f>
        <v>34438.799999999996</v>
      </c>
      <c r="L104" s="45">
        <f>L105+L106+L107</f>
        <v>34355.600000000006</v>
      </c>
      <c r="M104" s="45">
        <f>L104/K104*100</f>
        <v>99.758412023647779</v>
      </c>
      <c r="N104" s="45">
        <f>N105+N106+N107</f>
        <v>23090.400000000001</v>
      </c>
      <c r="O104" s="45">
        <f>O105+O106+O107</f>
        <v>21236.700000000004</v>
      </c>
      <c r="P104" s="45">
        <f>O104/N104*100</f>
        <v>91.97198835879847</v>
      </c>
      <c r="Q104" s="45">
        <f>Q105+Q106+Q107</f>
        <v>19944.999999999993</v>
      </c>
      <c r="R104" s="45">
        <f>R105+R106+R107</f>
        <v>20462.499999999996</v>
      </c>
      <c r="S104" s="45">
        <f>R104/Q104*100</f>
        <v>102.59463524692907</v>
      </c>
      <c r="T104" s="45">
        <f>T105+T106+T107</f>
        <v>22469.69999999999</v>
      </c>
      <c r="U104" s="45">
        <f>U105+U106+U107</f>
        <v>22805.999999999996</v>
      </c>
      <c r="V104" s="45">
        <f>U104/T104*100</f>
        <v>101.49668219869427</v>
      </c>
      <c r="W104" s="45">
        <f>W105+W106+W107</f>
        <v>25884.900000000009</v>
      </c>
      <c r="X104" s="45">
        <f>X105+X106+X107</f>
        <v>23817.300000000007</v>
      </c>
      <c r="Y104" s="45">
        <f>X104/W104*100</f>
        <v>92.012331513739667</v>
      </c>
      <c r="Z104" s="45">
        <f>Z105+Z106+Z107</f>
        <v>29430.7</v>
      </c>
      <c r="AA104" s="45">
        <f>AA105+AA106+AA107</f>
        <v>27505.100000000002</v>
      </c>
      <c r="AB104" s="45">
        <f>AA104/Z104*100</f>
        <v>93.457172272490979</v>
      </c>
      <c r="AC104" s="45">
        <f>AC105+AC106+AC107</f>
        <v>25707.8</v>
      </c>
      <c r="AD104" s="45">
        <f>AD105+AD106+AD107</f>
        <v>23886.400000000001</v>
      </c>
      <c r="AE104" s="45">
        <f>AD104/AC104*100</f>
        <v>92.914990781008115</v>
      </c>
      <c r="AF104" s="45">
        <f>AF105+AF106+AF107</f>
        <v>24543.600000000002</v>
      </c>
      <c r="AG104" s="45">
        <f>AG105+AG106+AG107</f>
        <v>23519.200000000008</v>
      </c>
      <c r="AH104" s="45">
        <f>AG104/AF104*100</f>
        <v>95.826203164979901</v>
      </c>
      <c r="AI104" s="45">
        <f>AI105+AI106+AI107</f>
        <v>20892.800000000003</v>
      </c>
      <c r="AJ104" s="45">
        <f>AJ105+AJ106+AJ107</f>
        <v>19775.299999999996</v>
      </c>
      <c r="AK104" s="45">
        <f>AJ104/AI104*100</f>
        <v>94.651267422269839</v>
      </c>
      <c r="AL104" s="45">
        <f>AL105+AL106+AL107</f>
        <v>21361.200000000001</v>
      </c>
      <c r="AM104" s="45">
        <f>AM105+AM106+AM107</f>
        <v>19280.7</v>
      </c>
      <c r="AN104" s="45">
        <f>AM104/AL104*100</f>
        <v>90.260378630414024</v>
      </c>
      <c r="AO104" s="45">
        <f>AO105+AO106+AO107</f>
        <v>36069.000000000015</v>
      </c>
      <c r="AP104" s="45">
        <f>AP105+AP106+AP107</f>
        <v>40513.799999999988</v>
      </c>
      <c r="AQ104" s="45">
        <f>AP104/AO104*100</f>
        <v>112.32304749230633</v>
      </c>
      <c r="AR104" s="86"/>
      <c r="AS104" s="137"/>
      <c r="AT104" s="46"/>
      <c r="AU104" s="47"/>
    </row>
    <row r="105" spans="1:47" s="26" customFormat="1" ht="48">
      <c r="A105" s="142"/>
      <c r="B105" s="143"/>
      <c r="C105" s="144"/>
      <c r="D105" s="48" t="s">
        <v>89</v>
      </c>
      <c r="E105" s="44">
        <f>H105+K105+N105+Q105+T105+W105+Z105+AC105+AF105+AI105+AL105+AO105</f>
        <v>8685.3999999999978</v>
      </c>
      <c r="F105" s="45">
        <f>I105+L105+O105+R105+U105+X105+AA105+AD105+AG105+AJ105+AM105+AP105</f>
        <v>8655.4</v>
      </c>
      <c r="G105" s="45">
        <f>F105/E105*100</f>
        <v>99.654592764869804</v>
      </c>
      <c r="H105" s="45">
        <f>H99-H110-H115-H119-H124-H129-H134-H139-H144</f>
        <v>75.600000000000023</v>
      </c>
      <c r="I105" s="45">
        <f>I99-I110-I115-I119-I124-I129-I134-I139</f>
        <v>75.599999999999994</v>
      </c>
      <c r="J105" s="45">
        <f t="shared" ref="J105:J106" si="166">I105/H105*100</f>
        <v>99.999999999999972</v>
      </c>
      <c r="K105" s="45">
        <f>K99-K110-K115-K119-K124-K129-K134-K139-K144</f>
        <v>499.69999999999993</v>
      </c>
      <c r="L105" s="45">
        <f>L99-L110-L115-L119-L124-L129-L134-L139</f>
        <v>465.79999999999995</v>
      </c>
      <c r="M105" s="45">
        <f t="shared" ref="M105:M107" si="167">L105/K105*100</f>
        <v>93.21592955773464</v>
      </c>
      <c r="N105" s="45">
        <f>N99-N110-N115-N119-N124-N129-N134-N139-N144</f>
        <v>555</v>
      </c>
      <c r="O105" s="45">
        <f>O99-O110-O115-O119-O124-O129-O134-O139</f>
        <v>389.4</v>
      </c>
      <c r="P105" s="45">
        <f t="shared" ref="P105:P107" si="168">O105/N105*100</f>
        <v>70.162162162162161</v>
      </c>
      <c r="Q105" s="45">
        <f>Q99-Q110-Q115-Q119-Q124-Q129-Q134-Q139-Q144</f>
        <v>201.09999999999994</v>
      </c>
      <c r="R105" s="45">
        <f>R99-R110-R115-R119-R124-R129-R134-R139</f>
        <v>206.09999999999994</v>
      </c>
      <c r="S105" s="45">
        <f t="shared" ref="S105:S107" si="169">R105/Q105*100</f>
        <v>102.48632521133764</v>
      </c>
      <c r="T105" s="45">
        <f>T99-T110-T115-T119-T124-T129-T134-T139-T144</f>
        <v>465.9</v>
      </c>
      <c r="U105" s="45">
        <f>U99-U110-U115-U119-U124-U129-U134-U139-U144</f>
        <v>375.69999999999993</v>
      </c>
      <c r="V105" s="45">
        <f t="shared" ref="V105:V107" si="170">U105/T105*100</f>
        <v>80.639622236531437</v>
      </c>
      <c r="W105" s="45">
        <f>W99-W110-W115-W119-W124-W129-W134-W139-W144</f>
        <v>670.9000000000002</v>
      </c>
      <c r="X105" s="45">
        <f>X99-X110-X115-X119-X124-X129-X134-X139-X144</f>
        <v>298.20000000000005</v>
      </c>
      <c r="Y105" s="45">
        <f t="shared" ref="Y105:Y107" si="171">X105/W105*100</f>
        <v>44.447756744671331</v>
      </c>
      <c r="Z105" s="45">
        <f t="shared" ref="Z105:AA105" si="172">Z99-Z110-Z115-Z119-Z124-Z129-Z134-Z139-Z144</f>
        <v>695.79999999999973</v>
      </c>
      <c r="AA105" s="45">
        <f t="shared" si="172"/>
        <v>598.09999999999991</v>
      </c>
      <c r="AB105" s="45">
        <f t="shared" ref="AB105:AB107" si="173">AA105/Z105*100</f>
        <v>85.958608795630951</v>
      </c>
      <c r="AC105" s="45">
        <f t="shared" ref="AC105:AD105" si="174">AC99-AC110-AC115-AC119-AC124-AC129-AC134-AC139-AC144</f>
        <v>1067.3000000000002</v>
      </c>
      <c r="AD105" s="45">
        <f t="shared" si="174"/>
        <v>1127</v>
      </c>
      <c r="AE105" s="45">
        <f t="shared" ref="AE105:AE107" si="175">AD105/AC105*100</f>
        <v>105.59355382741495</v>
      </c>
      <c r="AF105" s="45">
        <f t="shared" ref="AF105:AG105" si="176">AF99-AF110-AF115-AF119-AF124-AF129-AF134-AF139-AF144</f>
        <v>1835.2999999999997</v>
      </c>
      <c r="AG105" s="45">
        <f t="shared" si="176"/>
        <v>1821.7</v>
      </c>
      <c r="AH105" s="45">
        <f t="shared" ref="AH105:AH107" si="177">AG105/AF105*100</f>
        <v>99.258976734048943</v>
      </c>
      <c r="AI105" s="45">
        <f t="shared" ref="AI105:AO105" si="178">AI99-AI110-AI115-AI119-AI124-AI129-AI134-AI139-AI144</f>
        <v>445.79999999999984</v>
      </c>
      <c r="AJ105" s="45">
        <f t="shared" si="178"/>
        <v>573.59999999999991</v>
      </c>
      <c r="AK105" s="45">
        <f t="shared" ref="AK105:AK107" si="179">AJ105/AI105*100</f>
        <v>128.66756393001347</v>
      </c>
      <c r="AL105" s="45">
        <f t="shared" si="178"/>
        <v>900.99999999999989</v>
      </c>
      <c r="AM105" s="45">
        <f t="shared" si="178"/>
        <v>1023</v>
      </c>
      <c r="AN105" s="45">
        <f t="shared" ref="AN105:AN107" si="180">AM105/AL105*100</f>
        <v>113.5405105438402</v>
      </c>
      <c r="AO105" s="45">
        <f t="shared" si="178"/>
        <v>1272</v>
      </c>
      <c r="AP105" s="45">
        <f>AP99-AP110-AP115-AP119-AP124-AP129-AP134-AP139</f>
        <v>1701.2</v>
      </c>
      <c r="AQ105" s="45">
        <f t="shared" ref="AQ105:AQ107" si="181">AP105/AO105*100</f>
        <v>133.74213836477989</v>
      </c>
      <c r="AR105" s="86"/>
      <c r="AS105" s="137"/>
      <c r="AT105" s="46"/>
      <c r="AU105" s="47"/>
    </row>
    <row r="106" spans="1:47" s="26" customFormat="1" ht="12.75">
      <c r="A106" s="142"/>
      <c r="B106" s="143"/>
      <c r="C106" s="144"/>
      <c r="D106" s="48" t="s">
        <v>90</v>
      </c>
      <c r="E106" s="44">
        <f t="shared" ref="E106:F107" si="182">H106+K106+N106+Q106+T106+W106+Z106+AC106+AF106+AI106+AL106+AO106</f>
        <v>273984.60000000003</v>
      </c>
      <c r="F106" s="45">
        <f t="shared" si="182"/>
        <v>267318.90000000008</v>
      </c>
      <c r="G106" s="45">
        <f>F106/E106*100</f>
        <v>97.567126035550928</v>
      </c>
      <c r="H106" s="45">
        <f>H100-H111-H116-H120-H125-H130-H135-H140-H145</f>
        <v>4170.5999999999985</v>
      </c>
      <c r="I106" s="45">
        <f>I100-I111-I116-I120-I125-I130-I135-I140</f>
        <v>4150.1999999999989</v>
      </c>
      <c r="J106" s="45">
        <f t="shared" si="166"/>
        <v>99.51086174651131</v>
      </c>
      <c r="K106" s="45">
        <f>K100-K111-K116-K120-K125-K130-K135-K140-K145</f>
        <v>33823.9</v>
      </c>
      <c r="L106" s="45">
        <f>L100-L111-L116-L120-L125-L130-L135-L140</f>
        <v>33764.600000000006</v>
      </c>
      <c r="M106" s="45">
        <f t="shared" si="167"/>
        <v>99.824680181764975</v>
      </c>
      <c r="N106" s="45">
        <f>N100-N111-N116-N120-N125-N130-N135-N140-N145</f>
        <v>21881.200000000001</v>
      </c>
      <c r="O106" s="45">
        <f>O100-O111-O116-O120-O125-O130-O135-O140</f>
        <v>20211.200000000004</v>
      </c>
      <c r="P106" s="45">
        <f t="shared" si="168"/>
        <v>92.367877447306384</v>
      </c>
      <c r="Q106" s="45">
        <f t="shared" ref="Q106:R106" si="183">Q100-Q111-Q116-Q120-Q125-Q130-Q135-Q140-Q145</f>
        <v>19290.799999999996</v>
      </c>
      <c r="R106" s="45">
        <f t="shared" si="183"/>
        <v>19918.499999999996</v>
      </c>
      <c r="S106" s="45">
        <f t="shared" si="169"/>
        <v>103.25388267982665</v>
      </c>
      <c r="T106" s="45">
        <f>T89-T111-T116-T120-T125-T130-T135-T140-T145</f>
        <v>21380.69999999999</v>
      </c>
      <c r="U106" s="45">
        <f t="shared" ref="U106" si="184">U100-U111-U116-U120-U125-U130-U135-U140-U145</f>
        <v>21982.499999999996</v>
      </c>
      <c r="V106" s="45">
        <f t="shared" si="170"/>
        <v>102.81468801302111</v>
      </c>
      <c r="W106" s="45">
        <f>W100-W111-W116-W120-W125-W130-W135-W140-W145</f>
        <v>24609.500000000007</v>
      </c>
      <c r="X106" s="45">
        <f t="shared" ref="X106:AO106" si="185">X100-X111-X116-X120-X125-X130-X135-X140-X145</f>
        <v>22974.100000000006</v>
      </c>
      <c r="Y106" s="45">
        <f t="shared" si="171"/>
        <v>93.354598833783697</v>
      </c>
      <c r="Z106" s="45">
        <f>Z89-Z111-Z116-Z120-Z125-Z130-Z135-Z140-Z145</f>
        <v>28120.600000000002</v>
      </c>
      <c r="AA106" s="45">
        <f>AA89-AA111-AA116-AA120-AA125-AA130-AA135-AA140-AA145</f>
        <v>26292.700000000004</v>
      </c>
      <c r="AB106" s="45">
        <f t="shared" si="173"/>
        <v>93.499783077174754</v>
      </c>
      <c r="AC106" s="45">
        <f>AC89-AC111-AC116-AC120-AC125-AC130-AC135-AC140-AC145</f>
        <v>24201.9</v>
      </c>
      <c r="AD106" s="45">
        <f>AD89-AD111-AD116-AD120-AD125-AD130-AD135-AD140-AD145</f>
        <v>22320.800000000003</v>
      </c>
      <c r="AE106" s="45">
        <f t="shared" si="175"/>
        <v>92.227469744111005</v>
      </c>
      <c r="AF106" s="45">
        <f>AF89-AF111-AF116-AF120-AF125-AF130-AF135-AF140-AF145</f>
        <v>22172.9</v>
      </c>
      <c r="AG106" s="45">
        <f>AG89-AG111-AG116-AG120-AG125-AG130-AG135-AG140-AG145</f>
        <v>21038.900000000009</v>
      </c>
      <c r="AH106" s="45">
        <f t="shared" si="177"/>
        <v>94.885648697283656</v>
      </c>
      <c r="AI106" s="45">
        <f t="shared" si="185"/>
        <v>19993.700000000004</v>
      </c>
      <c r="AJ106" s="45">
        <f t="shared" si="185"/>
        <v>18533.699999999997</v>
      </c>
      <c r="AK106" s="45">
        <f t="shared" si="179"/>
        <v>92.697699775429214</v>
      </c>
      <c r="AL106" s="45">
        <f t="shared" si="185"/>
        <v>20325.2</v>
      </c>
      <c r="AM106" s="45">
        <f t="shared" si="185"/>
        <v>18122.7</v>
      </c>
      <c r="AN106" s="45">
        <f t="shared" si="180"/>
        <v>89.16369826619173</v>
      </c>
      <c r="AO106" s="45">
        <f t="shared" si="185"/>
        <v>34013.600000000013</v>
      </c>
      <c r="AP106" s="45">
        <f>AP100-AP111-AP116-AP120-AP125-AP130-AP135-AP140</f>
        <v>38008.999999999993</v>
      </c>
      <c r="AQ106" s="45">
        <f t="shared" si="181"/>
        <v>111.74647787943638</v>
      </c>
      <c r="AR106" s="86"/>
      <c r="AS106" s="137"/>
      <c r="AT106" s="46"/>
      <c r="AU106" s="47"/>
    </row>
    <row r="107" spans="1:47" s="26" customFormat="1" ht="24">
      <c r="A107" s="142"/>
      <c r="B107" s="143"/>
      <c r="C107" s="144"/>
      <c r="D107" s="55" t="s">
        <v>92</v>
      </c>
      <c r="E107" s="44">
        <f t="shared" si="182"/>
        <v>5410.1</v>
      </c>
      <c r="F107" s="45">
        <f t="shared" si="182"/>
        <v>5410.1</v>
      </c>
      <c r="G107" s="45">
        <f>F107/E107*100</f>
        <v>100</v>
      </c>
      <c r="H107" s="45">
        <f>H101-H112-H121-H126-H131-H136-H141</f>
        <v>0</v>
      </c>
      <c r="I107" s="45">
        <f>I101-I112-I121-I126-I131-I136-I141</f>
        <v>0</v>
      </c>
      <c r="J107" s="45">
        <v>0</v>
      </c>
      <c r="K107" s="45">
        <f>K101-K112-K121-K126-K131-K136-K141</f>
        <v>115.2</v>
      </c>
      <c r="L107" s="45">
        <f>L101-L112-L121-L126-L131-L136-L141</f>
        <v>125.2</v>
      </c>
      <c r="M107" s="45">
        <f t="shared" si="167"/>
        <v>108.68055555555556</v>
      </c>
      <c r="N107" s="45">
        <f>N101-N112-N121-N126-N131-N136-N141</f>
        <v>654.20000000000005</v>
      </c>
      <c r="O107" s="45">
        <f>O101-O112-O121-O126-O131-O136-O141</f>
        <v>636.1</v>
      </c>
      <c r="P107" s="45">
        <f t="shared" si="168"/>
        <v>97.23326199938856</v>
      </c>
      <c r="Q107" s="45">
        <f>Q101-Q112-Q121-Q126-Q131-Q136-Q141</f>
        <v>453.1</v>
      </c>
      <c r="R107" s="45">
        <f>R101-R112-R121-R126-R131-R136-R141</f>
        <v>337.9</v>
      </c>
      <c r="S107" s="45">
        <f t="shared" si="169"/>
        <v>74.575148973736475</v>
      </c>
      <c r="T107" s="45">
        <f>T101-T112-T121-T126-T131-T136-T141</f>
        <v>623.1</v>
      </c>
      <c r="U107" s="45">
        <f>U101-U112-U121-U126-U131-U136-U141</f>
        <v>447.8</v>
      </c>
      <c r="V107" s="45">
        <f t="shared" si="170"/>
        <v>71.86647408120686</v>
      </c>
      <c r="W107" s="45">
        <f>W101-W112-W121-W126-W131-W136-W141</f>
        <v>604.5</v>
      </c>
      <c r="X107" s="45">
        <f>X101-X112-X121-X126-X131-X136-X141</f>
        <v>545</v>
      </c>
      <c r="Y107" s="45">
        <f t="shared" si="171"/>
        <v>90.157154673283699</v>
      </c>
      <c r="Z107" s="45">
        <f t="shared" ref="Z107:AA107" si="186">Z101-Z112-Z121-Z126-Z131-Z136-Z141</f>
        <v>614.30000000000007</v>
      </c>
      <c r="AA107" s="45">
        <f t="shared" si="186"/>
        <v>614.29999999999995</v>
      </c>
      <c r="AB107" s="45">
        <f t="shared" si="173"/>
        <v>99.999999999999972</v>
      </c>
      <c r="AC107" s="45">
        <f t="shared" ref="AC107:AD107" si="187">AC101-AC112-AC121-AC126-AC131-AC136-AC141</f>
        <v>438.60000000000008</v>
      </c>
      <c r="AD107" s="45">
        <f t="shared" si="187"/>
        <v>438.6</v>
      </c>
      <c r="AE107" s="45">
        <f t="shared" si="175"/>
        <v>99.999999999999986</v>
      </c>
      <c r="AF107" s="45">
        <f t="shared" ref="AF107:AG107" si="188">AF101-AF112-AF121-AF126-AF131-AF136-AF141</f>
        <v>535.4</v>
      </c>
      <c r="AG107" s="45">
        <f t="shared" si="188"/>
        <v>658.6</v>
      </c>
      <c r="AH107" s="45">
        <f t="shared" si="177"/>
        <v>123.01083302203961</v>
      </c>
      <c r="AI107" s="45">
        <f t="shared" ref="AI107:AO107" si="189">AI101-AI112-AI121-AI126-AI131-AI136-AI141</f>
        <v>453.3</v>
      </c>
      <c r="AJ107" s="45">
        <f t="shared" si="189"/>
        <v>668</v>
      </c>
      <c r="AK107" s="45">
        <f t="shared" si="179"/>
        <v>147.36377674829032</v>
      </c>
      <c r="AL107" s="45">
        <f>AL101-AL112-AL121-AL126-AL131-AL136-AL141</f>
        <v>135</v>
      </c>
      <c r="AM107" s="45">
        <f t="shared" si="189"/>
        <v>135</v>
      </c>
      <c r="AN107" s="45">
        <f t="shared" si="180"/>
        <v>100</v>
      </c>
      <c r="AO107" s="45">
        <f t="shared" si="189"/>
        <v>783.40000000000009</v>
      </c>
      <c r="AP107" s="45">
        <f>AP101-AP112-AP121-AP126-AP131-AP136-AP141</f>
        <v>803.6</v>
      </c>
      <c r="AQ107" s="45">
        <f t="shared" si="181"/>
        <v>102.57850395711003</v>
      </c>
      <c r="AR107" s="86"/>
      <c r="AS107" s="137"/>
      <c r="AT107" s="46"/>
      <c r="AU107" s="47"/>
    </row>
    <row r="108" spans="1:47" s="26" customFormat="1" ht="24">
      <c r="A108" s="145"/>
      <c r="B108" s="146"/>
      <c r="C108" s="147"/>
      <c r="D108" s="55" t="s">
        <v>93</v>
      </c>
      <c r="E108" s="44">
        <f>H108+K108+N108+Q108+T108+W108+Z108+AC108+AF108+AI108+AL108+AO108</f>
        <v>0</v>
      </c>
      <c r="F108" s="45">
        <f>I108+L108+O108+R108+U108+X108+AA108+AD108+AG108+AJ108+AM108+AP108</f>
        <v>0</v>
      </c>
      <c r="G108" s="45">
        <v>0</v>
      </c>
      <c r="H108" s="45">
        <v>0</v>
      </c>
      <c r="I108" s="45">
        <v>0</v>
      </c>
      <c r="J108" s="45">
        <v>0</v>
      </c>
      <c r="K108" s="56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50">
        <v>0</v>
      </c>
      <c r="U108" s="50">
        <v>0</v>
      </c>
      <c r="V108" s="45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45">
        <v>0</v>
      </c>
      <c r="AI108" s="45">
        <v>0</v>
      </c>
      <c r="AJ108" s="45">
        <v>0</v>
      </c>
      <c r="AK108" s="45">
        <v>0</v>
      </c>
      <c r="AL108" s="50">
        <v>0</v>
      </c>
      <c r="AM108" s="50">
        <v>0</v>
      </c>
      <c r="AN108" s="50">
        <v>0</v>
      </c>
      <c r="AO108" s="45">
        <v>0</v>
      </c>
      <c r="AP108" s="45">
        <v>0</v>
      </c>
      <c r="AQ108" s="45">
        <v>0</v>
      </c>
      <c r="AR108" s="86"/>
      <c r="AS108" s="137"/>
      <c r="AT108" s="46"/>
      <c r="AU108" s="47"/>
    </row>
    <row r="109" spans="1:47" s="26" customFormat="1" ht="12.75">
      <c r="A109" s="148" t="s">
        <v>158</v>
      </c>
      <c r="B109" s="149"/>
      <c r="C109" s="150"/>
      <c r="D109" s="55" t="s">
        <v>88</v>
      </c>
      <c r="E109" s="44">
        <f>E110+E111+E112</f>
        <v>113950.80000000002</v>
      </c>
      <c r="F109" s="45">
        <f>F110+F111+F112</f>
        <v>111599.70000000001</v>
      </c>
      <c r="G109" s="45">
        <f>F109/E109*100</f>
        <v>97.936741119851717</v>
      </c>
      <c r="H109" s="45">
        <f>H110+H111+H112</f>
        <v>1352.7</v>
      </c>
      <c r="I109" s="45">
        <f>I110+I111+I112</f>
        <v>1317.4</v>
      </c>
      <c r="J109" s="45">
        <f>I109/H109*100</f>
        <v>97.390404376432329</v>
      </c>
      <c r="K109" s="45">
        <f>K110+K111+K112</f>
        <v>9861.6</v>
      </c>
      <c r="L109" s="45">
        <f>L110+L111+L112</f>
        <v>9203.2000000000007</v>
      </c>
      <c r="M109" s="45">
        <f>L109/K109*100</f>
        <v>93.323598604688897</v>
      </c>
      <c r="N109" s="45">
        <f>N110+N111+N112</f>
        <v>10653.400000000001</v>
      </c>
      <c r="O109" s="45">
        <f>O110+O111+O112</f>
        <v>9702</v>
      </c>
      <c r="P109" s="45">
        <f>O109/N109*100</f>
        <v>91.069517712655099</v>
      </c>
      <c r="Q109" s="45">
        <f>Q110+Q111+Q112</f>
        <v>9254.9</v>
      </c>
      <c r="R109" s="45">
        <f>R110+R111+R112</f>
        <v>8254.9</v>
      </c>
      <c r="S109" s="45">
        <f>R109/Q109*100</f>
        <v>89.194912965023931</v>
      </c>
      <c r="T109" s="45">
        <f>T110+T111+T112</f>
        <v>10019.9</v>
      </c>
      <c r="U109" s="45">
        <f>U110+U111+U112</f>
        <v>9019.9</v>
      </c>
      <c r="V109" s="45">
        <f>U109/T109*100</f>
        <v>90.019860477649488</v>
      </c>
      <c r="W109" s="45">
        <f>W110+W111+W112</f>
        <v>12374.1</v>
      </c>
      <c r="X109" s="45">
        <f>X110+X111+X112</f>
        <v>11885.900000000001</v>
      </c>
      <c r="Y109" s="45">
        <f>X109/W109*100</f>
        <v>96.054662561317599</v>
      </c>
      <c r="Z109" s="45">
        <f>Z110+Z111+Z112</f>
        <v>10190.300000000001</v>
      </c>
      <c r="AA109" s="45">
        <f>AA110+AA111+AA112</f>
        <v>10066.4</v>
      </c>
      <c r="AB109" s="45">
        <f>AA109/Z109*100</f>
        <v>98.784137856589098</v>
      </c>
      <c r="AC109" s="45">
        <f>AC110+AC111+AC112</f>
        <v>8380.5</v>
      </c>
      <c r="AD109" s="45">
        <f>AD110+AD111+AD112</f>
        <v>8121.3</v>
      </c>
      <c r="AE109" s="45">
        <f>AD109/AC109*100</f>
        <v>96.907105781277963</v>
      </c>
      <c r="AF109" s="45">
        <f>AF110+AF111+AF112</f>
        <v>8974</v>
      </c>
      <c r="AG109" s="45">
        <f>AG110+AG111+AG112</f>
        <v>8920.5</v>
      </c>
      <c r="AH109" s="45">
        <f>AG109/AF109*100</f>
        <v>99.403833296188992</v>
      </c>
      <c r="AI109" s="45">
        <f>AI110+AI111+AI112</f>
        <v>5978.8</v>
      </c>
      <c r="AJ109" s="45">
        <f>AJ110+AJ111+AJ112</f>
        <v>7848.6</v>
      </c>
      <c r="AK109" s="45">
        <f>AJ109/AI109*100</f>
        <v>131.2738342142236</v>
      </c>
      <c r="AL109" s="45">
        <f>AL110+AL111+AL112</f>
        <v>8049.1</v>
      </c>
      <c r="AM109" s="45">
        <f>AM110+AM111+AM112</f>
        <v>8427.2999999999993</v>
      </c>
      <c r="AN109" s="45">
        <f>AM109/AL109*100</f>
        <v>104.69866196220694</v>
      </c>
      <c r="AO109" s="45">
        <f>AO110+AO111+AO112</f>
        <v>18861.5</v>
      </c>
      <c r="AP109" s="45">
        <f>AP110+AP111+AP112</f>
        <v>18832.3</v>
      </c>
      <c r="AQ109" s="45">
        <f>AP109/AO109*100</f>
        <v>99.845187286270971</v>
      </c>
      <c r="AR109" s="86"/>
      <c r="AS109" s="137"/>
      <c r="AT109" s="46"/>
      <c r="AU109" s="47"/>
    </row>
    <row r="110" spans="1:47" s="26" customFormat="1" ht="48">
      <c r="A110" s="151"/>
      <c r="B110" s="152"/>
      <c r="C110" s="153"/>
      <c r="D110" s="48" t="s">
        <v>89</v>
      </c>
      <c r="E110" s="44">
        <f>H110+K110+N110+Q110+T110+W110+Z110+AC110+AF110+AI110+AL110+AO110</f>
        <v>2681.9</v>
      </c>
      <c r="F110" s="45">
        <f>I110+L110+O110+R110+U110+X110+AA110+AD110+AG110+AJ110+AM110+AP110</f>
        <v>2671</v>
      </c>
      <c r="G110" s="45">
        <f>F110/E110*100</f>
        <v>99.593571721540698</v>
      </c>
      <c r="H110" s="45">
        <v>0</v>
      </c>
      <c r="I110" s="45">
        <f>I24</f>
        <v>0</v>
      </c>
      <c r="J110" s="45">
        <v>0</v>
      </c>
      <c r="K110" s="45">
        <v>72.099999999999994</v>
      </c>
      <c r="L110" s="45">
        <v>72.099999999999994</v>
      </c>
      <c r="M110" s="45">
        <f>L110/K110*100</f>
        <v>100</v>
      </c>
      <c r="N110" s="45">
        <v>154</v>
      </c>
      <c r="O110" s="45">
        <v>117.6</v>
      </c>
      <c r="P110" s="45">
        <f>O110/N110*100</f>
        <v>76.36363636363636</v>
      </c>
      <c r="Q110" s="45">
        <v>146.4</v>
      </c>
      <c r="R110" s="45">
        <v>146.4</v>
      </c>
      <c r="S110" s="45">
        <f>R110/Q110*100</f>
        <v>100</v>
      </c>
      <c r="T110" s="45">
        <v>356.9</v>
      </c>
      <c r="U110" s="45">
        <v>356.9</v>
      </c>
      <c r="V110" s="45">
        <f>U110/T110*100</f>
        <v>100</v>
      </c>
      <c r="W110" s="45">
        <v>202.7</v>
      </c>
      <c r="X110" s="45">
        <v>216.7</v>
      </c>
      <c r="Y110" s="45">
        <f>X110/W110*100</f>
        <v>106.90675875678342</v>
      </c>
      <c r="Z110" s="45">
        <f>295.2+60</f>
        <v>355.2</v>
      </c>
      <c r="AA110" s="45">
        <v>352.6</v>
      </c>
      <c r="AB110" s="45">
        <f t="shared" ref="AB110:AB111" si="190">AA110/Z110*100</f>
        <v>99.268018018018026</v>
      </c>
      <c r="AC110" s="45">
        <v>295.39999999999998</v>
      </c>
      <c r="AD110" s="45">
        <v>168.6</v>
      </c>
      <c r="AE110" s="45">
        <f t="shared" ref="AE110:AE111" si="191">AD110/AC110*100</f>
        <v>57.075152335815851</v>
      </c>
      <c r="AF110" s="45">
        <v>295.39999999999998</v>
      </c>
      <c r="AG110" s="45">
        <v>282.7</v>
      </c>
      <c r="AH110" s="45">
        <f t="shared" ref="AH110:AH111" si="192">AG110/AF110*100</f>
        <v>95.700744752877455</v>
      </c>
      <c r="AI110" s="45">
        <v>300.3</v>
      </c>
      <c r="AJ110" s="45">
        <v>300.5</v>
      </c>
      <c r="AK110" s="45">
        <f t="shared" ref="AK110:AK111" si="193">AJ110/AI110*100</f>
        <v>100.06660006660006</v>
      </c>
      <c r="AL110" s="45">
        <f>415.9-48.5-147.1</f>
        <v>220.29999999999998</v>
      </c>
      <c r="AM110" s="45">
        <v>220.3</v>
      </c>
      <c r="AN110" s="45">
        <f t="shared" ref="AN110:AN111" si="194">AM110/AL110*100</f>
        <v>100.00000000000003</v>
      </c>
      <c r="AO110" s="45">
        <f>136.1+147.1</f>
        <v>283.2</v>
      </c>
      <c r="AP110" s="45">
        <v>436.6</v>
      </c>
      <c r="AQ110" s="45">
        <f t="shared" ref="AQ110:AQ111" si="195">AP110/AO110*100</f>
        <v>154.16666666666669</v>
      </c>
      <c r="AR110" s="86"/>
      <c r="AS110" s="137"/>
      <c r="AT110" s="46"/>
      <c r="AU110" s="47"/>
    </row>
    <row r="111" spans="1:47" s="26" customFormat="1" ht="12.75">
      <c r="A111" s="151"/>
      <c r="B111" s="152"/>
      <c r="C111" s="153"/>
      <c r="D111" s="48" t="s">
        <v>90</v>
      </c>
      <c r="E111" s="44">
        <f>H111+K111+N111+Q111+T111+W111+Z111+AC111+AF111+AI111+AL111+AO111</f>
        <v>111268.90000000002</v>
      </c>
      <c r="F111" s="45">
        <f t="shared" ref="E111:F112" si="196">I111+L111+O111+R111+U111+X111+AA111+AD111+AG111+AJ111+AM111+AP111</f>
        <v>108928.70000000001</v>
      </c>
      <c r="G111" s="45">
        <f>F111/E111*100</f>
        <v>97.896806744741781</v>
      </c>
      <c r="H111" s="45">
        <f>1752.7-400</f>
        <v>1352.7</v>
      </c>
      <c r="I111" s="45">
        <v>1317.4</v>
      </c>
      <c r="J111" s="45">
        <f t="shared" ref="J111" si="197">I111/H111*100</f>
        <v>97.390404376432329</v>
      </c>
      <c r="K111" s="45">
        <f>7931.5+1858</f>
        <v>9789.5</v>
      </c>
      <c r="L111" s="45">
        <v>9131.1</v>
      </c>
      <c r="M111" s="45">
        <f t="shared" ref="M111" si="198">L111/K111*100</f>
        <v>93.27442668164872</v>
      </c>
      <c r="N111" s="45">
        <f>10144.7+400-32.9-12.4</f>
        <v>10499.400000000001</v>
      </c>
      <c r="O111" s="45">
        <v>9584.4</v>
      </c>
      <c r="P111" s="45">
        <f t="shared" ref="P111" si="199">O111/N111*100</f>
        <v>91.285216298074161</v>
      </c>
      <c r="Q111" s="45">
        <v>9108.5</v>
      </c>
      <c r="R111" s="45">
        <v>8108.5</v>
      </c>
      <c r="S111" s="45">
        <f t="shared" ref="S111" si="200">R111/Q111*100</f>
        <v>89.021243893066909</v>
      </c>
      <c r="T111" s="45">
        <v>9663</v>
      </c>
      <c r="U111" s="45">
        <v>8663</v>
      </c>
      <c r="V111" s="45">
        <f t="shared" ref="V111" si="201">U111/T111*100</f>
        <v>89.651247024733522</v>
      </c>
      <c r="W111" s="45">
        <f>12166.3+5.1</f>
        <v>12171.4</v>
      </c>
      <c r="X111" s="45">
        <v>11669.2</v>
      </c>
      <c r="Y111" s="45">
        <f t="shared" ref="Y111" si="202">X111/W111*100</f>
        <v>95.87393397637085</v>
      </c>
      <c r="Z111" s="45">
        <f>11335.1-1500</f>
        <v>9835.1</v>
      </c>
      <c r="AA111" s="45">
        <v>9713.7999999999993</v>
      </c>
      <c r="AB111" s="45">
        <f t="shared" si="190"/>
        <v>98.766662260678586</v>
      </c>
      <c r="AC111" s="45">
        <f>7455.2+811.1-50-131.2</f>
        <v>8085.0999999999995</v>
      </c>
      <c r="AD111" s="45">
        <v>7952.7</v>
      </c>
      <c r="AE111" s="45">
        <f t="shared" si="191"/>
        <v>98.362419759805078</v>
      </c>
      <c r="AF111" s="45">
        <f>7528.6+1150</f>
        <v>8678.6</v>
      </c>
      <c r="AG111" s="45">
        <v>8637.7999999999993</v>
      </c>
      <c r="AH111" s="45">
        <f t="shared" si="192"/>
        <v>99.529878090936322</v>
      </c>
      <c r="AI111" s="45">
        <f>5488.5+189.1+0.9</f>
        <v>5678.5</v>
      </c>
      <c r="AJ111" s="45">
        <v>7548.1</v>
      </c>
      <c r="AK111" s="45">
        <f t="shared" si="193"/>
        <v>132.92418772563178</v>
      </c>
      <c r="AL111" s="45">
        <v>7828.8</v>
      </c>
      <c r="AM111" s="45">
        <v>8207</v>
      </c>
      <c r="AN111" s="45">
        <f t="shared" si="194"/>
        <v>104.83088085019415</v>
      </c>
      <c r="AO111" s="45">
        <f>12838.8+5739.5</f>
        <v>18578.3</v>
      </c>
      <c r="AP111" s="45">
        <v>18395.7</v>
      </c>
      <c r="AQ111" s="45">
        <f t="shared" si="195"/>
        <v>99.017132891599346</v>
      </c>
      <c r="AR111" s="86"/>
      <c r="AS111" s="137"/>
      <c r="AT111" s="46"/>
      <c r="AU111" s="47"/>
    </row>
    <row r="112" spans="1:47" s="26" customFormat="1" ht="24">
      <c r="A112" s="151"/>
      <c r="B112" s="152"/>
      <c r="C112" s="153"/>
      <c r="D112" s="55" t="s">
        <v>92</v>
      </c>
      <c r="E112" s="44">
        <f t="shared" si="196"/>
        <v>0</v>
      </c>
      <c r="F112" s="45">
        <f t="shared" si="196"/>
        <v>0</v>
      </c>
      <c r="G112" s="45">
        <v>0</v>
      </c>
      <c r="H112" s="45">
        <f t="shared" ref="H112:I112" si="203">H26</f>
        <v>0</v>
      </c>
      <c r="I112" s="45">
        <f t="shared" si="203"/>
        <v>0</v>
      </c>
      <c r="J112" s="45">
        <v>0</v>
      </c>
      <c r="K112" s="45">
        <f t="shared" ref="K112:L112" si="204">K26</f>
        <v>0</v>
      </c>
      <c r="L112" s="45">
        <f t="shared" si="204"/>
        <v>0</v>
      </c>
      <c r="M112" s="45">
        <v>0</v>
      </c>
      <c r="N112" s="45">
        <f t="shared" ref="N112:O112" si="205">N26</f>
        <v>0</v>
      </c>
      <c r="O112" s="45">
        <f t="shared" si="205"/>
        <v>0</v>
      </c>
      <c r="P112" s="45">
        <v>0</v>
      </c>
      <c r="Q112" s="45">
        <f t="shared" ref="Q112:R112" si="206">Q26</f>
        <v>0</v>
      </c>
      <c r="R112" s="45">
        <f t="shared" si="206"/>
        <v>0</v>
      </c>
      <c r="S112" s="45">
        <v>0</v>
      </c>
      <c r="T112" s="45">
        <f t="shared" ref="T112:U112" si="207">T26</f>
        <v>0</v>
      </c>
      <c r="U112" s="45">
        <f t="shared" si="207"/>
        <v>0</v>
      </c>
      <c r="V112" s="45">
        <v>0</v>
      </c>
      <c r="W112" s="45">
        <f t="shared" ref="W112:X112" si="208">W26</f>
        <v>0</v>
      </c>
      <c r="X112" s="45">
        <f t="shared" si="208"/>
        <v>0</v>
      </c>
      <c r="Y112" s="45">
        <v>0</v>
      </c>
      <c r="Z112" s="45">
        <f t="shared" ref="Z112:AA112" si="209">Z26</f>
        <v>0</v>
      </c>
      <c r="AA112" s="45">
        <f t="shared" si="209"/>
        <v>0</v>
      </c>
      <c r="AB112" s="45">
        <v>0</v>
      </c>
      <c r="AC112" s="45">
        <f t="shared" ref="AC112:AD112" si="210">AC26</f>
        <v>0</v>
      </c>
      <c r="AD112" s="45">
        <f t="shared" si="210"/>
        <v>0</v>
      </c>
      <c r="AE112" s="45">
        <v>0</v>
      </c>
      <c r="AF112" s="45">
        <f t="shared" ref="AF112:AG112" si="211">AF26</f>
        <v>0</v>
      </c>
      <c r="AG112" s="45">
        <f t="shared" si="211"/>
        <v>0</v>
      </c>
      <c r="AH112" s="45">
        <v>0</v>
      </c>
      <c r="AI112" s="45">
        <f t="shared" ref="AI112:AJ112" si="212">AI26</f>
        <v>0</v>
      </c>
      <c r="AJ112" s="45">
        <f t="shared" si="212"/>
        <v>0</v>
      </c>
      <c r="AK112" s="45">
        <v>0</v>
      </c>
      <c r="AL112" s="45">
        <f t="shared" ref="AL112:AM112" si="213">AL26</f>
        <v>0</v>
      </c>
      <c r="AM112" s="45">
        <f t="shared" si="213"/>
        <v>0</v>
      </c>
      <c r="AN112" s="45">
        <v>0</v>
      </c>
      <c r="AO112" s="45">
        <f t="shared" ref="AO112:AP112" si="214">AO26</f>
        <v>0</v>
      </c>
      <c r="AP112" s="45">
        <f t="shared" si="214"/>
        <v>0</v>
      </c>
      <c r="AQ112" s="45">
        <v>0</v>
      </c>
      <c r="AR112" s="86"/>
      <c r="AS112" s="137"/>
      <c r="AT112" s="46"/>
      <c r="AU112" s="47"/>
    </row>
    <row r="113" spans="1:47" s="26" customFormat="1" ht="24">
      <c r="A113" s="154"/>
      <c r="B113" s="155"/>
      <c r="C113" s="156"/>
      <c r="D113" s="55" t="s">
        <v>93</v>
      </c>
      <c r="E113" s="44">
        <f>H113+K113+N113+Q113+T113+W113+Z113+AC113+AF113+AI113+AL113+AO113</f>
        <v>0</v>
      </c>
      <c r="F113" s="45">
        <f>I113+L113+O113+R113+U113+X113+AA113+AD113+AG113+AJ113+AM113+AP113</f>
        <v>0</v>
      </c>
      <c r="G113" s="45">
        <v>0</v>
      </c>
      <c r="H113" s="45">
        <v>0</v>
      </c>
      <c r="I113" s="45">
        <v>0</v>
      </c>
      <c r="J113" s="45">
        <v>0</v>
      </c>
      <c r="K113" s="56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50">
        <v>0</v>
      </c>
      <c r="U113" s="50">
        <v>0</v>
      </c>
      <c r="V113" s="45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45">
        <v>0</v>
      </c>
      <c r="AI113" s="45">
        <v>0</v>
      </c>
      <c r="AJ113" s="45">
        <v>0</v>
      </c>
      <c r="AK113" s="45">
        <v>0</v>
      </c>
      <c r="AL113" s="50">
        <v>0</v>
      </c>
      <c r="AM113" s="50">
        <v>0</v>
      </c>
      <c r="AN113" s="45">
        <v>0</v>
      </c>
      <c r="AO113" s="45">
        <v>0</v>
      </c>
      <c r="AP113" s="45">
        <v>0</v>
      </c>
      <c r="AQ113" s="45">
        <v>0</v>
      </c>
      <c r="AR113" s="86"/>
      <c r="AS113" s="137"/>
      <c r="AT113" s="46"/>
      <c r="AU113" s="47"/>
    </row>
    <row r="114" spans="1:47" s="26" customFormat="1" ht="12.75">
      <c r="A114" s="148" t="s">
        <v>159</v>
      </c>
      <c r="B114" s="149"/>
      <c r="C114" s="150"/>
      <c r="D114" s="55" t="s">
        <v>88</v>
      </c>
      <c r="E114" s="44">
        <f>E115+E116</f>
        <v>13816.2</v>
      </c>
      <c r="F114" s="45">
        <f>F115+F116</f>
        <v>11049.6</v>
      </c>
      <c r="G114" s="45">
        <f>F114/E114*100</f>
        <v>79.975680722629946</v>
      </c>
      <c r="H114" s="45">
        <f>H115+H116</f>
        <v>94.5</v>
      </c>
      <c r="I114" s="45">
        <f>I115+I116</f>
        <v>94.5</v>
      </c>
      <c r="J114" s="45">
        <f t="shared" ref="J114" si="215">I114/H114*100</f>
        <v>100</v>
      </c>
      <c r="K114" s="45">
        <f>K115+K116</f>
        <v>168.70000000000002</v>
      </c>
      <c r="L114" s="45">
        <f>L115+L116</f>
        <v>149.6</v>
      </c>
      <c r="M114" s="45">
        <f>L114/K114*100</f>
        <v>88.678126852400695</v>
      </c>
      <c r="N114" s="45">
        <f>N115+N116</f>
        <v>555.9</v>
      </c>
      <c r="O114" s="45">
        <f>O115+O116</f>
        <v>506.99999999999994</v>
      </c>
      <c r="P114" s="45">
        <f>O114/N114*100</f>
        <v>91.203453858607659</v>
      </c>
      <c r="Q114" s="45">
        <f>Q115+Q116</f>
        <v>1903</v>
      </c>
      <c r="R114" s="45">
        <f>R115+R116</f>
        <v>587.59999999999991</v>
      </c>
      <c r="S114" s="45">
        <f>R114/Q114*100</f>
        <v>30.877561744613764</v>
      </c>
      <c r="T114" s="45">
        <f>T115+T116</f>
        <v>2383.2000000000003</v>
      </c>
      <c r="U114" s="45">
        <f>U115+U116</f>
        <v>2210.7999999999997</v>
      </c>
      <c r="V114" s="45">
        <f>U114/T114*100</f>
        <v>92.766028868747881</v>
      </c>
      <c r="W114" s="45">
        <f>W115+W116</f>
        <v>2872.3000000000006</v>
      </c>
      <c r="X114" s="45">
        <f>X115+X116</f>
        <v>1486.3</v>
      </c>
      <c r="Y114" s="45">
        <f>X114/W114*100</f>
        <v>51.745987536120865</v>
      </c>
      <c r="Z114" s="45">
        <f>Z115+Z116</f>
        <v>1285.3</v>
      </c>
      <c r="AA114" s="45">
        <f t="shared" ref="AA114:AO114" si="216">AA115+AA116</f>
        <v>1982.2</v>
      </c>
      <c r="AB114" s="45">
        <f>AA114/Z114*100</f>
        <v>154.22080448144405</v>
      </c>
      <c r="AC114" s="45">
        <f t="shared" si="216"/>
        <v>361.29999999999995</v>
      </c>
      <c r="AD114" s="45">
        <f t="shared" si="216"/>
        <v>270.10000000000002</v>
      </c>
      <c r="AE114" s="45">
        <f>AD114/AC114*100</f>
        <v>74.757818986991424</v>
      </c>
      <c r="AF114" s="45">
        <f t="shared" si="216"/>
        <v>509.5999999999998</v>
      </c>
      <c r="AG114" s="45">
        <f t="shared" si="216"/>
        <v>1066.3</v>
      </c>
      <c r="AH114" s="45">
        <f>AG114/AF114*100</f>
        <v>209.24254317111468</v>
      </c>
      <c r="AI114" s="45">
        <f t="shared" si="216"/>
        <v>700.69999999999993</v>
      </c>
      <c r="AJ114" s="45">
        <f t="shared" si="216"/>
        <v>504</v>
      </c>
      <c r="AK114" s="45">
        <f>AJ114/AI114*100</f>
        <v>71.92807192807193</v>
      </c>
      <c r="AL114" s="45">
        <f t="shared" si="216"/>
        <v>1299.7</v>
      </c>
      <c r="AM114" s="45">
        <f t="shared" si="216"/>
        <v>1025.5</v>
      </c>
      <c r="AN114" s="45">
        <f>AM114/AL114*100</f>
        <v>78.902823728552747</v>
      </c>
      <c r="AO114" s="45">
        <f t="shared" si="216"/>
        <v>1682.0000000000002</v>
      </c>
      <c r="AP114" s="45">
        <f>AP115+AP116</f>
        <v>1165.7</v>
      </c>
      <c r="AQ114" s="45">
        <f>AP114/AO114*100</f>
        <v>69.304399524375739</v>
      </c>
      <c r="AR114" s="86"/>
      <c r="AS114" s="137"/>
      <c r="AT114" s="46"/>
      <c r="AU114" s="47"/>
    </row>
    <row r="115" spans="1:47" s="26" customFormat="1" ht="48">
      <c r="A115" s="151"/>
      <c r="B115" s="152"/>
      <c r="C115" s="153"/>
      <c r="D115" s="48" t="s">
        <v>89</v>
      </c>
      <c r="E115" s="44">
        <f>H115+K115+N115+Q115+T115+W115+Z115+AC115+AF115+AI115+AL115+AO115</f>
        <v>0</v>
      </c>
      <c r="F115" s="45">
        <f>I115+L115+O115+R115+U115+X115+AA115+AD115+AG115+AJ115+AM115+AP115</f>
        <v>0</v>
      </c>
      <c r="G115" s="45">
        <v>0</v>
      </c>
      <c r="H115" s="45">
        <v>0</v>
      </c>
      <c r="I115" s="45">
        <f>I39+I57+I68</f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86"/>
      <c r="AS115" s="137"/>
      <c r="AT115" s="46"/>
      <c r="AU115" s="47"/>
    </row>
    <row r="116" spans="1:47" s="26" customFormat="1" ht="12.75">
      <c r="A116" s="151"/>
      <c r="B116" s="152"/>
      <c r="C116" s="153"/>
      <c r="D116" s="48" t="s">
        <v>90</v>
      </c>
      <c r="E116" s="44">
        <f t="shared" ref="E116" si="217">H116+K116+N116+Q116+T116+W116+Z116+AC116+AF116+AI116+AL116+AO116</f>
        <v>13816.2</v>
      </c>
      <c r="F116" s="45">
        <f>I116+L116+O116+R116+U116+X116+AA116+AD116+AG116+AJ116+AM116+AP116</f>
        <v>11049.6</v>
      </c>
      <c r="G116" s="45">
        <f>F116/E116*100</f>
        <v>79.975680722629946</v>
      </c>
      <c r="H116" s="45">
        <f>H69+H40-H135</f>
        <v>94.5</v>
      </c>
      <c r="I116" s="45">
        <f>I69+I40-I135</f>
        <v>94.5</v>
      </c>
      <c r="J116" s="45">
        <f t="shared" ref="J116" si="218">I116/H116*100</f>
        <v>100</v>
      </c>
      <c r="K116" s="45">
        <f>K69+K40-K135</f>
        <v>168.70000000000002</v>
      </c>
      <c r="L116" s="45">
        <f>L69+L40-L135</f>
        <v>149.6</v>
      </c>
      <c r="M116" s="45">
        <f t="shared" ref="M116" si="219">L116/K116*100</f>
        <v>88.678126852400695</v>
      </c>
      <c r="N116" s="45">
        <f>N69+N40-N135</f>
        <v>555.9</v>
      </c>
      <c r="O116" s="45">
        <f>O69+O40-O135</f>
        <v>506.99999999999994</v>
      </c>
      <c r="P116" s="45">
        <f t="shared" ref="P116" si="220">O116/N116*100</f>
        <v>91.203453858607659</v>
      </c>
      <c r="Q116" s="45">
        <f>Q69+Q40-Q135</f>
        <v>1903</v>
      </c>
      <c r="R116" s="45">
        <f>R69+R40-R135</f>
        <v>587.59999999999991</v>
      </c>
      <c r="S116" s="45">
        <f t="shared" ref="S116" si="221">R116/Q116*100</f>
        <v>30.877561744613764</v>
      </c>
      <c r="T116" s="45">
        <f>T69+T40-T135</f>
        <v>2383.2000000000003</v>
      </c>
      <c r="U116" s="45">
        <f>U69+U40-U135</f>
        <v>2210.7999999999997</v>
      </c>
      <c r="V116" s="45">
        <f t="shared" ref="V116" si="222">U116/T116*100</f>
        <v>92.766028868747881</v>
      </c>
      <c r="W116" s="45">
        <f>W69+W40-W135</f>
        <v>2872.3000000000006</v>
      </c>
      <c r="X116" s="45">
        <f>X69+X40-X135</f>
        <v>1486.3</v>
      </c>
      <c r="Y116" s="45">
        <f t="shared" ref="Y116" si="223">X116/W116*100</f>
        <v>51.745987536120865</v>
      </c>
      <c r="Z116" s="45">
        <f>Z69+Z40-Z135</f>
        <v>1285.3</v>
      </c>
      <c r="AA116" s="45">
        <f>AA69+AA40-AA135</f>
        <v>1982.2</v>
      </c>
      <c r="AB116" s="45">
        <f t="shared" ref="AB116" si="224">AA116/Z116*100</f>
        <v>154.22080448144405</v>
      </c>
      <c r="AC116" s="45">
        <f>AC69+AC40-AC135</f>
        <v>361.29999999999995</v>
      </c>
      <c r="AD116" s="45">
        <v>270.10000000000002</v>
      </c>
      <c r="AE116" s="45">
        <f t="shared" ref="AE116" si="225">AD116/AC116*100</f>
        <v>74.757818986991424</v>
      </c>
      <c r="AF116" s="45">
        <f>AF69+AF40-AF135</f>
        <v>509.5999999999998</v>
      </c>
      <c r="AG116" s="45">
        <v>1066.3</v>
      </c>
      <c r="AH116" s="45">
        <f t="shared" ref="AH116" si="226">AG116/AF116*100</f>
        <v>209.24254317111468</v>
      </c>
      <c r="AI116" s="45">
        <f>AI69+AI40-AI135-1000+442.4</f>
        <v>700.69999999999993</v>
      </c>
      <c r="AJ116" s="45">
        <v>504</v>
      </c>
      <c r="AK116" s="45">
        <f t="shared" ref="AK116" si="227">AJ116/AI116*100</f>
        <v>71.92807192807193</v>
      </c>
      <c r="AL116" s="45">
        <f>AL69+AL40-AL135-1066.2</f>
        <v>1299.7</v>
      </c>
      <c r="AM116" s="45">
        <v>1025.5</v>
      </c>
      <c r="AN116" s="45">
        <f t="shared" ref="AN116" si="228">AM116/AL116*100</f>
        <v>78.902823728552747</v>
      </c>
      <c r="AO116" s="45">
        <f>AO69+AO40-AO135+245.8</f>
        <v>1682.0000000000002</v>
      </c>
      <c r="AP116" s="45">
        <v>1165.7</v>
      </c>
      <c r="AQ116" s="45">
        <f t="shared" ref="AQ116" si="229">AP116/AO116*100</f>
        <v>69.304399524375739</v>
      </c>
      <c r="AR116" s="86"/>
      <c r="AS116" s="137"/>
      <c r="AT116" s="46"/>
      <c r="AU116" s="47"/>
    </row>
    <row r="117" spans="1:47" s="26" customFormat="1" ht="24">
      <c r="A117" s="154"/>
      <c r="B117" s="155"/>
      <c r="C117" s="156"/>
      <c r="D117" s="55" t="s">
        <v>93</v>
      </c>
      <c r="E117" s="44">
        <f>H117+K117+N117+Q117+T117+W117+Z117+AC117+AF117+AI117+AL117+AO117</f>
        <v>0</v>
      </c>
      <c r="F117" s="45">
        <f>I117+L117+O117+R117+U117+X117+AA117+AD117+AG117+AJ117+AM117+AP117</f>
        <v>0</v>
      </c>
      <c r="G117" s="45">
        <v>0</v>
      </c>
      <c r="H117" s="45">
        <v>0</v>
      </c>
      <c r="I117" s="45">
        <v>0</v>
      </c>
      <c r="J117" s="45">
        <v>0</v>
      </c>
      <c r="K117" s="56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50">
        <v>0</v>
      </c>
      <c r="U117" s="50">
        <v>0</v>
      </c>
      <c r="V117" s="45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  <c r="AI117" s="45">
        <v>0</v>
      </c>
      <c r="AJ117" s="45">
        <v>0</v>
      </c>
      <c r="AK117" s="50">
        <v>0</v>
      </c>
      <c r="AL117" s="45">
        <v>0</v>
      </c>
      <c r="AM117" s="45">
        <v>0</v>
      </c>
      <c r="AN117" s="50">
        <v>0</v>
      </c>
      <c r="AO117" s="45">
        <v>0</v>
      </c>
      <c r="AP117" s="45">
        <v>0</v>
      </c>
      <c r="AQ117" s="50">
        <v>0</v>
      </c>
      <c r="AR117" s="86"/>
      <c r="AS117" s="137"/>
      <c r="AT117" s="46"/>
      <c r="AU117" s="47"/>
    </row>
    <row r="118" spans="1:47" s="26" customFormat="1" ht="12.75">
      <c r="A118" s="148" t="s">
        <v>160</v>
      </c>
      <c r="B118" s="149"/>
      <c r="C118" s="150"/>
      <c r="D118" s="55" t="s">
        <v>88</v>
      </c>
      <c r="E118" s="44">
        <f>E119+E120+E121</f>
        <v>2941.2999999999997</v>
      </c>
      <c r="F118" s="45">
        <f>F119+F120+F121</f>
        <v>2941.2</v>
      </c>
      <c r="G118" s="45">
        <f>F118/E118*100</f>
        <v>99.996600142793994</v>
      </c>
      <c r="H118" s="45">
        <f t="shared" ref="H118:I118" si="230">H119+H120+H121</f>
        <v>0</v>
      </c>
      <c r="I118" s="45">
        <f t="shared" si="230"/>
        <v>0</v>
      </c>
      <c r="J118" s="45">
        <v>0</v>
      </c>
      <c r="K118" s="45">
        <f t="shared" ref="K118:L118" si="231">K119+K120+K121</f>
        <v>0</v>
      </c>
      <c r="L118" s="45">
        <f t="shared" si="231"/>
        <v>0</v>
      </c>
      <c r="M118" s="45">
        <v>0</v>
      </c>
      <c r="N118" s="45">
        <f t="shared" ref="N118:O118" si="232">N119+N120+N121</f>
        <v>0</v>
      </c>
      <c r="O118" s="45">
        <f t="shared" si="232"/>
        <v>0</v>
      </c>
      <c r="P118" s="45">
        <v>0</v>
      </c>
      <c r="Q118" s="45">
        <f t="shared" ref="Q118:R118" si="233">Q119+Q120+Q121</f>
        <v>302</v>
      </c>
      <c r="R118" s="45">
        <f t="shared" si="233"/>
        <v>49.1</v>
      </c>
      <c r="S118" s="45">
        <f t="shared" ref="S118:S119" si="234">R118/Q118*100</f>
        <v>16.258278145695364</v>
      </c>
      <c r="T118" s="45">
        <f t="shared" ref="T118:U118" si="235">T119+T120+T121</f>
        <v>327</v>
      </c>
      <c r="U118" s="45">
        <f t="shared" si="235"/>
        <v>237.5</v>
      </c>
      <c r="V118" s="45">
        <f>U118/T118*100</f>
        <v>72.629969418960243</v>
      </c>
      <c r="W118" s="45">
        <f t="shared" ref="W118:X118" si="236">W119+W120+W121</f>
        <v>478.3</v>
      </c>
      <c r="X118" s="45">
        <f t="shared" si="236"/>
        <v>455</v>
      </c>
      <c r="Y118" s="45">
        <f>X118/W118*100</f>
        <v>95.128580388877268</v>
      </c>
      <c r="Z118" s="45">
        <f t="shared" ref="Z118:AA118" si="237">Z119+Z120+Z121</f>
        <v>490.7</v>
      </c>
      <c r="AA118" s="45">
        <f t="shared" si="237"/>
        <v>565.1</v>
      </c>
      <c r="AB118" s="45">
        <f>AA118/Z118*100</f>
        <v>115.16201345017323</v>
      </c>
      <c r="AC118" s="45">
        <f t="shared" ref="AC118:AD118" si="238">AC119+AC120+AC121</f>
        <v>505.5</v>
      </c>
      <c r="AD118" s="45">
        <f t="shared" si="238"/>
        <v>505.5</v>
      </c>
      <c r="AE118" s="45">
        <f>AD118/AC118*100</f>
        <v>100</v>
      </c>
      <c r="AF118" s="45">
        <f t="shared" ref="AF118:AG118" si="239">AF119+AF120+AF121</f>
        <v>375.2</v>
      </c>
      <c r="AG118" s="45">
        <f t="shared" si="239"/>
        <v>371.8</v>
      </c>
      <c r="AH118" s="45">
        <f>AG118/AF118*100</f>
        <v>99.093816631130068</v>
      </c>
      <c r="AI118" s="45">
        <f t="shared" ref="AI118:AJ118" si="240">AI119+AI120+AI121</f>
        <v>100</v>
      </c>
      <c r="AJ118" s="45">
        <f t="shared" si="240"/>
        <v>271.60000000000002</v>
      </c>
      <c r="AK118" s="45">
        <v>100</v>
      </c>
      <c r="AL118" s="45">
        <f t="shared" ref="AL118:AM118" si="241">AL119+AL120+AL121</f>
        <v>335.2</v>
      </c>
      <c r="AM118" s="45">
        <f t="shared" si="241"/>
        <v>435.2</v>
      </c>
      <c r="AN118" s="45">
        <v>100</v>
      </c>
      <c r="AO118" s="45">
        <f t="shared" ref="AO118:AP118" si="242">AO119+AO120+AO121</f>
        <v>27.4</v>
      </c>
      <c r="AP118" s="45">
        <f t="shared" si="242"/>
        <v>50.4</v>
      </c>
      <c r="AQ118" s="45">
        <f>AP118/AO118*100</f>
        <v>183.94160583941607</v>
      </c>
      <c r="AR118" s="86"/>
      <c r="AS118" s="137"/>
      <c r="AT118" s="46"/>
      <c r="AU118" s="47"/>
    </row>
    <row r="119" spans="1:47" s="26" customFormat="1" ht="48">
      <c r="A119" s="151"/>
      <c r="B119" s="152"/>
      <c r="C119" s="153"/>
      <c r="D119" s="48" t="s">
        <v>89</v>
      </c>
      <c r="E119" s="44">
        <f>H119+K119+N119+Q119+T119+W119+Z119+AC119+AF119+AI119+AL119+AO119</f>
        <v>2941.2999999999997</v>
      </c>
      <c r="F119" s="45">
        <f>I119+L119+O119+R119+U119+X119+AA119+AD119+AG119+AJ119+AM119+AP119</f>
        <v>2941.2</v>
      </c>
      <c r="G119" s="45">
        <f>F119/E119*100</f>
        <v>99.996600142793994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f>327+145.8-20.8-150</f>
        <v>302</v>
      </c>
      <c r="R119" s="45">
        <v>49.1</v>
      </c>
      <c r="S119" s="45">
        <f t="shared" si="234"/>
        <v>16.258278145695364</v>
      </c>
      <c r="T119" s="45">
        <v>327</v>
      </c>
      <c r="U119" s="45">
        <v>237.5</v>
      </c>
      <c r="V119" s="45">
        <f>U119/T119*100</f>
        <v>72.629969418960243</v>
      </c>
      <c r="W119" s="45">
        <f>328.3+150</f>
        <v>478.3</v>
      </c>
      <c r="X119" s="45">
        <v>455</v>
      </c>
      <c r="Y119" s="45">
        <f>X119/W119*100</f>
        <v>95.128580388877268</v>
      </c>
      <c r="Z119" s="45">
        <f>450.2+25+15.5</f>
        <v>490.7</v>
      </c>
      <c r="AA119" s="45">
        <v>565.1</v>
      </c>
      <c r="AB119" s="45">
        <f>AA119/Z119*100</f>
        <v>115.16201345017323</v>
      </c>
      <c r="AC119" s="45">
        <f>450.2+20.8+50-15.5</f>
        <v>505.5</v>
      </c>
      <c r="AD119" s="45">
        <v>505.5</v>
      </c>
      <c r="AE119" s="45">
        <f>AD119/AC119*100</f>
        <v>100</v>
      </c>
      <c r="AF119" s="45">
        <f>400.2-25</f>
        <v>375.2</v>
      </c>
      <c r="AG119" s="45">
        <v>371.8</v>
      </c>
      <c r="AH119" s="45">
        <f>AG119/AF119*100</f>
        <v>99.093816631130068</v>
      </c>
      <c r="AI119" s="45">
        <v>100</v>
      </c>
      <c r="AJ119" s="45">
        <v>271.60000000000002</v>
      </c>
      <c r="AK119" s="45">
        <v>100</v>
      </c>
      <c r="AL119" s="45">
        <v>335.2</v>
      </c>
      <c r="AM119" s="45">
        <v>435.2</v>
      </c>
      <c r="AN119" s="45">
        <v>100</v>
      </c>
      <c r="AO119" s="45">
        <f>50.4-23</f>
        <v>27.4</v>
      </c>
      <c r="AP119" s="45">
        <v>50.4</v>
      </c>
      <c r="AQ119" s="45">
        <f>AP119/AO119*100</f>
        <v>183.94160583941607</v>
      </c>
      <c r="AR119" s="86"/>
      <c r="AS119" s="137"/>
      <c r="AT119" s="46"/>
      <c r="AU119" s="47"/>
    </row>
    <row r="120" spans="1:47" s="26" customFormat="1" ht="12.75">
      <c r="A120" s="151"/>
      <c r="B120" s="152"/>
      <c r="C120" s="153"/>
      <c r="D120" s="48" t="s">
        <v>90</v>
      </c>
      <c r="E120" s="44">
        <f t="shared" ref="E120:F121" si="243">H120+K120+N120+Q120+T120+W120+Z120+AC120+AF120+AI120+AL120+AO120</f>
        <v>0</v>
      </c>
      <c r="F120" s="45">
        <f>I120+L120+O120+R120+U120+X120+AA120+AD120+AG120+AJ120+AM120+AP120</f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86"/>
      <c r="AS120" s="137"/>
      <c r="AT120" s="46"/>
      <c r="AU120" s="47"/>
    </row>
    <row r="121" spans="1:47" s="26" customFormat="1" ht="24">
      <c r="A121" s="151"/>
      <c r="B121" s="152"/>
      <c r="C121" s="153"/>
      <c r="D121" s="55" t="s">
        <v>92</v>
      </c>
      <c r="E121" s="44">
        <f t="shared" si="243"/>
        <v>0</v>
      </c>
      <c r="F121" s="45">
        <f t="shared" si="243"/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86"/>
      <c r="AS121" s="137"/>
      <c r="AT121" s="46"/>
      <c r="AU121" s="47"/>
    </row>
    <row r="122" spans="1:47" s="26" customFormat="1" ht="24">
      <c r="A122" s="154"/>
      <c r="B122" s="155"/>
      <c r="C122" s="156"/>
      <c r="D122" s="55" t="s">
        <v>93</v>
      </c>
      <c r="E122" s="44">
        <f>H122+K122+N122+Q122+T122+W122+Z122+AC122+AF122+AI122+AL122+AO122</f>
        <v>0</v>
      </c>
      <c r="F122" s="45">
        <f>I122+L122+O122+R122+U122+X122+AA122+AD122+AG122+AJ122+AM122+AP122</f>
        <v>0</v>
      </c>
      <c r="G122" s="45">
        <v>0</v>
      </c>
      <c r="H122" s="45">
        <v>0</v>
      </c>
      <c r="I122" s="45">
        <v>0</v>
      </c>
      <c r="J122" s="45">
        <v>0</v>
      </c>
      <c r="K122" s="56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50">
        <v>0</v>
      </c>
      <c r="U122" s="50">
        <v>0</v>
      </c>
      <c r="V122" s="45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45">
        <v>0</v>
      </c>
      <c r="AJ122" s="45">
        <v>0</v>
      </c>
      <c r="AK122" s="50">
        <v>0</v>
      </c>
      <c r="AL122" s="50">
        <v>0</v>
      </c>
      <c r="AM122" s="50">
        <v>0</v>
      </c>
      <c r="AN122" s="50">
        <v>0</v>
      </c>
      <c r="AO122" s="45">
        <v>0</v>
      </c>
      <c r="AP122" s="45">
        <v>0</v>
      </c>
      <c r="AQ122" s="50">
        <v>0</v>
      </c>
      <c r="AR122" s="86"/>
      <c r="AS122" s="137"/>
      <c r="AT122" s="46"/>
      <c r="AU122" s="47"/>
    </row>
    <row r="123" spans="1:47" s="26" customFormat="1" ht="12.75">
      <c r="A123" s="148" t="s">
        <v>161</v>
      </c>
      <c r="B123" s="149"/>
      <c r="C123" s="150"/>
      <c r="D123" s="55" t="s">
        <v>88</v>
      </c>
      <c r="E123" s="44">
        <f>E124+E125+E126</f>
        <v>0</v>
      </c>
      <c r="F123" s="45">
        <f>F124+F125+F126</f>
        <v>0</v>
      </c>
      <c r="G123" s="45">
        <v>0</v>
      </c>
      <c r="H123" s="45">
        <f t="shared" ref="H123:I123" si="244">H124+H125+H126</f>
        <v>0</v>
      </c>
      <c r="I123" s="45">
        <f t="shared" si="244"/>
        <v>0</v>
      </c>
      <c r="J123" s="45">
        <v>0</v>
      </c>
      <c r="K123" s="45">
        <f t="shared" ref="K123:L123" si="245">K124+K125+K126</f>
        <v>0</v>
      </c>
      <c r="L123" s="45">
        <f t="shared" si="245"/>
        <v>0</v>
      </c>
      <c r="M123" s="45">
        <v>0</v>
      </c>
      <c r="N123" s="45">
        <f t="shared" ref="N123:O123" si="246">N124+N125+N126</f>
        <v>0</v>
      </c>
      <c r="O123" s="45">
        <f t="shared" si="246"/>
        <v>0</v>
      </c>
      <c r="P123" s="45">
        <v>0</v>
      </c>
      <c r="Q123" s="45">
        <f t="shared" ref="Q123:R123" si="247">Q124+Q125+Q126</f>
        <v>0</v>
      </c>
      <c r="R123" s="45">
        <f t="shared" si="247"/>
        <v>0</v>
      </c>
      <c r="S123" s="45">
        <v>0</v>
      </c>
      <c r="T123" s="45">
        <f t="shared" ref="T123:U123" si="248">T124+T125+T126</f>
        <v>0</v>
      </c>
      <c r="U123" s="45">
        <f t="shared" si="248"/>
        <v>0</v>
      </c>
      <c r="V123" s="45">
        <v>0</v>
      </c>
      <c r="W123" s="45">
        <f t="shared" ref="W123:X123" si="249">W124+W125+W126</f>
        <v>0</v>
      </c>
      <c r="X123" s="45">
        <f t="shared" si="249"/>
        <v>0</v>
      </c>
      <c r="Y123" s="45">
        <v>0</v>
      </c>
      <c r="Z123" s="45">
        <f t="shared" ref="Z123:AA123" si="250">Z124+Z125+Z126</f>
        <v>0</v>
      </c>
      <c r="AA123" s="45">
        <f t="shared" si="250"/>
        <v>0</v>
      </c>
      <c r="AB123" s="45">
        <v>0</v>
      </c>
      <c r="AC123" s="45">
        <f t="shared" ref="AC123:AD123" si="251">AC124+AC125+AC126</f>
        <v>0</v>
      </c>
      <c r="AD123" s="45">
        <f t="shared" si="251"/>
        <v>0</v>
      </c>
      <c r="AE123" s="45">
        <v>0</v>
      </c>
      <c r="AF123" s="45">
        <f t="shared" ref="AF123:AG123" si="252">AF124+AF125+AF126</f>
        <v>0</v>
      </c>
      <c r="AG123" s="45">
        <f t="shared" si="252"/>
        <v>0</v>
      </c>
      <c r="AH123" s="45">
        <v>0</v>
      </c>
      <c r="AI123" s="45">
        <f t="shared" ref="AI123:AJ123" si="253">AI124+AI125+AI126</f>
        <v>0</v>
      </c>
      <c r="AJ123" s="45">
        <f t="shared" si="253"/>
        <v>0</v>
      </c>
      <c r="AK123" s="45">
        <v>0</v>
      </c>
      <c r="AL123" s="45">
        <f t="shared" ref="AL123:AM123" si="254">AL124+AL125+AL126</f>
        <v>0</v>
      </c>
      <c r="AM123" s="45">
        <f t="shared" si="254"/>
        <v>0</v>
      </c>
      <c r="AN123" s="45">
        <v>0</v>
      </c>
      <c r="AO123" s="45">
        <f t="shared" ref="AO123:AQ123" si="255">AO124+AO125+AO126</f>
        <v>0</v>
      </c>
      <c r="AP123" s="45">
        <f t="shared" si="255"/>
        <v>0</v>
      </c>
      <c r="AQ123" s="45">
        <f t="shared" si="255"/>
        <v>0</v>
      </c>
      <c r="AR123" s="86"/>
      <c r="AS123" s="137"/>
      <c r="AT123" s="46"/>
      <c r="AU123" s="47"/>
    </row>
    <row r="124" spans="1:47" s="26" customFormat="1" ht="48">
      <c r="A124" s="151"/>
      <c r="B124" s="152"/>
      <c r="C124" s="153"/>
      <c r="D124" s="48" t="s">
        <v>89</v>
      </c>
      <c r="E124" s="44">
        <f>H124+K124+N124+Q124+T124+W124+Z124+AC124+AF124+AI124+AL124+AO124</f>
        <v>0</v>
      </c>
      <c r="F124" s="45">
        <f>I124+L124+O124+R124+U124+X124+AA124+AD124+AG124+AJ124+AM124+AP124</f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86"/>
      <c r="AS124" s="137"/>
      <c r="AT124" s="46"/>
      <c r="AU124" s="47"/>
    </row>
    <row r="125" spans="1:47" s="26" customFormat="1" ht="12.75">
      <c r="A125" s="151"/>
      <c r="B125" s="152"/>
      <c r="C125" s="153"/>
      <c r="D125" s="48" t="s">
        <v>90</v>
      </c>
      <c r="E125" s="44">
        <f t="shared" ref="E125:F126" si="256">H125+K125+N125+Q125+T125+W125+Z125+AC125+AF125+AI125+AL125+AO125</f>
        <v>0</v>
      </c>
      <c r="F125" s="45">
        <f>I125+L125+O125+R125+U125+X125+AA125+AD125+AG125+AJ125+AM125+AP125</f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86"/>
      <c r="AS125" s="137"/>
      <c r="AT125" s="46"/>
      <c r="AU125" s="47"/>
    </row>
    <row r="126" spans="1:47" s="26" customFormat="1" ht="24">
      <c r="A126" s="151"/>
      <c r="B126" s="152"/>
      <c r="C126" s="153"/>
      <c r="D126" s="55" t="s">
        <v>92</v>
      </c>
      <c r="E126" s="44">
        <f t="shared" si="256"/>
        <v>0</v>
      </c>
      <c r="F126" s="45">
        <f t="shared" si="256"/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69">
        <v>0</v>
      </c>
      <c r="AR126" s="86"/>
      <c r="AS126" s="137"/>
      <c r="AT126" s="46"/>
      <c r="AU126" s="47"/>
    </row>
    <row r="127" spans="1:47" s="26" customFormat="1" ht="24">
      <c r="A127" s="154"/>
      <c r="B127" s="155"/>
      <c r="C127" s="156"/>
      <c r="D127" s="55" t="s">
        <v>93</v>
      </c>
      <c r="E127" s="44">
        <f>H127+K127+N127+Q127+T127+W127+Z127+AC127+AF127+AI127+AL127+AO127</f>
        <v>0</v>
      </c>
      <c r="F127" s="45">
        <f>I127+L127+O127+R127+U127+X127+AA127+AD127+AG127+AJ127+AM127+AP127</f>
        <v>0</v>
      </c>
      <c r="G127" s="45">
        <v>0</v>
      </c>
      <c r="H127" s="45">
        <v>0</v>
      </c>
      <c r="I127" s="45">
        <v>0</v>
      </c>
      <c r="J127" s="45">
        <v>0</v>
      </c>
      <c r="K127" s="56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50">
        <v>0</v>
      </c>
      <c r="U127" s="50">
        <v>0</v>
      </c>
      <c r="V127" s="45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45">
        <v>0</v>
      </c>
      <c r="AI127" s="45">
        <v>0</v>
      </c>
      <c r="AJ127" s="45">
        <v>0</v>
      </c>
      <c r="AK127" s="45">
        <v>0</v>
      </c>
      <c r="AL127" s="50">
        <v>0</v>
      </c>
      <c r="AM127" s="50">
        <v>0</v>
      </c>
      <c r="AN127" s="50">
        <v>0</v>
      </c>
      <c r="AO127" s="45">
        <v>0</v>
      </c>
      <c r="AP127" s="45">
        <v>0</v>
      </c>
      <c r="AQ127" s="45">
        <v>0</v>
      </c>
      <c r="AR127" s="86"/>
      <c r="AS127" s="137"/>
      <c r="AT127" s="46"/>
      <c r="AU127" s="47"/>
    </row>
    <row r="128" spans="1:47" s="26" customFormat="1" ht="12.75">
      <c r="A128" s="148" t="s">
        <v>162</v>
      </c>
      <c r="B128" s="149"/>
      <c r="C128" s="150"/>
      <c r="D128" s="55" t="s">
        <v>88</v>
      </c>
      <c r="E128" s="44">
        <f>E129+E130+E131</f>
        <v>0</v>
      </c>
      <c r="F128" s="45">
        <f>F129+F130+F131</f>
        <v>0</v>
      </c>
      <c r="G128" s="45">
        <v>0</v>
      </c>
      <c r="H128" s="45">
        <f t="shared" ref="H128:I128" si="257">H129+H130+H131</f>
        <v>0</v>
      </c>
      <c r="I128" s="45">
        <f t="shared" si="257"/>
        <v>0</v>
      </c>
      <c r="J128" s="45">
        <v>0</v>
      </c>
      <c r="K128" s="45">
        <f t="shared" ref="K128:L128" si="258">K129+K130+K131</f>
        <v>0</v>
      </c>
      <c r="L128" s="45">
        <f t="shared" si="258"/>
        <v>0</v>
      </c>
      <c r="M128" s="45">
        <v>0</v>
      </c>
      <c r="N128" s="45">
        <f t="shared" ref="N128:O128" si="259">N129+N130+N131</f>
        <v>0</v>
      </c>
      <c r="O128" s="45">
        <f t="shared" si="259"/>
        <v>0</v>
      </c>
      <c r="P128" s="45">
        <v>0</v>
      </c>
      <c r="Q128" s="45">
        <f t="shared" ref="Q128:R128" si="260">Q129+Q130+Q131</f>
        <v>0</v>
      </c>
      <c r="R128" s="45">
        <f t="shared" si="260"/>
        <v>0</v>
      </c>
      <c r="S128" s="45">
        <v>0</v>
      </c>
      <c r="T128" s="45">
        <f t="shared" ref="T128:U128" si="261">T129+T130+T131</f>
        <v>0</v>
      </c>
      <c r="U128" s="45">
        <f t="shared" si="261"/>
        <v>0</v>
      </c>
      <c r="V128" s="45">
        <v>0</v>
      </c>
      <c r="W128" s="45">
        <f t="shared" ref="W128:X128" si="262">W129+W130+W131</f>
        <v>0</v>
      </c>
      <c r="X128" s="45">
        <f t="shared" si="262"/>
        <v>0</v>
      </c>
      <c r="Y128" s="45">
        <v>0</v>
      </c>
      <c r="Z128" s="45">
        <f t="shared" ref="Z128:AA128" si="263">Z129+Z130+Z131</f>
        <v>0</v>
      </c>
      <c r="AA128" s="45">
        <f t="shared" si="263"/>
        <v>0</v>
      </c>
      <c r="AB128" s="45">
        <v>0</v>
      </c>
      <c r="AC128" s="45">
        <f t="shared" ref="AC128:AD128" si="264">AC129+AC130+AC131</f>
        <v>0</v>
      </c>
      <c r="AD128" s="45">
        <f t="shared" si="264"/>
        <v>0</v>
      </c>
      <c r="AE128" s="45">
        <v>0</v>
      </c>
      <c r="AF128" s="45">
        <f t="shared" ref="AF128:AG128" si="265">AF129+AF130+AF131</f>
        <v>0</v>
      </c>
      <c r="AG128" s="45">
        <f t="shared" si="265"/>
        <v>0</v>
      </c>
      <c r="AH128" s="45">
        <v>0</v>
      </c>
      <c r="AI128" s="45">
        <f t="shared" ref="AI128:AJ128" si="266">AI129+AI130+AI131</f>
        <v>0</v>
      </c>
      <c r="AJ128" s="45">
        <f t="shared" si="266"/>
        <v>0</v>
      </c>
      <c r="AK128" s="45">
        <v>0</v>
      </c>
      <c r="AL128" s="45">
        <f t="shared" ref="AL128:AM128" si="267">AL129+AL130+AL131</f>
        <v>0</v>
      </c>
      <c r="AM128" s="45">
        <f t="shared" si="267"/>
        <v>0</v>
      </c>
      <c r="AN128" s="45">
        <v>0</v>
      </c>
      <c r="AO128" s="45">
        <f t="shared" ref="AO128" si="268">AO129+AO130+AO131</f>
        <v>0</v>
      </c>
      <c r="AP128" s="45">
        <v>0</v>
      </c>
      <c r="AQ128" s="69">
        <v>0</v>
      </c>
      <c r="AR128" s="86"/>
      <c r="AS128" s="137"/>
      <c r="AT128" s="46"/>
      <c r="AU128" s="47"/>
    </row>
    <row r="129" spans="1:47" s="26" customFormat="1" ht="48">
      <c r="A129" s="151"/>
      <c r="B129" s="152"/>
      <c r="C129" s="153"/>
      <c r="D129" s="48" t="s">
        <v>89</v>
      </c>
      <c r="E129" s="44">
        <f>H129+K129+N129+Q129+T129+W129+Z129+AC129+AF129+AI129+AL129+AO129</f>
        <v>0</v>
      </c>
      <c r="F129" s="45">
        <f>I129+L129+O129+R129+U129+X129+AA129+AD129+AG129+AJ129+AM129+AP129</f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69">
        <v>0</v>
      </c>
      <c r="AR129" s="86"/>
      <c r="AS129" s="137"/>
      <c r="AT129" s="46"/>
      <c r="AU129" s="47"/>
    </row>
    <row r="130" spans="1:47" s="26" customFormat="1" ht="12.75">
      <c r="A130" s="151"/>
      <c r="B130" s="152"/>
      <c r="C130" s="153"/>
      <c r="D130" s="48" t="s">
        <v>90</v>
      </c>
      <c r="E130" s="44">
        <f>H130+K130+N130+Q130+T130+W130+Z130+AC130+AF130+AI130+AL130+AO130</f>
        <v>0</v>
      </c>
      <c r="F130" s="45">
        <f>I130+L130+O130+R130+U130+X130+AA130+AD130+AG130+AJ130+AM130+AP130</f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0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69">
        <v>0</v>
      </c>
      <c r="AR130" s="86"/>
      <c r="AS130" s="137"/>
      <c r="AT130" s="46"/>
      <c r="AU130" s="47"/>
    </row>
    <row r="131" spans="1:47" s="26" customFormat="1" ht="24">
      <c r="A131" s="151"/>
      <c r="B131" s="152"/>
      <c r="C131" s="153"/>
      <c r="D131" s="55" t="s">
        <v>92</v>
      </c>
      <c r="E131" s="44">
        <f t="shared" ref="E131:F131" si="269">H131+K131+N131+Q131+T131+W131+Z131+AC131+AF131+AI131+AL131+AO131</f>
        <v>0</v>
      </c>
      <c r="F131" s="45">
        <f t="shared" si="269"/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69">
        <v>0</v>
      </c>
      <c r="AR131" s="86"/>
      <c r="AS131" s="137"/>
      <c r="AT131" s="46"/>
      <c r="AU131" s="47"/>
    </row>
    <row r="132" spans="1:47" s="26" customFormat="1" ht="24">
      <c r="A132" s="154"/>
      <c r="B132" s="155"/>
      <c r="C132" s="156"/>
      <c r="D132" s="55" t="s">
        <v>93</v>
      </c>
      <c r="E132" s="44">
        <f>H132+K132+N132+Q132+T132+W132+Z132+AC132+AF132+AI132+AL132+AO132</f>
        <v>0</v>
      </c>
      <c r="F132" s="45">
        <f>I132+L132+O132+R132+U132+X132+AA132+AD132+AG132+AJ132+AM132+AP132</f>
        <v>0</v>
      </c>
      <c r="G132" s="45">
        <v>0</v>
      </c>
      <c r="H132" s="45">
        <v>0</v>
      </c>
      <c r="I132" s="45">
        <v>0</v>
      </c>
      <c r="J132" s="45">
        <v>0</v>
      </c>
      <c r="K132" s="56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50">
        <v>0</v>
      </c>
      <c r="U132" s="50">
        <v>0</v>
      </c>
      <c r="V132" s="45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45">
        <v>0</v>
      </c>
      <c r="AI132" s="45">
        <v>0</v>
      </c>
      <c r="AJ132" s="45">
        <v>0</v>
      </c>
      <c r="AK132" s="45">
        <v>0</v>
      </c>
      <c r="AL132" s="50">
        <v>0</v>
      </c>
      <c r="AM132" s="50">
        <v>0</v>
      </c>
      <c r="AN132" s="50">
        <v>0</v>
      </c>
      <c r="AO132" s="45">
        <v>0</v>
      </c>
      <c r="AP132" s="45">
        <v>0</v>
      </c>
      <c r="AQ132" s="45">
        <v>0</v>
      </c>
      <c r="AR132" s="86"/>
      <c r="AS132" s="137"/>
      <c r="AT132" s="46"/>
      <c r="AU132" s="47"/>
    </row>
    <row r="133" spans="1:47" s="26" customFormat="1" ht="12.75">
      <c r="A133" s="148" t="s">
        <v>163</v>
      </c>
      <c r="B133" s="149"/>
      <c r="C133" s="150"/>
      <c r="D133" s="55" t="s">
        <v>88</v>
      </c>
      <c r="E133" s="44">
        <f>E134+E135+E136</f>
        <v>824.69999999999993</v>
      </c>
      <c r="F133" s="45">
        <f>F134+F135+F136</f>
        <v>305.39999999999998</v>
      </c>
      <c r="G133" s="45">
        <f>F133/E133*100</f>
        <v>37.031647871953439</v>
      </c>
      <c r="H133" s="45">
        <f t="shared" ref="H133:I133" si="270">H134+H135+H136</f>
        <v>0</v>
      </c>
      <c r="I133" s="45">
        <f t="shared" si="270"/>
        <v>0</v>
      </c>
      <c r="J133" s="45">
        <v>0</v>
      </c>
      <c r="K133" s="45">
        <f t="shared" ref="K133:L133" si="271">K134+K135+K136</f>
        <v>26</v>
      </c>
      <c r="L133" s="45">
        <f t="shared" si="271"/>
        <v>25.3</v>
      </c>
      <c r="M133" s="45">
        <f>L133/K133*100</f>
        <v>97.307692307692307</v>
      </c>
      <c r="N133" s="45">
        <f t="shared" ref="N133:O133" si="272">N134+N135+N136</f>
        <v>21.6</v>
      </c>
      <c r="O133" s="45">
        <f t="shared" si="272"/>
        <v>21.8</v>
      </c>
      <c r="P133" s="45">
        <f>O133/N133*100</f>
        <v>100.92592592592592</v>
      </c>
      <c r="Q133" s="45">
        <f t="shared" ref="Q133:R133" si="273">Q134+Q135+Q136</f>
        <v>122.1</v>
      </c>
      <c r="R133" s="45">
        <f t="shared" si="273"/>
        <v>121.8</v>
      </c>
      <c r="S133" s="45">
        <f>R133/Q133*100</f>
        <v>99.754299754299751</v>
      </c>
      <c r="T133" s="45">
        <f>T134+T135+T136</f>
        <v>18</v>
      </c>
      <c r="U133" s="45">
        <f t="shared" ref="U133" si="274">U134+U135+U136</f>
        <v>17.899999999999999</v>
      </c>
      <c r="V133" s="45">
        <f>U133/T133*100</f>
        <v>99.444444444444429</v>
      </c>
      <c r="W133" s="45">
        <f t="shared" ref="W133:X133" si="275">W134+W135+W136</f>
        <v>22</v>
      </c>
      <c r="X133" s="45">
        <f t="shared" si="275"/>
        <v>19.399999999999999</v>
      </c>
      <c r="Y133" s="45">
        <f>X133/W133*100</f>
        <v>88.181818181818173</v>
      </c>
      <c r="Z133" s="45">
        <f t="shared" ref="Z133:AA133" si="276">Z134+Z135+Z136</f>
        <v>9.5</v>
      </c>
      <c r="AA133" s="45">
        <f t="shared" si="276"/>
        <v>7.3</v>
      </c>
      <c r="AB133" s="45">
        <f>AA133/Z133*100</f>
        <v>76.84210526315789</v>
      </c>
      <c r="AC133" s="45">
        <f t="shared" ref="AC133:AD133" si="277">AC134+AC135+AC136</f>
        <v>9.5</v>
      </c>
      <c r="AD133" s="45">
        <f t="shared" si="277"/>
        <v>6.5</v>
      </c>
      <c r="AE133" s="45">
        <f>AD133/AC133*100</f>
        <v>68.421052631578945</v>
      </c>
      <c r="AF133" s="45">
        <f t="shared" ref="AF133:AG133" si="278">AF134+AF135+AF136</f>
        <v>9.5</v>
      </c>
      <c r="AG133" s="45">
        <f t="shared" si="278"/>
        <v>5.8</v>
      </c>
      <c r="AH133" s="45">
        <f>AG133/AF133*100</f>
        <v>61.05263157894737</v>
      </c>
      <c r="AI133" s="45">
        <f t="shared" ref="AI133:AJ133" si="279">AI134+AI135+AI136</f>
        <v>9</v>
      </c>
      <c r="AJ133" s="45">
        <f t="shared" si="279"/>
        <v>5.0999999999999996</v>
      </c>
      <c r="AK133" s="45">
        <f>AJ133/AI133*100</f>
        <v>56.666666666666664</v>
      </c>
      <c r="AL133" s="45">
        <f t="shared" ref="AL133:AM133" si="280">AL134+AL135+AL136</f>
        <v>21.6</v>
      </c>
      <c r="AM133" s="45">
        <f t="shared" si="280"/>
        <v>7.4</v>
      </c>
      <c r="AN133" s="45">
        <f>AM133/AL133*100</f>
        <v>34.259259259259252</v>
      </c>
      <c r="AO133" s="45">
        <f t="shared" ref="AO133:AP133" si="281">AO134+AO135+AO136</f>
        <v>555.9</v>
      </c>
      <c r="AP133" s="45">
        <f t="shared" si="281"/>
        <v>67.099999999999994</v>
      </c>
      <c r="AQ133" s="45">
        <f>AP133/AO133*100</f>
        <v>12.070516279906457</v>
      </c>
      <c r="AR133" s="86"/>
      <c r="AS133" s="137"/>
      <c r="AT133" s="46"/>
      <c r="AU133" s="47"/>
    </row>
    <row r="134" spans="1:47" s="26" customFormat="1" ht="48">
      <c r="A134" s="151"/>
      <c r="B134" s="152"/>
      <c r="C134" s="153"/>
      <c r="D134" s="48" t="s">
        <v>89</v>
      </c>
      <c r="E134" s="44">
        <f>H134+K134+N134+Q134+T134+W134+Z134+AC134+AF134+AI134+AL134+AO134</f>
        <v>114.1</v>
      </c>
      <c r="F134" s="45">
        <f>I134+L134+O134+R134+U134+X134+AA134+AD134+AG134+AJ134+AM134+AP134</f>
        <v>114.1</v>
      </c>
      <c r="G134" s="45">
        <f>F134/E134*100</f>
        <v>100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103.1</v>
      </c>
      <c r="R134" s="45">
        <v>103.1</v>
      </c>
      <c r="S134" s="45">
        <f>R134/Q134*100</f>
        <v>100</v>
      </c>
      <c r="T134" s="45">
        <v>0</v>
      </c>
      <c r="U134" s="45">
        <v>0</v>
      </c>
      <c r="V134" s="45">
        <v>0</v>
      </c>
      <c r="W134" s="45">
        <v>9.4</v>
      </c>
      <c r="X134" s="45">
        <v>9.4</v>
      </c>
      <c r="Y134" s="45">
        <f t="shared" ref="Y134:Y135" si="282">X134/W134*100</f>
        <v>100</v>
      </c>
      <c r="Z134" s="45">
        <v>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  <c r="AF134" s="45">
        <v>0</v>
      </c>
      <c r="AG134" s="45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1.6</v>
      </c>
      <c r="AM134" s="45">
        <v>1.6</v>
      </c>
      <c r="AN134" s="45">
        <f t="shared" ref="AN134:AN135" si="283">AM134/AL134*100</f>
        <v>100</v>
      </c>
      <c r="AO134" s="45">
        <v>0</v>
      </c>
      <c r="AP134" s="45">
        <v>0</v>
      </c>
      <c r="AQ134" s="45">
        <v>0</v>
      </c>
      <c r="AR134" s="86"/>
      <c r="AS134" s="137"/>
      <c r="AT134" s="46"/>
      <c r="AU134" s="47"/>
    </row>
    <row r="135" spans="1:47" s="26" customFormat="1" ht="12.75">
      <c r="A135" s="151"/>
      <c r="B135" s="152"/>
      <c r="C135" s="153"/>
      <c r="D135" s="48" t="s">
        <v>90</v>
      </c>
      <c r="E135" s="44">
        <f>H135+K135+N135+Q135+T135+W135+Z135+AC135+AF135+AI135+AL135+AO135</f>
        <v>710.59999999999991</v>
      </c>
      <c r="F135" s="45">
        <f t="shared" ref="E135:F137" si="284">I135+L135+O135+R135+U135+X135+AA135+AD135+AG135+AJ135+AM135+AP135</f>
        <v>191.29999999999995</v>
      </c>
      <c r="G135" s="45">
        <f>F135/E135*100</f>
        <v>26.920911905432028</v>
      </c>
      <c r="H135" s="45">
        <v>0</v>
      </c>
      <c r="I135" s="45">
        <v>0</v>
      </c>
      <c r="J135" s="45">
        <v>0</v>
      </c>
      <c r="K135" s="45">
        <v>26</v>
      </c>
      <c r="L135" s="45">
        <v>25.3</v>
      </c>
      <c r="M135" s="45">
        <f t="shared" ref="M135" si="285">L135/K135*100</f>
        <v>97.307692307692307</v>
      </c>
      <c r="N135" s="45">
        <v>21.6</v>
      </c>
      <c r="O135" s="45">
        <v>21.8</v>
      </c>
      <c r="P135" s="45">
        <f t="shared" ref="P135" si="286">O135/N135*100</f>
        <v>100.92592592592592</v>
      </c>
      <c r="Q135" s="45">
        <v>19</v>
      </c>
      <c r="R135" s="45">
        <v>18.7</v>
      </c>
      <c r="S135" s="45">
        <f t="shared" ref="S135" si="287">R135/Q135*100</f>
        <v>98.421052631578945</v>
      </c>
      <c r="T135" s="45">
        <v>18</v>
      </c>
      <c r="U135" s="45">
        <v>17.899999999999999</v>
      </c>
      <c r="V135" s="45">
        <f t="shared" ref="V135" si="288">U135/T135*100</f>
        <v>99.444444444444429</v>
      </c>
      <c r="W135" s="45">
        <v>12.6</v>
      </c>
      <c r="X135" s="45">
        <v>10</v>
      </c>
      <c r="Y135" s="45">
        <f t="shared" si="282"/>
        <v>79.365079365079367</v>
      </c>
      <c r="Z135" s="45">
        <v>9.5</v>
      </c>
      <c r="AA135" s="45">
        <v>7.3</v>
      </c>
      <c r="AB135" s="45">
        <f t="shared" ref="AB135" si="289">AA135/Z135*100</f>
        <v>76.84210526315789</v>
      </c>
      <c r="AC135" s="45">
        <v>9.5</v>
      </c>
      <c r="AD135" s="45">
        <v>6.5</v>
      </c>
      <c r="AE135" s="45">
        <f t="shared" ref="AE135" si="290">AD135/AC135*100</f>
        <v>68.421052631578945</v>
      </c>
      <c r="AF135" s="45">
        <v>9.5</v>
      </c>
      <c r="AG135" s="45">
        <v>5.8</v>
      </c>
      <c r="AH135" s="45">
        <f t="shared" ref="AH135" si="291">AG135/AF135*100</f>
        <v>61.05263157894737</v>
      </c>
      <c r="AI135" s="45">
        <v>9</v>
      </c>
      <c r="AJ135" s="45">
        <v>5.0999999999999996</v>
      </c>
      <c r="AK135" s="45">
        <f t="shared" ref="AK135" si="292">AJ135/AI135*100</f>
        <v>56.666666666666664</v>
      </c>
      <c r="AL135" s="45">
        <v>20</v>
      </c>
      <c r="AM135" s="45">
        <v>5.8</v>
      </c>
      <c r="AN135" s="45">
        <f t="shared" si="283"/>
        <v>28.999999999999996</v>
      </c>
      <c r="AO135" s="45">
        <f>113.5+442.4</f>
        <v>555.9</v>
      </c>
      <c r="AP135" s="45">
        <v>67.099999999999994</v>
      </c>
      <c r="AQ135" s="45">
        <f t="shared" ref="AQ135" si="293">AP135/AO135*100</f>
        <v>12.070516279906457</v>
      </c>
      <c r="AR135" s="86"/>
      <c r="AS135" s="137"/>
      <c r="AT135" s="46"/>
      <c r="AU135" s="47"/>
    </row>
    <row r="136" spans="1:47" s="26" customFormat="1" ht="24">
      <c r="A136" s="151"/>
      <c r="B136" s="152"/>
      <c r="C136" s="153"/>
      <c r="D136" s="55" t="s">
        <v>92</v>
      </c>
      <c r="E136" s="44">
        <f t="shared" si="284"/>
        <v>0</v>
      </c>
      <c r="F136" s="45">
        <f t="shared" si="284"/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69">
        <v>0</v>
      </c>
      <c r="AR136" s="86"/>
      <c r="AS136" s="137"/>
      <c r="AT136" s="46"/>
      <c r="AU136" s="47"/>
    </row>
    <row r="137" spans="1:47" s="26" customFormat="1" ht="24">
      <c r="A137" s="154"/>
      <c r="B137" s="155"/>
      <c r="C137" s="156"/>
      <c r="D137" s="55" t="s">
        <v>93</v>
      </c>
      <c r="E137" s="44">
        <f t="shared" si="284"/>
        <v>0</v>
      </c>
      <c r="F137" s="45">
        <f t="shared" si="284"/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69">
        <v>0</v>
      </c>
      <c r="AR137" s="86"/>
      <c r="AS137" s="137"/>
      <c r="AT137" s="46"/>
      <c r="AU137" s="47"/>
    </row>
    <row r="138" spans="1:47" s="26" customFormat="1" ht="12.75">
      <c r="A138" s="148" t="s">
        <v>164</v>
      </c>
      <c r="B138" s="149"/>
      <c r="C138" s="150"/>
      <c r="D138" s="55" t="s">
        <v>88</v>
      </c>
      <c r="E138" s="44">
        <f>E139+E140+E141</f>
        <v>42339.399999999994</v>
      </c>
      <c r="F138" s="45">
        <f>F139+F140+F141</f>
        <v>42339.399999999994</v>
      </c>
      <c r="G138" s="45">
        <f>F138/E138*100</f>
        <v>100</v>
      </c>
      <c r="H138" s="45">
        <f t="shared" ref="H138:I138" si="294">H139+H140+H141</f>
        <v>865.5</v>
      </c>
      <c r="I138" s="45">
        <f t="shared" si="294"/>
        <v>865.5</v>
      </c>
      <c r="J138" s="45">
        <f>I138/H138*100</f>
        <v>100</v>
      </c>
      <c r="K138" s="45">
        <f t="shared" ref="K138:L138" si="295">K139+K140+K141</f>
        <v>3586.9</v>
      </c>
      <c r="L138" s="45">
        <f t="shared" si="295"/>
        <v>3390.9</v>
      </c>
      <c r="M138" s="45">
        <f>L138/K138*100</f>
        <v>94.535671471186816</v>
      </c>
      <c r="N138" s="45">
        <f t="shared" ref="N138:O138" si="296">N139+N140+N141</f>
        <v>3123.3</v>
      </c>
      <c r="O138" s="45">
        <f t="shared" si="296"/>
        <v>3108.2</v>
      </c>
      <c r="P138" s="45">
        <f>O138/N138*100</f>
        <v>99.516536996125879</v>
      </c>
      <c r="Q138" s="45">
        <f t="shared" ref="Q138:R138" si="297">Q139+Q140+Q141</f>
        <v>3330.5</v>
      </c>
      <c r="R138" s="45">
        <f t="shared" si="297"/>
        <v>3359.7</v>
      </c>
      <c r="S138" s="45">
        <f t="shared" ref="S138" si="298">R138/Q138*100</f>
        <v>100.87674523344843</v>
      </c>
      <c r="T138" s="45">
        <f>T139+T140+T141</f>
        <v>3788.2</v>
      </c>
      <c r="U138" s="45">
        <f t="shared" ref="U138" si="299">U139+U140+U141</f>
        <v>3782.4</v>
      </c>
      <c r="V138" s="45">
        <f t="shared" ref="V138:V140" si="300">U138/T138*100</f>
        <v>99.846892983475016</v>
      </c>
      <c r="W138" s="45">
        <f t="shared" ref="W138:AD138" si="301">W139+W140+W141</f>
        <v>3546.3</v>
      </c>
      <c r="X138" s="45">
        <f t="shared" si="301"/>
        <v>3551</v>
      </c>
      <c r="Y138" s="45">
        <f t="shared" ref="Y138:Y140" si="302">X138/W138*100</f>
        <v>100.13253249866057</v>
      </c>
      <c r="Z138" s="45">
        <f t="shared" si="301"/>
        <v>4952.7999999999993</v>
      </c>
      <c r="AA138" s="45">
        <f t="shared" si="301"/>
        <v>4935</v>
      </c>
      <c r="AB138" s="45">
        <f t="shared" ref="AB138:AB140" si="303">AA138/Z138*100</f>
        <v>99.64060733322566</v>
      </c>
      <c r="AC138" s="45">
        <f t="shared" si="301"/>
        <v>4223.1000000000004</v>
      </c>
      <c r="AD138" s="45">
        <f t="shared" si="301"/>
        <v>4344.1000000000004</v>
      </c>
      <c r="AE138" s="45">
        <f t="shared" ref="AE138:AE140" si="304">AD138/AC138*100</f>
        <v>102.86519381497004</v>
      </c>
      <c r="AF138" s="45">
        <f t="shared" ref="AF138:AG138" si="305">AF139+AF140+AF141</f>
        <v>3065.4</v>
      </c>
      <c r="AG138" s="45">
        <f t="shared" si="305"/>
        <v>3047.8</v>
      </c>
      <c r="AH138" s="45">
        <f t="shared" ref="AH138:AH140" si="306">AG138/AF138*100</f>
        <v>99.425849807529204</v>
      </c>
      <c r="AI138" s="45">
        <f t="shared" ref="AI138:AJ138" si="307">AI139+AI140+AI141</f>
        <v>2751.5</v>
      </c>
      <c r="AJ138" s="45">
        <f t="shared" si="307"/>
        <v>2733.8</v>
      </c>
      <c r="AK138" s="45">
        <f t="shared" ref="AK138:AK140" si="308">AJ138/AI138*100</f>
        <v>99.356714519353091</v>
      </c>
      <c r="AL138" s="45">
        <f t="shared" ref="AL138:AM138" si="309">AL139+AL140+AL141</f>
        <v>3288.1</v>
      </c>
      <c r="AM138" s="45">
        <f t="shared" si="309"/>
        <v>3210.2</v>
      </c>
      <c r="AN138" s="45">
        <f t="shared" ref="AN138:AN140" si="310">AM138/AL138*100</f>
        <v>97.630850643228612</v>
      </c>
      <c r="AO138" s="45">
        <f t="shared" ref="AO138:AP138" si="311">AO139+AO140+AO141</f>
        <v>5817.8000000000011</v>
      </c>
      <c r="AP138" s="45">
        <f t="shared" si="311"/>
        <v>6010.8</v>
      </c>
      <c r="AQ138" s="45">
        <f t="shared" ref="AQ138:AQ140" si="312">AP138/AO138*100</f>
        <v>103.31740520471655</v>
      </c>
      <c r="AR138" s="86"/>
      <c r="AS138" s="137"/>
      <c r="AT138" s="46"/>
      <c r="AU138" s="47"/>
    </row>
    <row r="139" spans="1:47" s="26" customFormat="1" ht="48">
      <c r="A139" s="151"/>
      <c r="B139" s="152"/>
      <c r="C139" s="153"/>
      <c r="D139" s="48" t="s">
        <v>89</v>
      </c>
      <c r="E139" s="44">
        <f>H139+K139+N139+Q139+T139+W139+Z139+AC139+AF139+AI139+AL139+AO139</f>
        <v>160</v>
      </c>
      <c r="F139" s="45">
        <f>I139+L139+O139+R139+U139+X139+AA139+AD139+AG139+AJ139+AM139+AP139</f>
        <v>160</v>
      </c>
      <c r="G139" s="45">
        <f>F139/E139*100</f>
        <v>100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20</v>
      </c>
      <c r="X139" s="45">
        <v>15.4</v>
      </c>
      <c r="Y139" s="45">
        <f t="shared" si="302"/>
        <v>77</v>
      </c>
      <c r="Z139" s="45">
        <f>13-7</f>
        <v>6</v>
      </c>
      <c r="AA139" s="45">
        <v>5.4</v>
      </c>
      <c r="AB139" s="45">
        <f t="shared" si="303"/>
        <v>90</v>
      </c>
      <c r="AC139" s="45">
        <v>21</v>
      </c>
      <c r="AD139" s="45">
        <v>21</v>
      </c>
      <c r="AE139" s="45">
        <f t="shared" si="304"/>
        <v>100</v>
      </c>
      <c r="AF139" s="45">
        <f>11.8+6+7</f>
        <v>24.8</v>
      </c>
      <c r="AG139" s="45">
        <v>23</v>
      </c>
      <c r="AH139" s="45">
        <f t="shared" si="306"/>
        <v>92.741935483870961</v>
      </c>
      <c r="AI139" s="45">
        <v>44.4</v>
      </c>
      <c r="AJ139" s="45">
        <v>44.4</v>
      </c>
      <c r="AK139" s="45">
        <f t="shared" si="308"/>
        <v>100</v>
      </c>
      <c r="AL139" s="45">
        <v>14</v>
      </c>
      <c r="AM139" s="45">
        <v>14</v>
      </c>
      <c r="AN139" s="45">
        <f t="shared" si="310"/>
        <v>100</v>
      </c>
      <c r="AO139" s="45">
        <v>29.8</v>
      </c>
      <c r="AP139" s="45">
        <v>36.799999999999997</v>
      </c>
      <c r="AQ139" s="45">
        <f t="shared" si="312"/>
        <v>123.48993288590601</v>
      </c>
      <c r="AR139" s="86"/>
      <c r="AS139" s="137"/>
      <c r="AT139" s="46"/>
      <c r="AU139" s="47"/>
    </row>
    <row r="140" spans="1:47" s="26" customFormat="1" ht="12.75">
      <c r="A140" s="151"/>
      <c r="B140" s="152"/>
      <c r="C140" s="153"/>
      <c r="D140" s="48" t="s">
        <v>90</v>
      </c>
      <c r="E140" s="44">
        <f>H140+K140+N140+Q140+T140+W140+Z140+AC140+AF140+AI140+AL140+AO140</f>
        <v>42179.399999999994</v>
      </c>
      <c r="F140" s="45">
        <f t="shared" ref="F140:F142" si="313">I140+L140+O140+R140+U140+X140+AA140+AD140+AG140+AJ140+AM140+AP140</f>
        <v>42179.399999999994</v>
      </c>
      <c r="G140" s="45">
        <f>F140/E140*100</f>
        <v>100</v>
      </c>
      <c r="H140" s="45">
        <f>940.1-74.6</f>
        <v>865.5</v>
      </c>
      <c r="I140" s="45">
        <v>865.5</v>
      </c>
      <c r="J140" s="45">
        <f>I140/H140*100</f>
        <v>100</v>
      </c>
      <c r="K140" s="45">
        <f>3347.9+189.5+39.9+74.6-4.5-60.5</f>
        <v>3586.9</v>
      </c>
      <c r="L140" s="45">
        <v>3390.9</v>
      </c>
      <c r="M140" s="45">
        <f>L140/K140*100</f>
        <v>94.535671471186816</v>
      </c>
      <c r="N140" s="45">
        <v>3123.3</v>
      </c>
      <c r="O140" s="45">
        <v>3108.2</v>
      </c>
      <c r="P140" s="45">
        <f>O140/N140*100</f>
        <v>99.516536996125879</v>
      </c>
      <c r="Q140" s="45">
        <f>3030.4+300.1</f>
        <v>3330.5</v>
      </c>
      <c r="R140" s="45">
        <v>3359.7</v>
      </c>
      <c r="S140" s="45">
        <f t="shared" ref="S140" si="314">R140/Q140*100</f>
        <v>100.87674523344843</v>
      </c>
      <c r="T140" s="45">
        <f>3443.2+349.5-4.5</f>
        <v>3788.2</v>
      </c>
      <c r="U140" s="45">
        <v>3782.4</v>
      </c>
      <c r="V140" s="45">
        <f t="shared" si="300"/>
        <v>99.846892983475016</v>
      </c>
      <c r="W140" s="45">
        <f>3126.3+400</f>
        <v>3526.3</v>
      </c>
      <c r="X140" s="45">
        <v>3535.6</v>
      </c>
      <c r="Y140" s="45">
        <f t="shared" si="302"/>
        <v>100.26373252417547</v>
      </c>
      <c r="Z140" s="45">
        <f>4182.3-818.9+1600-16.6</f>
        <v>4946.7999999999993</v>
      </c>
      <c r="AA140" s="45">
        <f>4881.6+48</f>
        <v>4929.6000000000004</v>
      </c>
      <c r="AB140" s="45">
        <f t="shared" si="303"/>
        <v>99.65230047707611</v>
      </c>
      <c r="AC140" s="45">
        <f>3637.3+564.8</f>
        <v>4202.1000000000004</v>
      </c>
      <c r="AD140" s="45">
        <v>4323.1000000000004</v>
      </c>
      <c r="AE140" s="45">
        <f t="shared" si="304"/>
        <v>102.87951262464006</v>
      </c>
      <c r="AF140" s="45">
        <v>3040.6</v>
      </c>
      <c r="AG140" s="45">
        <v>3024.8</v>
      </c>
      <c r="AH140" s="45">
        <f t="shared" si="306"/>
        <v>99.480365717292656</v>
      </c>
      <c r="AI140" s="45">
        <f>3407.1-700</f>
        <v>2707.1</v>
      </c>
      <c r="AJ140" s="45">
        <v>2689.4</v>
      </c>
      <c r="AK140" s="45">
        <f t="shared" si="308"/>
        <v>99.346163791511216</v>
      </c>
      <c r="AL140" s="45">
        <v>3274.1</v>
      </c>
      <c r="AM140" s="45">
        <v>3196.2</v>
      </c>
      <c r="AN140" s="45">
        <f t="shared" si="310"/>
        <v>97.620720197916981</v>
      </c>
      <c r="AO140" s="45">
        <f>6846.6-229.4-226.2-1932.3+329.3+700+300</f>
        <v>5788.0000000000009</v>
      </c>
      <c r="AP140" s="45">
        <v>5974</v>
      </c>
      <c r="AQ140" s="45">
        <f t="shared" si="312"/>
        <v>103.21354526606771</v>
      </c>
      <c r="AR140" s="86"/>
      <c r="AS140" s="137"/>
      <c r="AT140" s="46"/>
      <c r="AU140" s="47"/>
    </row>
    <row r="141" spans="1:47" s="26" customFormat="1" ht="24">
      <c r="A141" s="151"/>
      <c r="B141" s="152"/>
      <c r="C141" s="153"/>
      <c r="D141" s="55" t="s">
        <v>92</v>
      </c>
      <c r="E141" s="44">
        <f t="shared" ref="E141:E142" si="315">H141+K141+N141+Q141+T141+W141+Z141+AC141+AF141+AI141+AL141+AO141</f>
        <v>0</v>
      </c>
      <c r="F141" s="45">
        <f t="shared" si="313"/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86"/>
      <c r="AS141" s="137"/>
      <c r="AT141" s="46"/>
      <c r="AU141" s="47"/>
    </row>
    <row r="142" spans="1:47" s="26" customFormat="1" ht="24">
      <c r="A142" s="154"/>
      <c r="B142" s="155"/>
      <c r="C142" s="156"/>
      <c r="D142" s="55" t="s">
        <v>93</v>
      </c>
      <c r="E142" s="44">
        <f t="shared" si="315"/>
        <v>0</v>
      </c>
      <c r="F142" s="45">
        <f t="shared" si="313"/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0</v>
      </c>
      <c r="AO142" s="45">
        <v>0</v>
      </c>
      <c r="AP142" s="45">
        <v>0</v>
      </c>
      <c r="AQ142" s="45">
        <v>0</v>
      </c>
      <c r="AR142" s="86"/>
      <c r="AS142" s="137"/>
      <c r="AT142" s="46"/>
      <c r="AU142" s="47"/>
    </row>
    <row r="143" spans="1:47" s="26" customFormat="1" ht="12.75">
      <c r="A143" s="148" t="s">
        <v>165</v>
      </c>
      <c r="B143" s="149"/>
      <c r="C143" s="150"/>
      <c r="D143" s="55" t="s">
        <v>88</v>
      </c>
      <c r="E143" s="44">
        <f>E144+E145+E146</f>
        <v>0</v>
      </c>
      <c r="F143" s="45">
        <f>F144+F145+F146</f>
        <v>0</v>
      </c>
      <c r="G143" s="45">
        <v>0</v>
      </c>
      <c r="H143" s="45">
        <f t="shared" ref="H143:I143" si="316">H144+H145+H146</f>
        <v>0</v>
      </c>
      <c r="I143" s="45">
        <f t="shared" si="316"/>
        <v>0</v>
      </c>
      <c r="J143" s="45">
        <v>0</v>
      </c>
      <c r="K143" s="45">
        <f t="shared" ref="K143:L143" si="317">K144+K145+K146</f>
        <v>0</v>
      </c>
      <c r="L143" s="45">
        <f t="shared" si="317"/>
        <v>0</v>
      </c>
      <c r="M143" s="45">
        <v>0</v>
      </c>
      <c r="N143" s="45">
        <f t="shared" ref="N143:O143" si="318">N144+N145+N146</f>
        <v>0</v>
      </c>
      <c r="O143" s="45">
        <f t="shared" si="318"/>
        <v>0</v>
      </c>
      <c r="P143" s="45">
        <v>0</v>
      </c>
      <c r="Q143" s="45">
        <f t="shared" ref="Q143:R143" si="319">Q144+Q145+Q146</f>
        <v>0</v>
      </c>
      <c r="R143" s="45">
        <f t="shared" si="319"/>
        <v>0</v>
      </c>
      <c r="S143" s="45">
        <v>0</v>
      </c>
      <c r="T143" s="45">
        <f>T144+T145+T146</f>
        <v>0</v>
      </c>
      <c r="U143" s="45">
        <f t="shared" ref="U143" si="320">U144+U145+U146</f>
        <v>0</v>
      </c>
      <c r="V143" s="45">
        <v>0</v>
      </c>
      <c r="W143" s="45">
        <f t="shared" ref="W143:X143" si="321">W144+W145+W146</f>
        <v>0</v>
      </c>
      <c r="X143" s="45">
        <f t="shared" si="321"/>
        <v>0</v>
      </c>
      <c r="Y143" s="45">
        <v>0</v>
      </c>
      <c r="Z143" s="45">
        <f t="shared" ref="Z143:AA143" si="322">Z144+Z145+Z146</f>
        <v>0</v>
      </c>
      <c r="AA143" s="45">
        <f t="shared" si="322"/>
        <v>0</v>
      </c>
      <c r="AB143" s="45">
        <v>0</v>
      </c>
      <c r="AC143" s="45">
        <f t="shared" ref="AC143:AD143" si="323">AC144+AC145+AC146</f>
        <v>0</v>
      </c>
      <c r="AD143" s="45">
        <f t="shared" si="323"/>
        <v>0</v>
      </c>
      <c r="AE143" s="45">
        <v>0</v>
      </c>
      <c r="AF143" s="45">
        <f t="shared" ref="AF143:AG143" si="324">AF144+AF145+AF146</f>
        <v>0</v>
      </c>
      <c r="AG143" s="45">
        <f t="shared" si="324"/>
        <v>0</v>
      </c>
      <c r="AH143" s="45">
        <v>0</v>
      </c>
      <c r="AI143" s="45">
        <v>0</v>
      </c>
      <c r="AJ143" s="45">
        <f t="shared" ref="AJ143" si="325">AJ144+AJ145+AJ146</f>
        <v>0</v>
      </c>
      <c r="AK143" s="45">
        <v>0</v>
      </c>
      <c r="AL143" s="45">
        <f t="shared" ref="AL143:AM143" si="326">AL144+AL145+AL146</f>
        <v>0</v>
      </c>
      <c r="AM143" s="45">
        <f t="shared" si="326"/>
        <v>0</v>
      </c>
      <c r="AN143" s="45">
        <v>0</v>
      </c>
      <c r="AO143" s="45">
        <f t="shared" ref="AO143:AP143" si="327">AO144+AO145+AO146</f>
        <v>0</v>
      </c>
      <c r="AP143" s="45">
        <f t="shared" si="327"/>
        <v>0</v>
      </c>
      <c r="AQ143" s="69">
        <v>0</v>
      </c>
      <c r="AR143" s="86"/>
      <c r="AS143" s="137"/>
      <c r="AT143" s="46"/>
      <c r="AU143" s="47"/>
    </row>
    <row r="144" spans="1:47" s="26" customFormat="1" ht="48">
      <c r="A144" s="151"/>
      <c r="B144" s="152"/>
      <c r="C144" s="153"/>
      <c r="D144" s="48" t="s">
        <v>89</v>
      </c>
      <c r="E144" s="44">
        <f>H144+K144+N144+Q144+T144+W144+Z144+AC144+AF144+AI144+AL144+AO144</f>
        <v>0</v>
      </c>
      <c r="F144" s="45">
        <f>I144+L144+O144+R144+U144+X144+AA144+AD144+AG144+AJ144+AM144+AP144</f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69">
        <v>0</v>
      </c>
      <c r="AR144" s="86"/>
      <c r="AS144" s="137"/>
      <c r="AT144" s="46"/>
      <c r="AU144" s="47"/>
    </row>
    <row r="145" spans="1:63" s="26" customFormat="1" ht="12.75" customHeight="1">
      <c r="A145" s="151"/>
      <c r="B145" s="152"/>
      <c r="C145" s="153"/>
      <c r="D145" s="48" t="s">
        <v>90</v>
      </c>
      <c r="E145" s="44">
        <f>H145+K145+N145+Q145+T145+W145+Z145+AC145+AF145+AI145+AL145+AO145</f>
        <v>0</v>
      </c>
      <c r="F145" s="45">
        <f t="shared" ref="F145:F147" si="328">I145+L145+O145+R145+U145+X145+AA145+AD145+AG145+AJ145+AM145+AP145</f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69">
        <v>0</v>
      </c>
      <c r="AR145" s="86"/>
      <c r="AS145" s="137"/>
      <c r="AT145" s="46"/>
      <c r="AU145" s="47"/>
    </row>
    <row r="146" spans="1:63" s="26" customFormat="1" ht="24">
      <c r="A146" s="151"/>
      <c r="B146" s="152"/>
      <c r="C146" s="153"/>
      <c r="D146" s="55" t="s">
        <v>92</v>
      </c>
      <c r="E146" s="44">
        <f t="shared" ref="E146:E147" si="329">H146+K146+N146+Q146+T146+W146+Z146+AC146+AF146+AI146+AL146+AO146</f>
        <v>0</v>
      </c>
      <c r="F146" s="45">
        <f t="shared" si="328"/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0</v>
      </c>
      <c r="AI146" s="45">
        <v>0</v>
      </c>
      <c r="AJ146" s="45">
        <v>0</v>
      </c>
      <c r="AK146" s="45">
        <v>0</v>
      </c>
      <c r="AL146" s="45">
        <v>0</v>
      </c>
      <c r="AM146" s="45">
        <v>0</v>
      </c>
      <c r="AN146" s="45">
        <v>0</v>
      </c>
      <c r="AO146" s="45">
        <v>0</v>
      </c>
      <c r="AP146" s="45">
        <v>0</v>
      </c>
      <c r="AQ146" s="69">
        <v>0</v>
      </c>
      <c r="AR146" s="86"/>
      <c r="AS146" s="137"/>
      <c r="AT146" s="46"/>
      <c r="AU146" s="47"/>
    </row>
    <row r="147" spans="1:63" s="26" customFormat="1" ht="24">
      <c r="A147" s="154"/>
      <c r="B147" s="155"/>
      <c r="C147" s="156"/>
      <c r="D147" s="55" t="s">
        <v>93</v>
      </c>
      <c r="E147" s="44">
        <f t="shared" si="329"/>
        <v>0</v>
      </c>
      <c r="F147" s="45">
        <f t="shared" si="328"/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5">
        <v>0</v>
      </c>
      <c r="AF147" s="45">
        <v>0</v>
      </c>
      <c r="AG147" s="45">
        <v>0</v>
      </c>
      <c r="AH147" s="45">
        <v>0</v>
      </c>
      <c r="AI147" s="45">
        <v>0</v>
      </c>
      <c r="AJ147" s="45">
        <v>0</v>
      </c>
      <c r="AK147" s="45">
        <v>0</v>
      </c>
      <c r="AL147" s="45">
        <v>0</v>
      </c>
      <c r="AM147" s="45">
        <v>0</v>
      </c>
      <c r="AN147" s="45">
        <v>0</v>
      </c>
      <c r="AO147" s="45">
        <v>0</v>
      </c>
      <c r="AP147" s="45">
        <v>0</v>
      </c>
      <c r="AQ147" s="69">
        <v>0</v>
      </c>
      <c r="AR147" s="86"/>
      <c r="AS147" s="137"/>
      <c r="AT147" s="46"/>
      <c r="AU147" s="47"/>
    </row>
    <row r="148" spans="1:63" s="26" customFormat="1">
      <c r="A148" s="70"/>
      <c r="B148" s="70"/>
      <c r="C148" s="70"/>
      <c r="D148" s="71"/>
      <c r="E148" s="72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4"/>
      <c r="AS148" s="75"/>
      <c r="AT148" s="46"/>
      <c r="AU148" s="47"/>
    </row>
    <row r="149" spans="1:63" s="26" customFormat="1">
      <c r="A149" s="70"/>
      <c r="B149" s="70"/>
      <c r="C149" s="70"/>
      <c r="D149" s="71"/>
      <c r="E149" s="72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4"/>
      <c r="AS149" s="75"/>
      <c r="AT149" s="46"/>
      <c r="AU149" s="47"/>
    </row>
    <row r="150" spans="1:63" s="26" customFormat="1">
      <c r="A150" s="76"/>
      <c r="B150" s="76"/>
      <c r="C150" s="76"/>
      <c r="D150" s="71"/>
      <c r="E150" s="72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4"/>
      <c r="AS150" s="75"/>
      <c r="AT150" s="46"/>
      <c r="AU150" s="47"/>
    </row>
    <row r="151" spans="1:63" s="26" customFormat="1">
      <c r="A151" s="76"/>
      <c r="B151" s="76"/>
      <c r="C151" s="76"/>
      <c r="D151" s="71"/>
      <c r="E151" s="72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  <c r="AS151" s="75"/>
      <c r="AT151" s="46"/>
      <c r="AU151" s="47"/>
    </row>
    <row r="152" spans="1:63" s="26" customFormat="1" ht="15" customHeight="1">
      <c r="A152" s="13" t="s">
        <v>166</v>
      </c>
      <c r="B152" s="13"/>
      <c r="C152" s="13"/>
      <c r="D152" s="23"/>
      <c r="E152" s="77"/>
      <c r="F152" s="78"/>
      <c r="G152" s="79" t="s">
        <v>167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80"/>
      <c r="BH152" s="22"/>
      <c r="BI152" s="22"/>
      <c r="BJ152" s="22"/>
      <c r="BK152" s="22"/>
    </row>
    <row r="153" spans="1:63" s="26" customFormat="1" ht="15" customHeight="1">
      <c r="A153" s="157" t="s">
        <v>168</v>
      </c>
      <c r="B153" s="157"/>
      <c r="C153" s="157"/>
      <c r="D153" s="23"/>
      <c r="E153" s="77"/>
      <c r="F153" s="78"/>
      <c r="G153" s="79" t="s">
        <v>169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</row>
    <row r="154" spans="1:63" s="26" customFormat="1" ht="24" customHeight="1">
      <c r="A154" s="158" t="s">
        <v>170</v>
      </c>
      <c r="B154" s="158"/>
      <c r="C154" s="158"/>
      <c r="D154" s="158"/>
      <c r="E154" s="158"/>
      <c r="F154" s="78"/>
      <c r="G154" s="79" t="s">
        <v>171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</row>
    <row r="155" spans="1:63">
      <c r="AO155" s="1"/>
      <c r="AR155" s="68"/>
    </row>
    <row r="156" spans="1:63">
      <c r="AO156" s="1"/>
      <c r="AR156" s="68"/>
    </row>
    <row r="157" spans="1:63">
      <c r="AO157" s="1"/>
      <c r="AR157" s="68"/>
    </row>
    <row r="158" spans="1:63">
      <c r="AO158" s="1"/>
      <c r="AR158" s="68"/>
    </row>
    <row r="159" spans="1:63">
      <c r="AO159" s="1"/>
      <c r="AR159" s="68"/>
    </row>
    <row r="160" spans="1:63">
      <c r="AO160" s="1"/>
      <c r="AR160" s="68"/>
    </row>
    <row r="161" spans="41:44">
      <c r="AO161" s="1"/>
      <c r="AR161" s="68"/>
    </row>
    <row r="162" spans="41:44">
      <c r="AO162" s="1"/>
      <c r="AR162" s="68"/>
    </row>
    <row r="163" spans="41:44">
      <c r="AO163" s="1"/>
      <c r="AR163" s="68"/>
    </row>
    <row r="164" spans="41:44">
      <c r="AO164" s="1"/>
      <c r="AR164" s="68"/>
    </row>
    <row r="165" spans="41:44">
      <c r="AO165" s="1"/>
      <c r="AR165" s="68"/>
    </row>
    <row r="166" spans="41:44">
      <c r="AO166" s="1"/>
      <c r="AR166" s="68"/>
    </row>
    <row r="167" spans="41:44">
      <c r="AO167" s="1"/>
      <c r="AR167" s="68"/>
    </row>
    <row r="168" spans="41:44">
      <c r="AO168" s="1"/>
      <c r="AR168" s="68"/>
    </row>
    <row r="169" spans="41:44">
      <c r="AO169" s="1"/>
      <c r="AR169" s="68"/>
    </row>
    <row r="170" spans="41:44">
      <c r="AO170" s="1"/>
      <c r="AR170" s="68"/>
    </row>
    <row r="171" spans="41:44">
      <c r="AO171" s="1"/>
      <c r="AR171" s="68"/>
    </row>
    <row r="172" spans="41:44">
      <c r="AO172" s="1"/>
      <c r="AR172" s="68"/>
    </row>
    <row r="173" spans="41:44">
      <c r="AO173" s="1"/>
      <c r="AR173" s="68"/>
    </row>
    <row r="174" spans="41:44">
      <c r="AO174" s="1"/>
      <c r="AR174" s="68"/>
    </row>
    <row r="175" spans="41:44">
      <c r="AO175" s="1"/>
      <c r="AR175" s="68"/>
    </row>
    <row r="176" spans="41:44">
      <c r="AO176" s="1"/>
      <c r="AR176" s="68"/>
    </row>
  </sheetData>
  <mergeCells count="126">
    <mergeCell ref="A143:C147"/>
    <mergeCell ref="AR143:AR147"/>
    <mergeCell ref="AS143:AS147"/>
    <mergeCell ref="A153:C153"/>
    <mergeCell ref="A154:E154"/>
    <mergeCell ref="A133:C137"/>
    <mergeCell ref="AR133:AR137"/>
    <mergeCell ref="AS133:AS137"/>
    <mergeCell ref="A138:C142"/>
    <mergeCell ref="AR138:AR142"/>
    <mergeCell ref="AS138:AS142"/>
    <mergeCell ref="A123:C127"/>
    <mergeCell ref="AR123:AR127"/>
    <mergeCell ref="AS123:AS127"/>
    <mergeCell ref="A128:C132"/>
    <mergeCell ref="AR128:AR132"/>
    <mergeCell ref="AS128:AS132"/>
    <mergeCell ref="A114:C117"/>
    <mergeCell ref="AR114:AR117"/>
    <mergeCell ref="AS114:AS117"/>
    <mergeCell ref="A118:C122"/>
    <mergeCell ref="AR118:AR122"/>
    <mergeCell ref="AS118:AS122"/>
    <mergeCell ref="A103:C103"/>
    <mergeCell ref="A104:C108"/>
    <mergeCell ref="AR104:AR108"/>
    <mergeCell ref="AS104:AS108"/>
    <mergeCell ref="A109:C113"/>
    <mergeCell ref="AR109:AR113"/>
    <mergeCell ref="AS109:AS113"/>
    <mergeCell ref="A93:C97"/>
    <mergeCell ref="AR93:AR97"/>
    <mergeCell ref="AS93:AS97"/>
    <mergeCell ref="A98:C102"/>
    <mergeCell ref="AR98:AR102"/>
    <mergeCell ref="AS98:AS102"/>
    <mergeCell ref="A82:A86"/>
    <mergeCell ref="B82:B86"/>
    <mergeCell ref="C82:C86"/>
    <mergeCell ref="AR82:AR86"/>
    <mergeCell ref="AS82:AS86"/>
    <mergeCell ref="A87:C92"/>
    <mergeCell ref="AR87:AR92"/>
    <mergeCell ref="AS87:AS92"/>
    <mergeCell ref="A72:A76"/>
    <mergeCell ref="B72:C76"/>
    <mergeCell ref="AR72:AR76"/>
    <mergeCell ref="AS72:AS76"/>
    <mergeCell ref="A77:A81"/>
    <mergeCell ref="B77:B81"/>
    <mergeCell ref="C77:C81"/>
    <mergeCell ref="AR77:AR81"/>
    <mergeCell ref="AS77:AS81"/>
    <mergeCell ref="A61:A65"/>
    <mergeCell ref="B61:C65"/>
    <mergeCell ref="AR61:AR65"/>
    <mergeCell ref="AS61:AS65"/>
    <mergeCell ref="A67:A71"/>
    <mergeCell ref="B67:B71"/>
    <mergeCell ref="C67:C71"/>
    <mergeCell ref="AR67:AR71"/>
    <mergeCell ref="AS67:AS71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11:A16"/>
    <mergeCell ref="B11:C16"/>
    <mergeCell ref="AR11:AR16"/>
    <mergeCell ref="AS11:AS16"/>
    <mergeCell ref="Q9:S9"/>
    <mergeCell ref="T9:V9"/>
    <mergeCell ref="W9:Y9"/>
    <mergeCell ref="Z9:AB9"/>
    <mergeCell ref="AC9:AE9"/>
    <mergeCell ref="AF9:AH9"/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</mergeCells>
  <conditionalFormatting sqref="H121 H132 H127 H138 M90 P90 G90:G93 G95 S70 M67:M69 J69 P69 P67 E15:F15 T52 H34 G50 G45 H22 H15:I15 K15:L15 N15:O15 T49 G47 H41:H53 H32 G38:G39 G36 G56:G88 G41:G42 M41 P41 G20:H20 M20 P20 E14:I14 K14:P14 V41 Y41">
    <cfRule type="cellIs" dxfId="1" priority="2" stopIfTrue="1" operator="notEqual">
      <formula>#REF!</formula>
    </cfRule>
  </conditionalFormatting>
  <conditionalFormatting sqref="G72:G86">
    <cfRule type="cellIs" dxfId="0" priority="1" stopIfTrue="1" operator="notEqual">
      <formula>#REF!</formula>
    </cfRule>
  </conditionalFormatting>
  <pageMargins left="0.43307086614173229" right="0.11811023622047245" top="0.11811023622047245" bottom="0.11811023622047245" header="0.11811023622047245" footer="0.11811023622047245"/>
  <pageSetup paperSize="9" scale="30" fitToHeight="7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9" workbookViewId="0">
      <selection activeCell="E22" sqref="E22"/>
    </sheetView>
  </sheetViews>
  <sheetFormatPr defaultRowHeight="15"/>
  <cols>
    <col min="1" max="1" width="6.5703125" style="1" customWidth="1"/>
    <col min="2" max="2" width="36.85546875" style="1" customWidth="1"/>
    <col min="3" max="3" width="8.7109375" style="1" customWidth="1"/>
    <col min="4" max="4" width="13.140625" style="1" customWidth="1"/>
    <col min="5" max="5" width="13.7109375" style="1" customWidth="1"/>
    <col min="6" max="6" width="13.42578125" style="1" customWidth="1"/>
    <col min="7" max="7" width="38.28515625" style="1" customWidth="1"/>
    <col min="8" max="16384" width="9.140625" style="1"/>
  </cols>
  <sheetData>
    <row r="1" spans="1:9">
      <c r="G1" s="2" t="s">
        <v>0</v>
      </c>
    </row>
    <row r="2" spans="1:9" ht="7.5" customHeight="1"/>
    <row r="3" spans="1:9" ht="15.75">
      <c r="A3" s="159" t="s">
        <v>1</v>
      </c>
      <c r="B3" s="159"/>
      <c r="C3" s="159"/>
      <c r="D3" s="159"/>
      <c r="E3" s="159"/>
      <c r="F3" s="159"/>
      <c r="G3" s="159"/>
    </row>
    <row r="4" spans="1:9" ht="15.75">
      <c r="A4" s="159" t="s">
        <v>2</v>
      </c>
      <c r="B4" s="159"/>
      <c r="C4" s="159"/>
      <c r="D4" s="159"/>
      <c r="E4" s="159"/>
      <c r="F4" s="159"/>
      <c r="G4" s="159"/>
    </row>
    <row r="5" spans="1:9" ht="15.75">
      <c r="A5" s="159" t="s">
        <v>3</v>
      </c>
      <c r="B5" s="159"/>
      <c r="C5" s="159"/>
      <c r="D5" s="159"/>
      <c r="E5" s="159"/>
      <c r="F5" s="159"/>
      <c r="G5" s="159"/>
    </row>
    <row r="6" spans="1:9" ht="15.75">
      <c r="A6" s="159" t="s">
        <v>56</v>
      </c>
      <c r="B6" s="159"/>
      <c r="C6" s="159"/>
      <c r="D6" s="159"/>
      <c r="E6" s="159"/>
      <c r="F6" s="159"/>
      <c r="G6" s="159"/>
    </row>
    <row r="7" spans="1:9" ht="15.75">
      <c r="A7" s="3"/>
    </row>
    <row r="8" spans="1:9" ht="61.5" customHeight="1">
      <c r="A8" s="160" t="s">
        <v>4</v>
      </c>
      <c r="B8" s="161" t="s">
        <v>5</v>
      </c>
      <c r="C8" s="161" t="s">
        <v>6</v>
      </c>
      <c r="D8" s="161" t="s">
        <v>7</v>
      </c>
      <c r="E8" s="161"/>
      <c r="F8" s="162" t="s">
        <v>8</v>
      </c>
      <c r="G8" s="162" t="s">
        <v>9</v>
      </c>
    </row>
    <row r="9" spans="1:9" ht="31.5">
      <c r="A9" s="160"/>
      <c r="B9" s="161"/>
      <c r="C9" s="161"/>
      <c r="D9" s="4" t="s">
        <v>10</v>
      </c>
      <c r="E9" s="4" t="s">
        <v>11</v>
      </c>
      <c r="F9" s="163"/>
      <c r="G9" s="163"/>
    </row>
    <row r="10" spans="1:9" ht="15.75">
      <c r="A10" s="160"/>
      <c r="B10" s="161"/>
      <c r="C10" s="161"/>
      <c r="D10" s="4" t="s">
        <v>12</v>
      </c>
      <c r="E10" s="4" t="s">
        <v>13</v>
      </c>
      <c r="F10" s="164"/>
      <c r="G10" s="164"/>
    </row>
    <row r="11" spans="1:9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</row>
    <row r="12" spans="1:9" ht="69" customHeight="1">
      <c r="A12" s="7" t="s">
        <v>14</v>
      </c>
      <c r="B12" s="8" t="s">
        <v>15</v>
      </c>
      <c r="C12" s="7" t="s">
        <v>16</v>
      </c>
      <c r="D12" s="6">
        <v>53.7</v>
      </c>
      <c r="E12" s="6">
        <v>53.7</v>
      </c>
      <c r="F12" s="9">
        <v>100</v>
      </c>
      <c r="G12" s="81" t="s">
        <v>172</v>
      </c>
    </row>
    <row r="13" spans="1:9" ht="78.75" customHeight="1">
      <c r="A13" s="7" t="s">
        <v>17</v>
      </c>
      <c r="B13" s="8" t="s">
        <v>18</v>
      </c>
      <c r="C13" s="7" t="s">
        <v>19</v>
      </c>
      <c r="D13" s="7">
        <v>7541.6</v>
      </c>
      <c r="E13" s="7">
        <v>7313.1</v>
      </c>
      <c r="F13" s="9">
        <v>103</v>
      </c>
      <c r="G13" s="81" t="s">
        <v>173</v>
      </c>
      <c r="I13" s="10"/>
    </row>
    <row r="14" spans="1:9" ht="45" customHeight="1">
      <c r="A14" s="7" t="s">
        <v>20</v>
      </c>
      <c r="B14" s="11" t="s">
        <v>21</v>
      </c>
      <c r="C14" s="7" t="s">
        <v>22</v>
      </c>
      <c r="D14" s="7">
        <v>678</v>
      </c>
      <c r="E14" s="7">
        <v>674</v>
      </c>
      <c r="F14" s="9">
        <v>99.4</v>
      </c>
      <c r="G14" s="8"/>
    </row>
    <row r="15" spans="1:9" ht="45" customHeight="1">
      <c r="A15" s="7" t="s">
        <v>23</v>
      </c>
      <c r="B15" s="11" t="s">
        <v>24</v>
      </c>
      <c r="C15" s="7" t="s">
        <v>16</v>
      </c>
      <c r="D15" s="9">
        <v>100</v>
      </c>
      <c r="E15" s="9">
        <v>100</v>
      </c>
      <c r="F15" s="9">
        <v>100</v>
      </c>
      <c r="G15" s="8"/>
    </row>
    <row r="16" spans="1:9" ht="78" customHeight="1">
      <c r="A16" s="7" t="s">
        <v>25</v>
      </c>
      <c r="B16" s="11" t="s">
        <v>26</v>
      </c>
      <c r="C16" s="7" t="s">
        <v>16</v>
      </c>
      <c r="D16" s="7" t="s">
        <v>27</v>
      </c>
      <c r="E16" s="7">
        <v>0</v>
      </c>
      <c r="F16" s="9">
        <v>100</v>
      </c>
      <c r="G16" s="81" t="s">
        <v>173</v>
      </c>
    </row>
    <row r="17" spans="1:7" ht="64.5" customHeight="1">
      <c r="A17" s="7" t="s">
        <v>28</v>
      </c>
      <c r="B17" s="11" t="s">
        <v>29</v>
      </c>
      <c r="C17" s="7" t="s">
        <v>16</v>
      </c>
      <c r="D17" s="7" t="s">
        <v>30</v>
      </c>
      <c r="E17" s="7">
        <v>93.6</v>
      </c>
      <c r="F17" s="9">
        <v>100</v>
      </c>
      <c r="G17" s="8"/>
    </row>
    <row r="18" spans="1:7" ht="60.75" customHeight="1">
      <c r="A18" s="7" t="s">
        <v>31</v>
      </c>
      <c r="B18" s="11" t="s">
        <v>32</v>
      </c>
      <c r="C18" s="7" t="s">
        <v>16</v>
      </c>
      <c r="D18" s="7" t="s">
        <v>33</v>
      </c>
      <c r="E18" s="7">
        <v>98.7</v>
      </c>
      <c r="F18" s="9">
        <v>100</v>
      </c>
      <c r="G18" s="8"/>
    </row>
    <row r="19" spans="1:7" ht="141" customHeight="1">
      <c r="A19" s="7" t="s">
        <v>34</v>
      </c>
      <c r="B19" s="11" t="s">
        <v>35</v>
      </c>
      <c r="C19" s="7" t="s">
        <v>36</v>
      </c>
      <c r="D19" s="7" t="s">
        <v>37</v>
      </c>
      <c r="E19" s="7">
        <v>0.4</v>
      </c>
      <c r="F19" s="9">
        <v>100</v>
      </c>
      <c r="G19" s="81" t="s">
        <v>176</v>
      </c>
    </row>
    <row r="20" spans="1:7" ht="45" customHeight="1">
      <c r="A20" s="7" t="s">
        <v>38</v>
      </c>
      <c r="B20" s="11" t="s">
        <v>39</v>
      </c>
      <c r="C20" s="7" t="s">
        <v>36</v>
      </c>
      <c r="D20" s="7" t="s">
        <v>40</v>
      </c>
      <c r="E20" s="7" t="s">
        <v>40</v>
      </c>
      <c r="F20" s="7" t="s">
        <v>40</v>
      </c>
      <c r="G20" s="8" t="s">
        <v>59</v>
      </c>
    </row>
    <row r="21" spans="1:7" ht="290.25" customHeight="1">
      <c r="A21" s="7" t="s">
        <v>41</v>
      </c>
      <c r="B21" s="8" t="s">
        <v>42</v>
      </c>
      <c r="C21" s="7" t="s">
        <v>16</v>
      </c>
      <c r="D21" s="7">
        <v>48.5</v>
      </c>
      <c r="E21" s="7">
        <v>48.5</v>
      </c>
      <c r="F21" s="9">
        <v>100</v>
      </c>
      <c r="G21" s="8"/>
    </row>
    <row r="22" spans="1:7" ht="119.25" customHeight="1">
      <c r="A22" s="6" t="s">
        <v>43</v>
      </c>
      <c r="B22" s="11" t="s">
        <v>44</v>
      </c>
      <c r="C22" s="6" t="s">
        <v>16</v>
      </c>
      <c r="D22" s="9">
        <v>43</v>
      </c>
      <c r="E22" s="9">
        <v>43</v>
      </c>
      <c r="F22" s="9">
        <v>100</v>
      </c>
      <c r="G22" s="8"/>
    </row>
    <row r="23" spans="1:7" ht="183" customHeight="1">
      <c r="A23" s="6" t="s">
        <v>45</v>
      </c>
      <c r="B23" s="11" t="s">
        <v>46</v>
      </c>
      <c r="C23" s="7" t="s">
        <v>22</v>
      </c>
      <c r="D23" s="7" t="s">
        <v>40</v>
      </c>
      <c r="E23" s="7" t="s">
        <v>40</v>
      </c>
      <c r="F23" s="7" t="s">
        <v>40</v>
      </c>
      <c r="G23" s="8" t="s">
        <v>174</v>
      </c>
    </row>
    <row r="24" spans="1:7" ht="78" customHeight="1">
      <c r="A24" s="6" t="s">
        <v>47</v>
      </c>
      <c r="B24" s="8" t="s">
        <v>48</v>
      </c>
      <c r="C24" s="7" t="s">
        <v>16</v>
      </c>
      <c r="D24" s="7" t="s">
        <v>40</v>
      </c>
      <c r="E24" s="7" t="s">
        <v>40</v>
      </c>
      <c r="F24" s="7" t="s">
        <v>40</v>
      </c>
      <c r="G24" s="8" t="s">
        <v>58</v>
      </c>
    </row>
    <row r="25" spans="1:7" ht="86.25" customHeight="1">
      <c r="A25" s="6" t="s">
        <v>49</v>
      </c>
      <c r="B25" s="8" t="s">
        <v>50</v>
      </c>
      <c r="C25" s="6" t="s">
        <v>51</v>
      </c>
      <c r="D25" s="6" t="s">
        <v>40</v>
      </c>
      <c r="E25" s="6" t="s">
        <v>40</v>
      </c>
      <c r="F25" s="6" t="s">
        <v>40</v>
      </c>
      <c r="G25" s="8" t="s">
        <v>58</v>
      </c>
    </row>
    <row r="26" spans="1:7" ht="15.75">
      <c r="A26" s="12"/>
    </row>
    <row r="27" spans="1:7" ht="15.75">
      <c r="A27" s="13" t="s">
        <v>52</v>
      </c>
      <c r="B27" s="13"/>
    </row>
    <row r="28" spans="1:7" ht="15.75">
      <c r="A28" s="13" t="s">
        <v>53</v>
      </c>
      <c r="B28" s="13"/>
    </row>
    <row r="29" spans="1:7" ht="15.75">
      <c r="A29" s="157" t="s">
        <v>54</v>
      </c>
      <c r="B29" s="157"/>
      <c r="D29" s="14"/>
      <c r="E29" s="157" t="s">
        <v>55</v>
      </c>
      <c r="F29" s="157"/>
    </row>
    <row r="30" spans="1:7" ht="15.75">
      <c r="A30" s="157" t="s">
        <v>57</v>
      </c>
      <c r="B30" s="157"/>
    </row>
  </sheetData>
  <mergeCells count="13">
    <mergeCell ref="A29:B29"/>
    <mergeCell ref="E29:F29"/>
    <mergeCell ref="A30:B30"/>
    <mergeCell ref="A3:G3"/>
    <mergeCell ref="A4:G4"/>
    <mergeCell ref="A5:G5"/>
    <mergeCell ref="A6:G6"/>
    <mergeCell ref="A8:A10"/>
    <mergeCell ref="B8:B10"/>
    <mergeCell ref="C8:C10"/>
    <mergeCell ref="D8:E8"/>
    <mergeCell ref="F8:F10"/>
    <mergeCell ref="G8:G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2024-03-28T07:08:39Z</dcterms:modified>
</cp:coreProperties>
</file>