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 yWindow="-180" windowWidth="21330" windowHeight="9375"/>
  </bookViews>
  <sheets>
    <sheet name="Таблица 1" sheetId="14" r:id="rId1"/>
    <sheet name="Таблица 2" sheetId="15" r:id="rId2"/>
  </sheets>
  <definedNames>
    <definedName name="_xlnm.Print_Area" localSheetId="0">'Таблица 1'!$A$2:$AS$337</definedName>
  </definedNames>
  <calcPr calcId="144525" refMode="R1C1"/>
</workbook>
</file>

<file path=xl/calcChain.xml><?xml version="1.0" encoding="utf-8"?>
<calcChain xmlns="http://schemas.openxmlformats.org/spreadsheetml/2006/main">
  <c r="F36" i="15" l="1"/>
  <c r="F35" i="15"/>
  <c r="F34" i="15"/>
  <c r="F33" i="15"/>
  <c r="F32" i="15"/>
  <c r="F31" i="15"/>
  <c r="F30" i="15"/>
  <c r="F28" i="15"/>
  <c r="F27" i="15"/>
  <c r="F26" i="15"/>
  <c r="F25" i="15"/>
  <c r="F24" i="15"/>
  <c r="F23" i="15"/>
  <c r="F22" i="15"/>
  <c r="F21" i="15"/>
  <c r="F20" i="15"/>
  <c r="F19" i="15"/>
  <c r="F18" i="15"/>
  <c r="F15" i="15"/>
  <c r="F14" i="15"/>
  <c r="F13" i="15"/>
  <c r="F12" i="15"/>
  <c r="F10" i="15"/>
  <c r="F8" i="15"/>
  <c r="AK84" i="14" l="1"/>
  <c r="AP276" i="14" l="1"/>
  <c r="AL49" i="14" l="1"/>
  <c r="AI325" i="14" l="1"/>
  <c r="Z325" i="14"/>
  <c r="AL274" i="14"/>
  <c r="N274" i="14"/>
  <c r="Z28" i="14"/>
  <c r="N28" i="14"/>
  <c r="AO189" i="14" l="1"/>
  <c r="W189" i="14"/>
  <c r="Q274" i="14"/>
  <c r="AI274" i="14"/>
  <c r="Z49" i="14"/>
  <c r="AG49" i="14"/>
  <c r="AP315" i="14"/>
  <c r="AP308" i="14"/>
  <c r="AP302" i="14"/>
  <c r="AP296" i="14"/>
  <c r="AP36" i="14"/>
  <c r="AP37" i="14"/>
  <c r="AP38" i="14"/>
  <c r="AP35" i="14" l="1"/>
  <c r="AA319" i="14"/>
  <c r="Z319" i="14"/>
  <c r="AA318" i="14"/>
  <c r="AA317" i="14"/>
  <c r="AD319" i="14"/>
  <c r="AC319" i="14"/>
  <c r="AD318" i="14"/>
  <c r="AC318" i="14"/>
  <c r="AD317" i="14"/>
  <c r="AC317" i="14"/>
  <c r="AG319" i="14"/>
  <c r="AF319" i="14"/>
  <c r="AG318" i="14"/>
  <c r="AF318" i="14"/>
  <c r="AG317" i="14"/>
  <c r="AF317" i="14"/>
  <c r="AP319" i="14"/>
  <c r="AO319" i="14"/>
  <c r="AP318" i="14"/>
  <c r="AO318" i="14"/>
  <c r="AP317" i="14"/>
  <c r="AO317" i="14"/>
  <c r="AM319" i="14"/>
  <c r="AL319" i="14"/>
  <c r="AM318" i="14"/>
  <c r="AM317" i="14"/>
  <c r="AL317" i="14"/>
  <c r="AI318" i="14"/>
  <c r="AJ318" i="14"/>
  <c r="AI319" i="14"/>
  <c r="AJ319" i="14"/>
  <c r="AJ317" i="14"/>
  <c r="AP46" i="14" l="1"/>
  <c r="AL324" i="14"/>
  <c r="AP321" i="14"/>
  <c r="AP298" i="14"/>
  <c r="AP299" i="14"/>
  <c r="AP300" i="14"/>
  <c r="AP287" i="14"/>
  <c r="AP288" i="14"/>
  <c r="AP289" i="14"/>
  <c r="AP271" i="14"/>
  <c r="W278" i="14"/>
  <c r="W273" i="14"/>
  <c r="Z273" i="14"/>
  <c r="AO273" i="14"/>
  <c r="AP265" i="14"/>
  <c r="AP266" i="14"/>
  <c r="AP267" i="14"/>
  <c r="AO241" i="14"/>
  <c r="AP238" i="14"/>
  <c r="W241" i="14"/>
  <c r="AI224" i="14"/>
  <c r="W224" i="14"/>
  <c r="AO225" i="14"/>
  <c r="W225" i="14"/>
  <c r="AI229" i="14"/>
  <c r="W229" i="14"/>
  <c r="AP233" i="14"/>
  <c r="AP234" i="14"/>
  <c r="AP235" i="14"/>
  <c r="AO230" i="14"/>
  <c r="AL229" i="14"/>
  <c r="T228" i="14"/>
  <c r="Q228" i="14"/>
  <c r="AP227" i="14"/>
  <c r="AP222" i="14"/>
  <c r="T223" i="14"/>
  <c r="Q223" i="14"/>
  <c r="AL188" i="14"/>
  <c r="AC188" i="14"/>
  <c r="T188" i="14"/>
  <c r="AF188" i="14"/>
  <c r="N188" i="14"/>
  <c r="AF189" i="14"/>
  <c r="Z189" i="14"/>
  <c r="N189" i="14"/>
  <c r="AP197" i="14"/>
  <c r="AP198" i="14"/>
  <c r="AP186" i="14"/>
  <c r="AP264" i="14" l="1"/>
  <c r="AP232" i="14"/>
  <c r="AP286" i="14"/>
  <c r="AP316" i="14"/>
  <c r="AP181" i="14"/>
  <c r="AP179" i="14"/>
  <c r="AO179" i="14"/>
  <c r="AQ174" i="14"/>
  <c r="AP171" i="14"/>
  <c r="AP155" i="14"/>
  <c r="AQ157" i="14"/>
  <c r="AQ156" i="14"/>
  <c r="AP163" i="14"/>
  <c r="AP162" i="14"/>
  <c r="AP161" i="14"/>
  <c r="AP160" i="14" s="1"/>
  <c r="AM163" i="14"/>
  <c r="AL163" i="14"/>
  <c r="AM162" i="14"/>
  <c r="AL162" i="14"/>
  <c r="AM161" i="14"/>
  <c r="AL161" i="14"/>
  <c r="AJ163" i="14"/>
  <c r="AJ162" i="14"/>
  <c r="AI162" i="14"/>
  <c r="AJ161" i="14"/>
  <c r="AI161" i="14"/>
  <c r="AG163" i="14"/>
  <c r="AG162" i="14"/>
  <c r="AG161" i="14"/>
  <c r="AF161" i="14"/>
  <c r="AD163" i="14"/>
  <c r="AC163" i="14"/>
  <c r="AD162" i="14"/>
  <c r="AC162" i="14"/>
  <c r="AD161" i="14"/>
  <c r="AA163" i="14"/>
  <c r="AA162" i="14"/>
  <c r="Z162" i="14"/>
  <c r="AA161" i="14"/>
  <c r="Z161" i="14"/>
  <c r="X163" i="14"/>
  <c r="X162" i="14"/>
  <c r="X161" i="14"/>
  <c r="U163" i="14"/>
  <c r="U162" i="14"/>
  <c r="T162" i="14"/>
  <c r="U161" i="14"/>
  <c r="R163" i="14"/>
  <c r="R162" i="14"/>
  <c r="Q162" i="14"/>
  <c r="R161" i="14"/>
  <c r="Q161" i="14"/>
  <c r="O163" i="14"/>
  <c r="O162" i="14"/>
  <c r="O161" i="14"/>
  <c r="N161" i="14"/>
  <c r="L163" i="14"/>
  <c r="K163" i="14"/>
  <c r="L162" i="14"/>
  <c r="L161" i="14"/>
  <c r="K161" i="14"/>
  <c r="H162" i="14"/>
  <c r="I162" i="14"/>
  <c r="I163" i="14"/>
  <c r="I161" i="14"/>
  <c r="H161" i="14"/>
  <c r="F159" i="14"/>
  <c r="E159" i="14"/>
  <c r="T158" i="14"/>
  <c r="F158" i="14"/>
  <c r="E158" i="14"/>
  <c r="F157" i="14"/>
  <c r="E157" i="14"/>
  <c r="F156" i="14"/>
  <c r="E156" i="14"/>
  <c r="AO155" i="14"/>
  <c r="AM155" i="14"/>
  <c r="AL155" i="14"/>
  <c r="AJ155" i="14"/>
  <c r="AI155" i="14"/>
  <c r="AG155" i="14"/>
  <c r="AF155" i="14"/>
  <c r="AD155" i="14"/>
  <c r="AC155" i="14"/>
  <c r="AA155" i="14"/>
  <c r="Z155" i="14"/>
  <c r="X155" i="14"/>
  <c r="W155" i="14"/>
  <c r="U155" i="14"/>
  <c r="T155" i="14"/>
  <c r="R155" i="14"/>
  <c r="Q155" i="14"/>
  <c r="O155" i="14"/>
  <c r="N155" i="14"/>
  <c r="L155" i="14"/>
  <c r="K155" i="14"/>
  <c r="H155" i="14"/>
  <c r="F155" i="14"/>
  <c r="N142" i="14"/>
  <c r="N162" i="14" s="1"/>
  <c r="AF142" i="14"/>
  <c r="W142" i="14"/>
  <c r="W162" i="14" s="1"/>
  <c r="AP135" i="14"/>
  <c r="AO138" i="14"/>
  <c r="AF138" i="14"/>
  <c r="AP130" i="14"/>
  <c r="AO133" i="14"/>
  <c r="AO123" i="14"/>
  <c r="AO122" i="14"/>
  <c r="AP125" i="14"/>
  <c r="AP120" i="14"/>
  <c r="AC126" i="14"/>
  <c r="T126" i="14"/>
  <c r="AC121" i="14"/>
  <c r="AC161" i="14" s="1"/>
  <c r="T121" i="14"/>
  <c r="T161" i="14" s="1"/>
  <c r="AP110" i="14"/>
  <c r="T108" i="14"/>
  <c r="AP95" i="14"/>
  <c r="W98" i="14"/>
  <c r="Q95" i="14"/>
  <c r="T95" i="14"/>
  <c r="AP90" i="14"/>
  <c r="AO162" i="14" l="1"/>
  <c r="E155" i="14"/>
  <c r="G156" i="14"/>
  <c r="G157" i="14"/>
  <c r="AP199" i="14"/>
  <c r="AP196" i="14" s="1"/>
  <c r="AO163" i="14"/>
  <c r="G155" i="14"/>
  <c r="AQ155" i="14"/>
  <c r="AP176" i="14"/>
  <c r="AQ179" i="14"/>
  <c r="AP72" i="14"/>
  <c r="AC28" i="14"/>
  <c r="AP30" i="14"/>
  <c r="AO32" i="14"/>
  <c r="AP25" i="14"/>
  <c r="AO27" i="14"/>
  <c r="AO28" i="14"/>
  <c r="AM325" i="14" l="1"/>
  <c r="AM274" i="14" l="1"/>
  <c r="AM46" i="14"/>
  <c r="AQ241" i="14" l="1"/>
  <c r="AQ230" i="14"/>
  <c r="AQ225" i="14"/>
  <c r="AQ189" i="14"/>
  <c r="AQ188" i="14"/>
  <c r="AQ138" i="14"/>
  <c r="AQ133" i="14"/>
  <c r="AQ123" i="14"/>
  <c r="AQ122" i="14"/>
  <c r="AQ98" i="14"/>
  <c r="AQ32" i="14"/>
  <c r="AQ28" i="14"/>
  <c r="AQ27" i="14"/>
  <c r="AQ273" i="14"/>
  <c r="AO268" i="14"/>
  <c r="AM268" i="14"/>
  <c r="AL268" i="14"/>
  <c r="AJ268" i="14"/>
  <c r="AI268" i="14"/>
  <c r="AG268" i="14"/>
  <c r="AF268" i="14"/>
  <c r="AD268" i="14"/>
  <c r="AC268" i="14"/>
  <c r="AA268" i="14"/>
  <c r="Z268" i="14"/>
  <c r="X268" i="14"/>
  <c r="W268" i="14"/>
  <c r="U268" i="14"/>
  <c r="T268" i="14"/>
  <c r="R268" i="14"/>
  <c r="Q268" i="14"/>
  <c r="O268" i="14"/>
  <c r="N268" i="14"/>
  <c r="L268" i="14"/>
  <c r="K268" i="14"/>
  <c r="I268" i="14"/>
  <c r="H268" i="14"/>
  <c r="AO267" i="14"/>
  <c r="AQ267" i="14" s="1"/>
  <c r="AM267" i="14"/>
  <c r="AJ267" i="14"/>
  <c r="AI267" i="14"/>
  <c r="AG267" i="14"/>
  <c r="AF267" i="14"/>
  <c r="AD267" i="14"/>
  <c r="AC267" i="14"/>
  <c r="AA267" i="14"/>
  <c r="X267" i="14"/>
  <c r="U267" i="14"/>
  <c r="V267" i="14" s="1"/>
  <c r="T267" i="14"/>
  <c r="R267" i="14"/>
  <c r="S267" i="14" s="1"/>
  <c r="Q267" i="14"/>
  <c r="O267" i="14"/>
  <c r="L267" i="14"/>
  <c r="K267" i="14"/>
  <c r="I267" i="14"/>
  <c r="H267" i="14"/>
  <c r="AO266" i="14"/>
  <c r="AM266" i="14"/>
  <c r="AL266" i="14"/>
  <c r="AJ266" i="14"/>
  <c r="AI266" i="14"/>
  <c r="AG266" i="14"/>
  <c r="AF266" i="14"/>
  <c r="AD266" i="14"/>
  <c r="AC266" i="14"/>
  <c r="AA266" i="14"/>
  <c r="Z266" i="14"/>
  <c r="X266" i="14"/>
  <c r="U266" i="14"/>
  <c r="T266" i="14"/>
  <c r="R266" i="14"/>
  <c r="Q266" i="14"/>
  <c r="O266" i="14"/>
  <c r="N266" i="14"/>
  <c r="L266" i="14"/>
  <c r="K266" i="14"/>
  <c r="I266" i="14"/>
  <c r="H266" i="14"/>
  <c r="AO265" i="14"/>
  <c r="AM265" i="14"/>
  <c r="AL265" i="14"/>
  <c r="AJ265" i="14"/>
  <c r="AI265" i="14"/>
  <c r="AG265" i="14"/>
  <c r="AF265" i="14"/>
  <c r="AD265" i="14"/>
  <c r="AC265" i="14"/>
  <c r="AA265" i="14"/>
  <c r="Z265" i="14"/>
  <c r="X265" i="14"/>
  <c r="W265" i="14"/>
  <c r="U265" i="14"/>
  <c r="T265" i="14"/>
  <c r="R265" i="14"/>
  <c r="Q265" i="14"/>
  <c r="O265" i="14"/>
  <c r="N265" i="14"/>
  <c r="L265" i="14"/>
  <c r="K265" i="14"/>
  <c r="I265" i="14"/>
  <c r="H265" i="14"/>
  <c r="AM264" i="14"/>
  <c r="AJ264" i="14"/>
  <c r="AI264" i="14"/>
  <c r="AG264" i="14"/>
  <c r="AF264" i="14"/>
  <c r="AD264" i="14"/>
  <c r="AC264" i="14"/>
  <c r="AA264" i="14"/>
  <c r="X264" i="14"/>
  <c r="U264" i="14"/>
  <c r="T264" i="14"/>
  <c r="V264" i="14" s="1"/>
  <c r="R264" i="14"/>
  <c r="Q264" i="14"/>
  <c r="O264" i="14"/>
  <c r="L264" i="14"/>
  <c r="M264" i="14" s="1"/>
  <c r="K264" i="14"/>
  <c r="H264" i="14"/>
  <c r="H259" i="14"/>
  <c r="K259" i="14"/>
  <c r="Q259" i="14"/>
  <c r="R259" i="14"/>
  <c r="T259" i="14"/>
  <c r="Z259" i="14"/>
  <c r="AC259" i="14"/>
  <c r="AD259" i="14"/>
  <c r="AF259" i="14"/>
  <c r="AG259" i="14"/>
  <c r="AI259" i="14"/>
  <c r="AJ259" i="14"/>
  <c r="AL259" i="14"/>
  <c r="AM259" i="14"/>
  <c r="AO259" i="14"/>
  <c r="F263" i="14"/>
  <c r="E263" i="14"/>
  <c r="W262" i="14"/>
  <c r="W259" i="14" s="1"/>
  <c r="N262" i="14"/>
  <c r="N259" i="14" s="1"/>
  <c r="F262" i="14"/>
  <c r="F261" i="14"/>
  <c r="E261" i="14"/>
  <c r="F260" i="14"/>
  <c r="E260" i="14"/>
  <c r="F259" i="14"/>
  <c r="E259" i="14" l="1"/>
  <c r="AH264" i="14"/>
  <c r="M267" i="14"/>
  <c r="AE264" i="14"/>
  <c r="AE266" i="14"/>
  <c r="S264" i="14"/>
  <c r="AH267" i="14"/>
  <c r="AO264" i="14"/>
  <c r="AQ264" i="14" s="1"/>
  <c r="E262" i="14"/>
  <c r="AI324" i="14" l="1"/>
  <c r="Z274" i="14"/>
  <c r="AM321" i="14" l="1"/>
  <c r="AM315" i="14"/>
  <c r="AM302" i="14"/>
  <c r="AJ302" i="14"/>
  <c r="AM296" i="14"/>
  <c r="AM300" i="14"/>
  <c r="AM299" i="14"/>
  <c r="AM298" i="14"/>
  <c r="AF279" i="14" l="1"/>
  <c r="AN251" i="14"/>
  <c r="AM248" i="14"/>
  <c r="AO184" i="14" l="1"/>
  <c r="AQ184" i="14" l="1"/>
  <c r="AM171" i="14"/>
  <c r="F138" i="14"/>
  <c r="AN113" i="14"/>
  <c r="AM110" i="14"/>
  <c r="AM88" i="14"/>
  <c r="AM308" i="14" s="1"/>
  <c r="AJ88" i="14"/>
  <c r="AN49" i="14"/>
  <c r="AM15" i="14" l="1"/>
  <c r="AM10" i="14"/>
  <c r="AN324" i="14"/>
  <c r="AN279" i="14"/>
  <c r="AN274" i="14"/>
  <c r="AN230" i="14"/>
  <c r="AN229" i="14"/>
  <c r="AN228" i="14"/>
  <c r="AN224" i="14"/>
  <c r="AN223" i="14"/>
  <c r="AN189" i="14"/>
  <c r="AN188" i="14"/>
  <c r="AN184" i="14"/>
  <c r="AN174" i="14"/>
  <c r="AN138" i="14"/>
  <c r="AN133" i="14"/>
  <c r="AN126" i="14"/>
  <c r="AN123" i="14"/>
  <c r="AN122" i="14"/>
  <c r="AN121" i="14"/>
  <c r="AN98" i="14"/>
  <c r="AN93" i="14"/>
  <c r="AN32" i="14"/>
  <c r="AN28" i="14"/>
  <c r="AK273" i="14" l="1"/>
  <c r="AJ321" i="14"/>
  <c r="AK48" i="14"/>
  <c r="AK85" i="14" s="1"/>
  <c r="AL48" i="14"/>
  <c r="AK49" i="14"/>
  <c r="AL318" i="14" l="1"/>
  <c r="AN48" i="14"/>
  <c r="AK325" i="14"/>
  <c r="AK324" i="14"/>
  <c r="AL241" i="14"/>
  <c r="AO228" i="14"/>
  <c r="AO223" i="14"/>
  <c r="AK189" i="14"/>
  <c r="AK138" i="14"/>
  <c r="AK75" i="14"/>
  <c r="AL27" i="14"/>
  <c r="AN27" i="14" s="1"/>
  <c r="AI27" i="14"/>
  <c r="AQ228" i="14" l="1"/>
  <c r="AQ223" i="14"/>
  <c r="AL267" i="14"/>
  <c r="AL264" i="14" s="1"/>
  <c r="AN267" i="14"/>
  <c r="Z324" i="14"/>
  <c r="AO224" i="14"/>
  <c r="T224" i="14"/>
  <c r="Q224" i="14"/>
  <c r="AO229" i="14"/>
  <c r="AQ229" i="14" l="1"/>
  <c r="AN264" i="14"/>
  <c r="AQ224" i="14"/>
  <c r="AG321" i="14"/>
  <c r="AD321" i="14"/>
  <c r="AG315" i="14"/>
  <c r="AG308" i="14"/>
  <c r="AH189" i="14"/>
  <c r="AH138" i="14"/>
  <c r="AG95" i="14"/>
  <c r="AG90" i="14"/>
  <c r="AG10" i="14" l="1"/>
  <c r="AF133" i="14"/>
  <c r="AF163" i="14" s="1"/>
  <c r="AF122" i="14"/>
  <c r="AF162" i="14" s="1"/>
  <c r="AF27" i="14"/>
  <c r="AH174" i="14" l="1"/>
  <c r="AH142" i="14"/>
  <c r="AH98" i="14"/>
  <c r="AG88" i="14"/>
  <c r="F247" i="14" l="1"/>
  <c r="E247" i="14"/>
  <c r="F246" i="14"/>
  <c r="E246" i="14"/>
  <c r="W245" i="14"/>
  <c r="F245" i="14"/>
  <c r="E245" i="14"/>
  <c r="F244" i="14"/>
  <c r="E244" i="14"/>
  <c r="AO243" i="14"/>
  <c r="AM243" i="14"/>
  <c r="AL243" i="14"/>
  <c r="AJ243" i="14"/>
  <c r="AI243" i="14"/>
  <c r="AG243" i="14"/>
  <c r="AF243" i="14"/>
  <c r="AD243" i="14"/>
  <c r="AC243" i="14"/>
  <c r="AA243" i="14"/>
  <c r="Z243" i="14"/>
  <c r="X243" i="14"/>
  <c r="W243" i="14"/>
  <c r="U243" i="14"/>
  <c r="T243" i="14"/>
  <c r="R243" i="14"/>
  <c r="Q243" i="14"/>
  <c r="N243" i="14"/>
  <c r="L243" i="14"/>
  <c r="K243" i="14"/>
  <c r="H243" i="14"/>
  <c r="F243" i="14"/>
  <c r="F19" i="14"/>
  <c r="E19" i="14"/>
  <c r="AE18" i="14"/>
  <c r="F18" i="14"/>
  <c r="E18" i="14"/>
  <c r="AE17" i="14"/>
  <c r="F17" i="14"/>
  <c r="E17" i="14"/>
  <c r="F16" i="14"/>
  <c r="E16" i="14"/>
  <c r="AO15" i="14"/>
  <c r="AL15" i="14"/>
  <c r="AI15" i="14"/>
  <c r="AF15" i="14"/>
  <c r="AD15" i="14"/>
  <c r="AC15" i="14"/>
  <c r="AA15" i="14"/>
  <c r="Z15" i="14"/>
  <c r="X15" i="14"/>
  <c r="W15" i="14"/>
  <c r="T15" i="14"/>
  <c r="R15" i="14"/>
  <c r="Q15" i="14"/>
  <c r="N15" i="14"/>
  <c r="K15" i="14"/>
  <c r="H15" i="14"/>
  <c r="F15" i="14"/>
  <c r="E15" i="14"/>
  <c r="G15" i="14" l="1"/>
  <c r="AE15" i="14"/>
  <c r="G18" i="14"/>
  <c r="G245" i="14"/>
  <c r="G246" i="14"/>
  <c r="E243" i="14"/>
  <c r="G243" i="14" s="1"/>
  <c r="G17" i="14"/>
  <c r="AF184" i="14"/>
  <c r="AC184" i="14"/>
  <c r="AD88" i="14"/>
  <c r="AD315" i="14"/>
  <c r="AD308" i="14"/>
  <c r="AE13" i="14" l="1"/>
  <c r="AE12" i="14"/>
  <c r="AE49" i="14"/>
  <c r="AC174" i="14"/>
  <c r="AE255" i="14"/>
  <c r="AE279" i="14"/>
  <c r="AE278" i="14"/>
  <c r="AE188" i="14"/>
  <c r="AB325" i="14" l="1"/>
  <c r="AB324" i="14"/>
  <c r="AA321" i="14" l="1"/>
  <c r="AA315" i="14"/>
  <c r="AA308" i="14"/>
  <c r="AA296" i="14"/>
  <c r="T205" i="14"/>
  <c r="AC189" i="14"/>
  <c r="AE189" i="14" s="1"/>
  <c r="AB189" i="14"/>
  <c r="AB188" i="14"/>
  <c r="AF28" i="14"/>
  <c r="Z123" i="14"/>
  <c r="AB138" i="14" l="1"/>
  <c r="T118" i="14"/>
  <c r="Q113" i="14"/>
  <c r="Q163" i="14" s="1"/>
  <c r="W103" i="14"/>
  <c r="AA88" i="14"/>
  <c r="AB74" i="14"/>
  <c r="AC27" i="14"/>
  <c r="Z27" i="14"/>
  <c r="AA298" i="14" l="1"/>
  <c r="AA299" i="14"/>
  <c r="AA300" i="14"/>
  <c r="AA287" i="14"/>
  <c r="AA288" i="14"/>
  <c r="AA289" i="14"/>
  <c r="AA115" i="14"/>
  <c r="AA110" i="14"/>
  <c r="AA100" i="14"/>
  <c r="AA46" i="14"/>
  <c r="AB49" i="14"/>
  <c r="AA316" i="14" l="1"/>
  <c r="X25" i="14"/>
  <c r="X30" i="14"/>
  <c r="X10" i="14"/>
  <c r="X36" i="14"/>
  <c r="X37" i="14"/>
  <c r="X38" i="14"/>
  <c r="X39" i="14"/>
  <c r="X46" i="14"/>
  <c r="X53" i="14"/>
  <c r="X54" i="14"/>
  <c r="X85" i="14" s="1"/>
  <c r="X55" i="14"/>
  <c r="X56" i="14"/>
  <c r="X72" i="14"/>
  <c r="X84" i="14"/>
  <c r="X86" i="14"/>
  <c r="X87" i="14"/>
  <c r="X88" i="14"/>
  <c r="X90" i="14"/>
  <c r="X95" i="14"/>
  <c r="X100" i="14"/>
  <c r="X105" i="14"/>
  <c r="X110" i="14"/>
  <c r="X115" i="14"/>
  <c r="X120" i="14"/>
  <c r="X125" i="14"/>
  <c r="X130" i="14"/>
  <c r="X135" i="14"/>
  <c r="X140" i="14"/>
  <c r="X145" i="14"/>
  <c r="X150" i="14"/>
  <c r="X164" i="14"/>
  <c r="X176" i="14"/>
  <c r="X181" i="14"/>
  <c r="X186" i="14"/>
  <c r="X197" i="14"/>
  <c r="X198" i="14"/>
  <c r="X199" i="14"/>
  <c r="X200" i="14"/>
  <c r="X217" i="14"/>
  <c r="X222" i="14"/>
  <c r="X227" i="14"/>
  <c r="X233" i="14"/>
  <c r="X234" i="14"/>
  <c r="X235" i="14"/>
  <c r="X236" i="14"/>
  <c r="X238" i="14"/>
  <c r="X253" i="14"/>
  <c r="X271" i="14"/>
  <c r="X276" i="14"/>
  <c r="X232" i="14" l="1"/>
  <c r="X52" i="14"/>
  <c r="X196" i="14"/>
  <c r="X160" i="14"/>
  <c r="X83" i="14"/>
  <c r="X35" i="14"/>
  <c r="K142" i="14"/>
  <c r="K162" i="14" s="1"/>
  <c r="X321" i="14" l="1"/>
  <c r="R315" i="14"/>
  <c r="U315" i="14"/>
  <c r="X315" i="14"/>
  <c r="X302" i="14"/>
  <c r="U302" i="14"/>
  <c r="R302" i="14"/>
  <c r="X296" i="14"/>
  <c r="X308" i="14"/>
  <c r="U308" i="14"/>
  <c r="R308" i="14"/>
  <c r="X317" i="14" l="1"/>
  <c r="W325" i="14" l="1"/>
  <c r="W324" i="14"/>
  <c r="W274" i="14" l="1"/>
  <c r="Y325" i="14"/>
  <c r="Y324" i="14"/>
  <c r="AL225" i="14"/>
  <c r="AN225" i="14" s="1"/>
  <c r="AI225" i="14"/>
  <c r="Q225" i="14"/>
  <c r="F230" i="14" l="1"/>
  <c r="Y189" i="14"/>
  <c r="Y188" i="14"/>
  <c r="Y138" i="14"/>
  <c r="W133" i="14"/>
  <c r="W163" i="14" s="1"/>
  <c r="Z48" i="14"/>
  <c r="Z47" i="14"/>
  <c r="Y49" i="14"/>
  <c r="Y48" i="14"/>
  <c r="Y47" i="14"/>
  <c r="W32" i="14"/>
  <c r="T32" i="14"/>
  <c r="W27" i="14"/>
  <c r="U3" i="14"/>
  <c r="Z318" i="14" l="1"/>
  <c r="AB48" i="14"/>
  <c r="Z317" i="14"/>
  <c r="AB47" i="14"/>
  <c r="R88" i="14"/>
  <c r="U88" i="14"/>
  <c r="U321" i="14"/>
  <c r="U238" i="14" l="1"/>
  <c r="V189" i="14"/>
  <c r="V188" i="14"/>
  <c r="V278" i="14" l="1"/>
  <c r="V256" i="14"/>
  <c r="U202" i="14"/>
  <c r="V49" i="14"/>
  <c r="V48" i="14"/>
  <c r="V47" i="14"/>
  <c r="U46" i="14"/>
  <c r="U317" i="14"/>
  <c r="R317" i="14"/>
  <c r="Q28" i="14" l="1"/>
  <c r="S5" i="14" s="1"/>
  <c r="T225" i="14"/>
  <c r="R248" i="14"/>
  <c r="S189" i="14"/>
  <c r="S118" i="14"/>
  <c r="R110" i="14"/>
  <c r="S108" i="14"/>
  <c r="S81" i="14"/>
  <c r="S325" i="14" l="1"/>
  <c r="S324" i="14"/>
  <c r="S274" i="14"/>
  <c r="S74" i="14"/>
  <c r="S49" i="14"/>
  <c r="S48" i="14"/>
  <c r="S47" i="14"/>
  <c r="O308" i="14" l="1"/>
  <c r="O315" i="14" l="1"/>
  <c r="AL325" i="14" l="1"/>
  <c r="N325" i="14"/>
  <c r="H322" i="14"/>
  <c r="I322" i="14"/>
  <c r="K322" i="14"/>
  <c r="P325" i="14"/>
  <c r="Q273" i="14"/>
  <c r="S273" i="14" s="1"/>
  <c r="W230" i="14"/>
  <c r="W228" i="14"/>
  <c r="W223" i="14"/>
  <c r="M228" i="14"/>
  <c r="P189" i="14"/>
  <c r="AN325" i="14" l="1"/>
  <c r="H138" i="14"/>
  <c r="N123" i="14"/>
  <c r="AO126" i="14"/>
  <c r="AK126" i="14"/>
  <c r="AH126" i="14"/>
  <c r="AE126" i="14"/>
  <c r="W126" i="14"/>
  <c r="Y126" i="14" s="1"/>
  <c r="V126" i="14"/>
  <c r="S126" i="14"/>
  <c r="P126" i="14"/>
  <c r="M126" i="14"/>
  <c r="J126" i="14"/>
  <c r="AO121" i="14"/>
  <c r="W121" i="14"/>
  <c r="W161" i="14" s="1"/>
  <c r="N118" i="14"/>
  <c r="N108" i="14"/>
  <c r="N163" i="14" s="1"/>
  <c r="H98" i="14"/>
  <c r="H163" i="14" s="1"/>
  <c r="J93" i="14"/>
  <c r="I90" i="14"/>
  <c r="O78" i="14"/>
  <c r="N81" i="14"/>
  <c r="P81" i="14" s="1"/>
  <c r="AQ126" i="14" l="1"/>
  <c r="AO161" i="14"/>
  <c r="AQ121" i="14"/>
  <c r="P108" i="14"/>
  <c r="AI317" i="14"/>
  <c r="AB317" i="14"/>
  <c r="W317" i="14"/>
  <c r="Y317" i="14" s="1"/>
  <c r="T317" i="14"/>
  <c r="Q317" i="14"/>
  <c r="AQ161" i="14" l="1"/>
  <c r="V317" i="14"/>
  <c r="S317" i="14"/>
  <c r="M189" i="14" l="1"/>
  <c r="M241" i="14" l="1"/>
  <c r="J224" i="14" l="1"/>
  <c r="J189" i="14"/>
  <c r="J188" i="14"/>
  <c r="J121" i="14"/>
  <c r="J98" i="14"/>
  <c r="F326" i="14" l="1"/>
  <c r="E326" i="14"/>
  <c r="F325" i="14"/>
  <c r="E325" i="14"/>
  <c r="F324" i="14"/>
  <c r="E324" i="14"/>
  <c r="F323" i="14"/>
  <c r="E323" i="14"/>
  <c r="AO322" i="14"/>
  <c r="AM322" i="14"/>
  <c r="AL322" i="14"/>
  <c r="AJ322" i="14"/>
  <c r="AI322" i="14"/>
  <c r="AG322" i="14"/>
  <c r="AF322" i="14"/>
  <c r="AD322" i="14"/>
  <c r="AC322" i="14"/>
  <c r="AA322" i="14"/>
  <c r="Z322" i="14"/>
  <c r="X322" i="14"/>
  <c r="W322" i="14"/>
  <c r="U322" i="14"/>
  <c r="T322" i="14"/>
  <c r="R322" i="14"/>
  <c r="Q322" i="14"/>
  <c r="O322" i="14"/>
  <c r="N322" i="14"/>
  <c r="L322" i="14"/>
  <c r="R321" i="14"/>
  <c r="O321" i="14"/>
  <c r="F320" i="14"/>
  <c r="E320" i="14"/>
  <c r="AO316" i="14"/>
  <c r="AN319" i="14"/>
  <c r="AE319" i="14"/>
  <c r="X319" i="14"/>
  <c r="W319" i="14"/>
  <c r="U319" i="14"/>
  <c r="T319" i="14"/>
  <c r="R319" i="14"/>
  <c r="Q319" i="14"/>
  <c r="O319" i="14"/>
  <c r="N319" i="14"/>
  <c r="M319" i="14"/>
  <c r="L319" i="14"/>
  <c r="K319" i="14"/>
  <c r="J319" i="14"/>
  <c r="I319" i="14"/>
  <c r="H319" i="14"/>
  <c r="AN318" i="14"/>
  <c r="X318" i="14"/>
  <c r="W318" i="14"/>
  <c r="W316" i="14" s="1"/>
  <c r="U318" i="14"/>
  <c r="T318" i="14"/>
  <c r="R318" i="14"/>
  <c r="Q318" i="14"/>
  <c r="O318" i="14"/>
  <c r="N318" i="14"/>
  <c r="M318" i="14"/>
  <c r="L318" i="14"/>
  <c r="K318" i="14"/>
  <c r="J318" i="14"/>
  <c r="I318" i="14"/>
  <c r="H318" i="14"/>
  <c r="F317" i="14"/>
  <c r="E317" i="14"/>
  <c r="AJ316" i="14"/>
  <c r="AD316" i="14"/>
  <c r="AC316" i="14"/>
  <c r="U316" i="14"/>
  <c r="R316" i="14"/>
  <c r="Q316" i="14"/>
  <c r="O316" i="14"/>
  <c r="N316" i="14"/>
  <c r="L316" i="14"/>
  <c r="K316" i="14"/>
  <c r="AK314" i="14"/>
  <c r="AH314" i="14"/>
  <c r="AE314" i="14"/>
  <c r="AB314" i="14"/>
  <c r="Y314" i="14"/>
  <c r="V314" i="14"/>
  <c r="S314" i="14"/>
  <c r="P314" i="14"/>
  <c r="M314" i="14"/>
  <c r="J314" i="14"/>
  <c r="I314" i="14"/>
  <c r="AG302" i="14"/>
  <c r="O302" i="14"/>
  <c r="F302" i="14"/>
  <c r="AP301" i="14"/>
  <c r="AP297" i="14" s="1"/>
  <c r="AM301" i="14"/>
  <c r="AM297" i="14" s="1"/>
  <c r="AJ301" i="14"/>
  <c r="AG301" i="14"/>
  <c r="AD301" i="14"/>
  <c r="AA301" i="14"/>
  <c r="AA297" i="14" s="1"/>
  <c r="L301" i="14"/>
  <c r="K301" i="14"/>
  <c r="AJ300" i="14"/>
  <c r="AD300" i="14"/>
  <c r="AJ299" i="14"/>
  <c r="AG299" i="14"/>
  <c r="AD299" i="14"/>
  <c r="AJ298" i="14"/>
  <c r="AG298" i="14"/>
  <c r="AD298" i="14"/>
  <c r="AO290" i="14"/>
  <c r="AM290" i="14"/>
  <c r="AL290" i="14"/>
  <c r="AJ290" i="14"/>
  <c r="AI290" i="14"/>
  <c r="AG290" i="14"/>
  <c r="AF290" i="14"/>
  <c r="AD290" i="14"/>
  <c r="AC290" i="14"/>
  <c r="AA290" i="14"/>
  <c r="AA286" i="14" s="1"/>
  <c r="Z290" i="14"/>
  <c r="X290" i="14"/>
  <c r="W290" i="14"/>
  <c r="U290" i="14"/>
  <c r="T290" i="14"/>
  <c r="R290" i="14"/>
  <c r="Q290" i="14"/>
  <c r="O290" i="14"/>
  <c r="N290" i="14"/>
  <c r="L290" i="14"/>
  <c r="K290" i="14"/>
  <c r="I290" i="14"/>
  <c r="H290" i="14"/>
  <c r="F290" i="14"/>
  <c r="E290" i="14"/>
  <c r="AO289" i="14"/>
  <c r="AM289" i="14"/>
  <c r="AJ289" i="14"/>
  <c r="AI289" i="14"/>
  <c r="AG289" i="14"/>
  <c r="AF289" i="14"/>
  <c r="AD289" i="14"/>
  <c r="AC289" i="14"/>
  <c r="X289" i="14"/>
  <c r="U289" i="14"/>
  <c r="T289" i="14"/>
  <c r="R289" i="14"/>
  <c r="Q289" i="14"/>
  <c r="S289" i="14" s="1"/>
  <c r="O289" i="14"/>
  <c r="L289" i="14"/>
  <c r="K289" i="14"/>
  <c r="I289" i="14"/>
  <c r="H289" i="14"/>
  <c r="AO288" i="14"/>
  <c r="AQ288" i="14" s="1"/>
  <c r="AM288" i="14"/>
  <c r="AJ288" i="14"/>
  <c r="AI288" i="14"/>
  <c r="AG288" i="14"/>
  <c r="AF288" i="14"/>
  <c r="AD288" i="14"/>
  <c r="AC288" i="14"/>
  <c r="X288" i="14"/>
  <c r="U288" i="14"/>
  <c r="T288" i="14"/>
  <c r="R288" i="14"/>
  <c r="Q288" i="14"/>
  <c r="O288" i="14"/>
  <c r="L288" i="14"/>
  <c r="K288" i="14"/>
  <c r="I288" i="14"/>
  <c r="H288" i="14"/>
  <c r="AO287" i="14"/>
  <c r="AM287" i="14"/>
  <c r="AL287" i="14"/>
  <c r="AJ287" i="14"/>
  <c r="AI287" i="14"/>
  <c r="AG287" i="14"/>
  <c r="AF287" i="14"/>
  <c r="AD287" i="14"/>
  <c r="AC287" i="14"/>
  <c r="Z287" i="14"/>
  <c r="X287" i="14"/>
  <c r="W287" i="14"/>
  <c r="U287" i="14"/>
  <c r="T287" i="14"/>
  <c r="R287" i="14"/>
  <c r="Q287" i="14"/>
  <c r="O287" i="14"/>
  <c r="N287" i="14"/>
  <c r="L287" i="14"/>
  <c r="K287" i="14"/>
  <c r="I287" i="14"/>
  <c r="H287" i="14"/>
  <c r="F287" i="14"/>
  <c r="E287" i="14"/>
  <c r="AO286" i="14"/>
  <c r="AQ286" i="14" s="1"/>
  <c r="AM286" i="14"/>
  <c r="AJ286" i="14"/>
  <c r="AI286" i="14"/>
  <c r="AG286" i="14"/>
  <c r="AF286" i="14"/>
  <c r="AD286" i="14"/>
  <c r="AC286" i="14"/>
  <c r="U286" i="14"/>
  <c r="T286" i="14"/>
  <c r="Q286" i="14"/>
  <c r="O286" i="14"/>
  <c r="L286" i="14"/>
  <c r="K286" i="14"/>
  <c r="I286" i="14"/>
  <c r="H286" i="14"/>
  <c r="F285" i="14"/>
  <c r="E285" i="14"/>
  <c r="F284" i="14"/>
  <c r="E284" i="14"/>
  <c r="F283" i="14"/>
  <c r="E283" i="14"/>
  <c r="F282" i="14"/>
  <c r="E282" i="14"/>
  <c r="AO281" i="14"/>
  <c r="AL281" i="14"/>
  <c r="AI281" i="14"/>
  <c r="AF281" i="14"/>
  <c r="AC281" i="14"/>
  <c r="Z281" i="14"/>
  <c r="W281" i="14"/>
  <c r="T281" i="14"/>
  <c r="Q281" i="14"/>
  <c r="N281" i="14"/>
  <c r="K281" i="14"/>
  <c r="H281" i="14"/>
  <c r="F281" i="14"/>
  <c r="F280" i="14"/>
  <c r="E280" i="14"/>
  <c r="AH279" i="14"/>
  <c r="AB279" i="14"/>
  <c r="Y279" i="14"/>
  <c r="S279" i="14"/>
  <c r="F279" i="14"/>
  <c r="E279" i="14"/>
  <c r="AB278" i="14"/>
  <c r="Y278" i="14"/>
  <c r="F278" i="14"/>
  <c r="E278" i="14"/>
  <c r="F277" i="14"/>
  <c r="E277" i="14"/>
  <c r="AO276" i="14"/>
  <c r="AM276" i="14"/>
  <c r="AL276" i="14"/>
  <c r="AJ276" i="14"/>
  <c r="AI276" i="14"/>
  <c r="AG276" i="14"/>
  <c r="AF276" i="14"/>
  <c r="AD276" i="14"/>
  <c r="AC276" i="14"/>
  <c r="AA276" i="14"/>
  <c r="Z276" i="14"/>
  <c r="W276" i="14"/>
  <c r="U276" i="14"/>
  <c r="T276" i="14"/>
  <c r="R276" i="14"/>
  <c r="Q276" i="14"/>
  <c r="N276" i="14"/>
  <c r="K276" i="14"/>
  <c r="H276" i="14"/>
  <c r="F275" i="14"/>
  <c r="E275" i="14"/>
  <c r="AL289" i="14"/>
  <c r="AN289" i="14" s="1"/>
  <c r="W289" i="14"/>
  <c r="N289" i="14"/>
  <c r="F274" i="14"/>
  <c r="AL273" i="14"/>
  <c r="W288" i="14"/>
  <c r="W286" i="14" s="1"/>
  <c r="F273" i="14"/>
  <c r="F272" i="14"/>
  <c r="E272" i="14"/>
  <c r="AO271" i="14"/>
  <c r="AQ271" i="14" s="1"/>
  <c r="AM271" i="14"/>
  <c r="AJ271" i="14"/>
  <c r="AI271" i="14"/>
  <c r="AG271" i="14"/>
  <c r="AF271" i="14"/>
  <c r="AD271" i="14"/>
  <c r="AC271" i="14"/>
  <c r="AA271" i="14"/>
  <c r="Z271" i="14"/>
  <c r="U271" i="14"/>
  <c r="T271" i="14"/>
  <c r="R271" i="14"/>
  <c r="Q271" i="14"/>
  <c r="O271" i="14"/>
  <c r="N271" i="14"/>
  <c r="L271" i="14"/>
  <c r="K271" i="14"/>
  <c r="H271" i="14"/>
  <c r="F268" i="14"/>
  <c r="E265" i="14"/>
  <c r="F257" i="14"/>
  <c r="AN256" i="14"/>
  <c r="AH256" i="14"/>
  <c r="Y256" i="14"/>
  <c r="S256" i="14"/>
  <c r="P256" i="14"/>
  <c r="F256" i="14"/>
  <c r="E256" i="14"/>
  <c r="F255" i="14"/>
  <c r="G255" i="14" s="1"/>
  <c r="E255" i="14"/>
  <c r="F254" i="14"/>
  <c r="E254" i="14"/>
  <c r="AO253" i="14"/>
  <c r="AM253" i="14"/>
  <c r="AL253" i="14"/>
  <c r="AJ253" i="14"/>
  <c r="AI253" i="14"/>
  <c r="AG253" i="14"/>
  <c r="AG296" i="14" s="1"/>
  <c r="AF253" i="14"/>
  <c r="AD253" i="14"/>
  <c r="AD296" i="14" s="1"/>
  <c r="AC253" i="14"/>
  <c r="Z253" i="14"/>
  <c r="W253" i="14"/>
  <c r="U253" i="14"/>
  <c r="T253" i="14"/>
  <c r="R253" i="14"/>
  <c r="Q253" i="14"/>
  <c r="O253" i="14"/>
  <c r="O296" i="14" s="1"/>
  <c r="N253" i="14"/>
  <c r="L253" i="14"/>
  <c r="K253" i="14"/>
  <c r="F252" i="14"/>
  <c r="E252" i="14"/>
  <c r="W251" i="14"/>
  <c r="W267" i="14" s="1"/>
  <c r="Y267" i="14" s="1"/>
  <c r="N251" i="14"/>
  <c r="N267" i="14" s="1"/>
  <c r="F251" i="14"/>
  <c r="F250" i="14"/>
  <c r="E250" i="14"/>
  <c r="F249" i="14"/>
  <c r="E249" i="14"/>
  <c r="AO248" i="14"/>
  <c r="AL248" i="14"/>
  <c r="AJ248" i="14"/>
  <c r="AI248" i="14"/>
  <c r="AG248" i="14"/>
  <c r="AF248" i="14"/>
  <c r="AD248" i="14"/>
  <c r="AC248" i="14"/>
  <c r="Z248" i="14"/>
  <c r="W248" i="14"/>
  <c r="T248" i="14"/>
  <c r="Q248" i="14"/>
  <c r="K248" i="14"/>
  <c r="H248" i="14"/>
  <c r="F242" i="14"/>
  <c r="E242" i="14"/>
  <c r="AN241" i="14"/>
  <c r="Z241" i="14"/>
  <c r="Z267" i="14" s="1"/>
  <c r="Z264" i="14" s="1"/>
  <c r="Y241" i="14"/>
  <c r="S241" i="14"/>
  <c r="F241" i="14"/>
  <c r="W240" i="14"/>
  <c r="W266" i="14" s="1"/>
  <c r="W264" i="14" s="1"/>
  <c r="Y264" i="14" s="1"/>
  <c r="F240" i="14"/>
  <c r="E240" i="14"/>
  <c r="F239" i="14"/>
  <c r="E239" i="14"/>
  <c r="AO238" i="14"/>
  <c r="AQ238" i="14" s="1"/>
  <c r="AM238" i="14"/>
  <c r="AL238" i="14"/>
  <c r="AJ238" i="14"/>
  <c r="AI238" i="14"/>
  <c r="AG238" i="14"/>
  <c r="AF238" i="14"/>
  <c r="AD238" i="14"/>
  <c r="AC238" i="14"/>
  <c r="AA238" i="14"/>
  <c r="Z238" i="14"/>
  <c r="W238" i="14"/>
  <c r="T238" i="14"/>
  <c r="R238" i="14"/>
  <c r="S238" i="14" s="1"/>
  <c r="Q238" i="14"/>
  <c r="N238" i="14"/>
  <c r="L238" i="14"/>
  <c r="K238" i="14"/>
  <c r="H238" i="14"/>
  <c r="AO236" i="14"/>
  <c r="AL236" i="14"/>
  <c r="AI236" i="14"/>
  <c r="AF236" i="14"/>
  <c r="AD236" i="14"/>
  <c r="AC236" i="14"/>
  <c r="AA236" i="14"/>
  <c r="Z236" i="14"/>
  <c r="W236" i="14"/>
  <c r="U236" i="14"/>
  <c r="T236" i="14"/>
  <c r="R236" i="14"/>
  <c r="Q236" i="14"/>
  <c r="O236" i="14"/>
  <c r="N236" i="14"/>
  <c r="L236" i="14"/>
  <c r="K236" i="14"/>
  <c r="I236" i="14"/>
  <c r="H236" i="14"/>
  <c r="F236" i="14"/>
  <c r="E236" i="14"/>
  <c r="AM235" i="14"/>
  <c r="AJ235" i="14"/>
  <c r="AI235" i="14"/>
  <c r="AG235" i="14"/>
  <c r="AF235" i="14"/>
  <c r="AD235" i="14"/>
  <c r="AC235" i="14"/>
  <c r="AA235" i="14"/>
  <c r="Z235" i="14"/>
  <c r="W235" i="14"/>
  <c r="U235" i="14"/>
  <c r="T235" i="14"/>
  <c r="R235" i="14"/>
  <c r="Q235" i="14"/>
  <c r="O235" i="14"/>
  <c r="L235" i="14"/>
  <c r="I235" i="14"/>
  <c r="H235" i="14"/>
  <c r="AM234" i="14"/>
  <c r="AL234" i="14"/>
  <c r="AJ234" i="14"/>
  <c r="AI234" i="14"/>
  <c r="AG234" i="14"/>
  <c r="AF234" i="14"/>
  <c r="AD234" i="14"/>
  <c r="AC234" i="14"/>
  <c r="AA234" i="14"/>
  <c r="Z234" i="14"/>
  <c r="W234" i="14"/>
  <c r="U234" i="14"/>
  <c r="T234" i="14"/>
  <c r="R234" i="14"/>
  <c r="Q234" i="14"/>
  <c r="O234" i="14"/>
  <c r="N234" i="14"/>
  <c r="L234" i="14"/>
  <c r="K234" i="14"/>
  <c r="I234" i="14"/>
  <c r="H234" i="14"/>
  <c r="AM233" i="14"/>
  <c r="AN233" i="14" s="1"/>
  <c r="AL233" i="14"/>
  <c r="AJ233" i="14"/>
  <c r="AI233" i="14"/>
  <c r="AG233" i="14"/>
  <c r="AF233" i="14"/>
  <c r="AD233" i="14"/>
  <c r="AC233" i="14"/>
  <c r="AA233" i="14"/>
  <c r="Z233" i="14"/>
  <c r="W233" i="14"/>
  <c r="U233" i="14"/>
  <c r="T233" i="14"/>
  <c r="R233" i="14"/>
  <c r="Q233" i="14"/>
  <c r="O233" i="14"/>
  <c r="N233" i="14"/>
  <c r="L233" i="14"/>
  <c r="K233" i="14"/>
  <c r="I233" i="14"/>
  <c r="H233" i="14"/>
  <c r="AI232" i="14"/>
  <c r="AG232" i="14"/>
  <c r="AF232" i="14"/>
  <c r="AD232" i="14"/>
  <c r="AC232" i="14"/>
  <c r="AA232" i="14"/>
  <c r="Z232" i="14"/>
  <c r="O232" i="14"/>
  <c r="I232" i="14"/>
  <c r="H232" i="14"/>
  <c r="F231" i="14"/>
  <c r="E231" i="14"/>
  <c r="AK230" i="14"/>
  <c r="Y230" i="14"/>
  <c r="V230" i="14"/>
  <c r="S230" i="14"/>
  <c r="P230" i="14"/>
  <c r="M230" i="14"/>
  <c r="E230" i="14"/>
  <c r="AK229" i="14"/>
  <c r="Y229" i="14"/>
  <c r="V229" i="14"/>
  <c r="S229" i="14"/>
  <c r="P229" i="14"/>
  <c r="M229" i="14"/>
  <c r="F229" i="14"/>
  <c r="E229" i="14"/>
  <c r="AK228" i="14"/>
  <c r="Y228" i="14"/>
  <c r="V228" i="14"/>
  <c r="S228" i="14"/>
  <c r="P228" i="14"/>
  <c r="F228" i="14"/>
  <c r="E228" i="14"/>
  <c r="AO227" i="14"/>
  <c r="AQ227" i="14" s="1"/>
  <c r="AM227" i="14"/>
  <c r="AL227" i="14"/>
  <c r="AJ227" i="14"/>
  <c r="AI227" i="14"/>
  <c r="AF227" i="14"/>
  <c r="AD227" i="14"/>
  <c r="AC227" i="14"/>
  <c r="AA227" i="14"/>
  <c r="Z227" i="14"/>
  <c r="W227" i="14"/>
  <c r="U227" i="14"/>
  <c r="T227" i="14"/>
  <c r="R227" i="14"/>
  <c r="Q227" i="14"/>
  <c r="O227" i="14"/>
  <c r="N227" i="14"/>
  <c r="L227" i="14"/>
  <c r="F227" i="14" s="1"/>
  <c r="K227" i="14"/>
  <c r="H227" i="14"/>
  <c r="F226" i="14"/>
  <c r="E226" i="14"/>
  <c r="AK225" i="14"/>
  <c r="Y225" i="14"/>
  <c r="V225" i="14"/>
  <c r="S225" i="14"/>
  <c r="P225" i="14"/>
  <c r="M225" i="14"/>
  <c r="F225" i="14"/>
  <c r="E225" i="14"/>
  <c r="AO234" i="14"/>
  <c r="AQ234" i="14" s="1"/>
  <c r="AK224" i="14"/>
  <c r="AH224" i="14"/>
  <c r="Y224" i="14"/>
  <c r="V224" i="14"/>
  <c r="S224" i="14"/>
  <c r="P224" i="14"/>
  <c r="M224" i="14"/>
  <c r="F224" i="14"/>
  <c r="E224" i="14"/>
  <c r="AO233" i="14"/>
  <c r="AQ233" i="14" s="1"/>
  <c r="AK223" i="14"/>
  <c r="Y223" i="14"/>
  <c r="V223" i="14"/>
  <c r="S223" i="14"/>
  <c r="P223" i="14"/>
  <c r="M223" i="14"/>
  <c r="F223" i="14"/>
  <c r="E223" i="14"/>
  <c r="AO222" i="14"/>
  <c r="AQ222" i="14" s="1"/>
  <c r="AM222" i="14"/>
  <c r="AL222" i="14"/>
  <c r="AJ222" i="14"/>
  <c r="AI222" i="14"/>
  <c r="AG222" i="14"/>
  <c r="AF222" i="14"/>
  <c r="AD222" i="14"/>
  <c r="AC222" i="14"/>
  <c r="AA222" i="14"/>
  <c r="Z222" i="14"/>
  <c r="W222" i="14"/>
  <c r="U222" i="14"/>
  <c r="T222" i="14"/>
  <c r="R222" i="14"/>
  <c r="Q222" i="14"/>
  <c r="O222" i="14"/>
  <c r="N222" i="14"/>
  <c r="L222" i="14"/>
  <c r="K222" i="14"/>
  <c r="I222" i="14"/>
  <c r="H222" i="14"/>
  <c r="F221" i="14"/>
  <c r="E221" i="14"/>
  <c r="AO220" i="14"/>
  <c r="AO235" i="14" s="1"/>
  <c r="AQ235" i="14" s="1"/>
  <c r="AL220" i="14"/>
  <c r="N220" i="14"/>
  <c r="N235" i="14" s="1"/>
  <c r="P235" i="14" s="1"/>
  <c r="K220" i="14"/>
  <c r="K235" i="14" s="1"/>
  <c r="F220" i="14"/>
  <c r="F219" i="14"/>
  <c r="E219" i="14"/>
  <c r="F218" i="14"/>
  <c r="E218" i="14"/>
  <c r="AO217" i="14"/>
  <c r="AL217" i="14"/>
  <c r="AI217" i="14"/>
  <c r="AF217" i="14"/>
  <c r="AD217" i="14"/>
  <c r="AC217" i="14"/>
  <c r="Z217" i="14"/>
  <c r="W217" i="14"/>
  <c r="T217" i="14"/>
  <c r="Q217" i="14"/>
  <c r="O217" i="14"/>
  <c r="N217" i="14"/>
  <c r="L217" i="14"/>
  <c r="F217" i="14" s="1"/>
  <c r="K217" i="14"/>
  <c r="H217" i="14"/>
  <c r="F216" i="14"/>
  <c r="E216" i="14"/>
  <c r="F215" i="14"/>
  <c r="E215" i="14"/>
  <c r="F214" i="14"/>
  <c r="E214" i="14"/>
  <c r="F213" i="14"/>
  <c r="E213" i="14"/>
  <c r="AO212" i="14"/>
  <c r="AL212" i="14"/>
  <c r="AI212" i="14"/>
  <c r="AG212" i="14"/>
  <c r="AF212" i="14"/>
  <c r="AD212" i="14"/>
  <c r="AC212" i="14"/>
  <c r="AA212" i="14"/>
  <c r="Z212" i="14"/>
  <c r="W212" i="14"/>
  <c r="U212" i="14"/>
  <c r="T212" i="14"/>
  <c r="R212" i="14"/>
  <c r="Q212" i="14"/>
  <c r="N212" i="14"/>
  <c r="K212" i="14"/>
  <c r="H212" i="14"/>
  <c r="F212" i="14"/>
  <c r="F211" i="14"/>
  <c r="E211" i="14"/>
  <c r="F210" i="14"/>
  <c r="E210" i="14"/>
  <c r="F209" i="14"/>
  <c r="E209" i="14"/>
  <c r="F208" i="14"/>
  <c r="E208" i="14"/>
  <c r="AO207" i="14"/>
  <c r="AL207" i="14"/>
  <c r="AI207" i="14"/>
  <c r="AF207" i="14"/>
  <c r="AC207" i="14"/>
  <c r="Z207" i="14"/>
  <c r="W207" i="14"/>
  <c r="T207" i="14"/>
  <c r="Q207" i="14"/>
  <c r="N207" i="14"/>
  <c r="K207" i="14"/>
  <c r="H207" i="14"/>
  <c r="F207" i="14"/>
  <c r="F206" i="14"/>
  <c r="E206" i="14"/>
  <c r="F205" i="14"/>
  <c r="E205" i="14"/>
  <c r="F204" i="14"/>
  <c r="E204" i="14"/>
  <c r="F203" i="14"/>
  <c r="E203" i="14"/>
  <c r="AO202" i="14"/>
  <c r="AL202" i="14"/>
  <c r="AJ202" i="14"/>
  <c r="AI202" i="14"/>
  <c r="AF202" i="14"/>
  <c r="AC202" i="14"/>
  <c r="Z202" i="14"/>
  <c r="W202" i="14"/>
  <c r="T202" i="14"/>
  <c r="Q202" i="14"/>
  <c r="O202" i="14"/>
  <c r="N202" i="14"/>
  <c r="K202" i="14"/>
  <c r="H202" i="14"/>
  <c r="F202" i="14"/>
  <c r="AO200" i="14"/>
  <c r="AM200" i="14"/>
  <c r="AL200" i="14"/>
  <c r="AI200" i="14"/>
  <c r="AF200" i="14"/>
  <c r="AD200" i="14"/>
  <c r="AC200" i="14"/>
  <c r="Z200" i="14"/>
  <c r="W200" i="14"/>
  <c r="U200" i="14"/>
  <c r="T200" i="14"/>
  <c r="R200" i="14"/>
  <c r="Q200" i="14"/>
  <c r="O200" i="14"/>
  <c r="N200" i="14"/>
  <c r="L200" i="14"/>
  <c r="K200" i="14"/>
  <c r="I200" i="14"/>
  <c r="H200" i="14"/>
  <c r="F200" i="14"/>
  <c r="E200" i="14"/>
  <c r="AO199" i="14"/>
  <c r="AQ199" i="14" s="1"/>
  <c r="AM199" i="14"/>
  <c r="AJ199" i="14"/>
  <c r="AG199" i="14"/>
  <c r="AF199" i="14"/>
  <c r="AD199" i="14"/>
  <c r="AC199" i="14"/>
  <c r="AA199" i="14"/>
  <c r="Z199" i="14"/>
  <c r="W199" i="14"/>
  <c r="U199" i="14"/>
  <c r="T199" i="14"/>
  <c r="R199" i="14"/>
  <c r="Q199" i="14"/>
  <c r="O199" i="14"/>
  <c r="L199" i="14"/>
  <c r="K199" i="14"/>
  <c r="I199" i="14"/>
  <c r="H199" i="14"/>
  <c r="AO198" i="14"/>
  <c r="AQ198" i="14" s="1"/>
  <c r="AM198" i="14"/>
  <c r="AL198" i="14"/>
  <c r="AJ198" i="14"/>
  <c r="AI198" i="14"/>
  <c r="AG198" i="14"/>
  <c r="AF198" i="14"/>
  <c r="AD198" i="14"/>
  <c r="AC198" i="14"/>
  <c r="AA198" i="14"/>
  <c r="Z198" i="14"/>
  <c r="W198" i="14"/>
  <c r="U198" i="14"/>
  <c r="T198" i="14"/>
  <c r="R198" i="14"/>
  <c r="Q198" i="14"/>
  <c r="O198" i="14"/>
  <c r="N198" i="14"/>
  <c r="L198" i="14"/>
  <c r="M198" i="14" s="1"/>
  <c r="K198" i="14"/>
  <c r="I198" i="14"/>
  <c r="H198" i="14"/>
  <c r="E198" i="14"/>
  <c r="AO197" i="14"/>
  <c r="AM197" i="14"/>
  <c r="AL197" i="14"/>
  <c r="AJ197" i="14"/>
  <c r="AI197" i="14"/>
  <c r="AG197" i="14"/>
  <c r="AF197" i="14"/>
  <c r="AD197" i="14"/>
  <c r="AC197" i="14"/>
  <c r="AA197" i="14"/>
  <c r="Z197" i="14"/>
  <c r="W197" i="14"/>
  <c r="U197" i="14"/>
  <c r="T197" i="14"/>
  <c r="R197" i="14"/>
  <c r="Q197" i="14"/>
  <c r="O197" i="14"/>
  <c r="N197" i="14"/>
  <c r="L197" i="14"/>
  <c r="K197" i="14"/>
  <c r="I197" i="14"/>
  <c r="H197" i="14"/>
  <c r="F197" i="14"/>
  <c r="E197" i="14"/>
  <c r="AO196" i="14"/>
  <c r="AQ196" i="14" s="1"/>
  <c r="AJ196" i="14"/>
  <c r="AD196" i="14"/>
  <c r="Z196" i="14"/>
  <c r="W196" i="14"/>
  <c r="U196" i="14"/>
  <c r="T196" i="14"/>
  <c r="R196" i="14"/>
  <c r="Q196" i="14"/>
  <c r="O196" i="14"/>
  <c r="K196" i="14"/>
  <c r="I196" i="14"/>
  <c r="H196" i="14"/>
  <c r="F195" i="14"/>
  <c r="E195" i="14"/>
  <c r="F194" i="14"/>
  <c r="E194" i="14"/>
  <c r="F193" i="14"/>
  <c r="E193" i="14"/>
  <c r="F192" i="14"/>
  <c r="E192" i="14"/>
  <c r="AO191" i="14"/>
  <c r="AL191" i="14"/>
  <c r="AI191" i="14"/>
  <c r="AF191" i="14"/>
  <c r="AC191" i="14"/>
  <c r="Z191" i="14"/>
  <c r="W191" i="14"/>
  <c r="T191" i="14"/>
  <c r="Q191" i="14"/>
  <c r="N191" i="14"/>
  <c r="K191" i="14"/>
  <c r="H191" i="14"/>
  <c r="F191" i="14"/>
  <c r="F190" i="14"/>
  <c r="E190" i="14"/>
  <c r="F189" i="14"/>
  <c r="E189" i="14"/>
  <c r="AK188" i="14"/>
  <c r="AH188" i="14"/>
  <c r="S188" i="14"/>
  <c r="P188" i="14"/>
  <c r="M188" i="14"/>
  <c r="F188" i="14"/>
  <c r="E188" i="14"/>
  <c r="F187" i="14"/>
  <c r="E187" i="14"/>
  <c r="AO186" i="14"/>
  <c r="AQ186" i="14" s="1"/>
  <c r="AM186" i="14"/>
  <c r="AL186" i="14"/>
  <c r="AJ186" i="14"/>
  <c r="AI186" i="14"/>
  <c r="AG186" i="14"/>
  <c r="AF186" i="14"/>
  <c r="AD186" i="14"/>
  <c r="AC186" i="14"/>
  <c r="AA186" i="14"/>
  <c r="Z186" i="14"/>
  <c r="W186" i="14"/>
  <c r="U186" i="14"/>
  <c r="T186" i="14"/>
  <c r="R186" i="14"/>
  <c r="Q186" i="14"/>
  <c r="O186" i="14"/>
  <c r="N186" i="14"/>
  <c r="L186" i="14"/>
  <c r="K186" i="14"/>
  <c r="I186" i="14"/>
  <c r="H186" i="14"/>
  <c r="F185" i="14"/>
  <c r="E185" i="14"/>
  <c r="AK184" i="14"/>
  <c r="AH184" i="14"/>
  <c r="AE184" i="14"/>
  <c r="AB184" i="14"/>
  <c r="Y184" i="14"/>
  <c r="V184" i="14"/>
  <c r="S184" i="14"/>
  <c r="P184" i="14"/>
  <c r="M184" i="14"/>
  <c r="J184" i="14"/>
  <c r="F184" i="14"/>
  <c r="E184" i="14"/>
  <c r="F183" i="14"/>
  <c r="E183" i="14"/>
  <c r="F182" i="14"/>
  <c r="E182" i="14"/>
  <c r="AO181" i="14"/>
  <c r="AQ181" i="14" s="1"/>
  <c r="AM181" i="14"/>
  <c r="AL181" i="14"/>
  <c r="AJ181" i="14"/>
  <c r="AI181" i="14"/>
  <c r="AG181" i="14"/>
  <c r="AF181" i="14"/>
  <c r="AD181" i="14"/>
  <c r="AC181" i="14"/>
  <c r="AA181" i="14"/>
  <c r="Z181" i="14"/>
  <c r="W181" i="14"/>
  <c r="U181" i="14"/>
  <c r="T181" i="14"/>
  <c r="R181" i="14"/>
  <c r="Q181" i="14"/>
  <c r="O181" i="14"/>
  <c r="N181" i="14"/>
  <c r="L181" i="14"/>
  <c r="K181" i="14"/>
  <c r="I181" i="14"/>
  <c r="H181" i="14"/>
  <c r="F180" i="14"/>
  <c r="E180" i="14"/>
  <c r="N179" i="14"/>
  <c r="N199" i="14" s="1"/>
  <c r="F179" i="14"/>
  <c r="E179" i="14"/>
  <c r="F178" i="14"/>
  <c r="E178" i="14"/>
  <c r="F177" i="14"/>
  <c r="E177" i="14"/>
  <c r="AO176" i="14"/>
  <c r="AQ176" i="14" s="1"/>
  <c r="AM176" i="14"/>
  <c r="AL176" i="14"/>
  <c r="AJ176" i="14"/>
  <c r="AI176" i="14"/>
  <c r="AG176" i="14"/>
  <c r="AF176" i="14"/>
  <c r="AC176" i="14"/>
  <c r="Z176" i="14"/>
  <c r="W176" i="14"/>
  <c r="U176" i="14"/>
  <c r="T176" i="14"/>
  <c r="Q176" i="14"/>
  <c r="O176" i="14"/>
  <c r="N176" i="14"/>
  <c r="K176" i="14"/>
  <c r="H176" i="14"/>
  <c r="F176" i="14"/>
  <c r="F175" i="14"/>
  <c r="E175" i="14"/>
  <c r="AE174" i="14"/>
  <c r="F174" i="14"/>
  <c r="E174" i="14"/>
  <c r="F173" i="14"/>
  <c r="E173" i="14"/>
  <c r="F172" i="14"/>
  <c r="E172" i="14"/>
  <c r="AO171" i="14"/>
  <c r="AQ171" i="14" s="1"/>
  <c r="AL171" i="14"/>
  <c r="AN171" i="14" s="1"/>
  <c r="AJ171" i="14"/>
  <c r="AI171" i="14"/>
  <c r="AG171" i="14"/>
  <c r="AF171" i="14"/>
  <c r="AD171" i="14"/>
  <c r="AC171" i="14"/>
  <c r="Z171" i="14"/>
  <c r="W171" i="14"/>
  <c r="T171" i="14"/>
  <c r="Q171" i="14"/>
  <c r="N171" i="14"/>
  <c r="K171" i="14"/>
  <c r="H171" i="14"/>
  <c r="F170" i="14"/>
  <c r="E170" i="14"/>
  <c r="AL169" i="14"/>
  <c r="AL199" i="14" s="1"/>
  <c r="AL196" i="14" s="1"/>
  <c r="AI169" i="14"/>
  <c r="F169" i="14"/>
  <c r="E169" i="14"/>
  <c r="F168" i="14"/>
  <c r="E168" i="14"/>
  <c r="F167" i="14"/>
  <c r="E167" i="14"/>
  <c r="AO166" i="14"/>
  <c r="AL166" i="14"/>
  <c r="AJ166" i="14"/>
  <c r="AI166" i="14"/>
  <c r="AG166" i="14"/>
  <c r="AF166" i="14"/>
  <c r="AC166" i="14"/>
  <c r="Z166" i="14"/>
  <c r="W166" i="14"/>
  <c r="T166" i="14"/>
  <c r="Q166" i="14"/>
  <c r="N166" i="14"/>
  <c r="L166" i="14"/>
  <c r="K166" i="14"/>
  <c r="I166" i="14"/>
  <c r="H166" i="14"/>
  <c r="F166" i="14"/>
  <c r="AO164" i="14"/>
  <c r="AM164" i="14"/>
  <c r="AL164" i="14"/>
  <c r="AJ164" i="14"/>
  <c r="AI164" i="14"/>
  <c r="AG164" i="14"/>
  <c r="AF164" i="14"/>
  <c r="AD164" i="14"/>
  <c r="AC164" i="14"/>
  <c r="AA164" i="14"/>
  <c r="Z164" i="14"/>
  <c r="W164" i="14"/>
  <c r="U164" i="14"/>
  <c r="T164" i="14"/>
  <c r="R164" i="14"/>
  <c r="Q164" i="14"/>
  <c r="O164" i="14"/>
  <c r="N164" i="14"/>
  <c r="L164" i="14"/>
  <c r="K164" i="14"/>
  <c r="I164" i="14"/>
  <c r="H164" i="14"/>
  <c r="F164" i="14"/>
  <c r="E164" i="14"/>
  <c r="AN162" i="14"/>
  <c r="O160" i="14"/>
  <c r="H160" i="14"/>
  <c r="AL160" i="14"/>
  <c r="F154" i="14"/>
  <c r="E154" i="14"/>
  <c r="T153" i="14"/>
  <c r="T163" i="14" s="1"/>
  <c r="F153" i="14"/>
  <c r="E153" i="14"/>
  <c r="F152" i="14"/>
  <c r="E152" i="14"/>
  <c r="F151" i="14"/>
  <c r="E151" i="14"/>
  <c r="AO150" i="14"/>
  <c r="AM150" i="14"/>
  <c r="AL150" i="14"/>
  <c r="AJ150" i="14"/>
  <c r="AI150" i="14"/>
  <c r="AG150" i="14"/>
  <c r="AF150" i="14"/>
  <c r="AD150" i="14"/>
  <c r="AC150" i="14"/>
  <c r="AA150" i="14"/>
  <c r="Z150" i="14"/>
  <c r="W150" i="14"/>
  <c r="U150" i="14"/>
  <c r="T150" i="14"/>
  <c r="R150" i="14"/>
  <c r="Q150" i="14"/>
  <c r="O150" i="14"/>
  <c r="N150" i="14"/>
  <c r="L150" i="14"/>
  <c r="K150" i="14"/>
  <c r="E150" i="14" s="1"/>
  <c r="H150" i="14"/>
  <c r="F150" i="14"/>
  <c r="F149" i="14"/>
  <c r="E149" i="14"/>
  <c r="F148" i="14"/>
  <c r="E148" i="14"/>
  <c r="F147" i="14"/>
  <c r="E147" i="14"/>
  <c r="F146" i="14"/>
  <c r="E146" i="14"/>
  <c r="AO145" i="14"/>
  <c r="AM145" i="14"/>
  <c r="AL145" i="14"/>
  <c r="AJ145" i="14"/>
  <c r="AI145" i="14"/>
  <c r="AF145" i="14"/>
  <c r="AD145" i="14"/>
  <c r="AC145" i="14"/>
  <c r="AA145" i="14"/>
  <c r="Z145" i="14"/>
  <c r="W145" i="14"/>
  <c r="U145" i="14"/>
  <c r="T145" i="14"/>
  <c r="R145" i="14"/>
  <c r="Q145" i="14"/>
  <c r="O145" i="14"/>
  <c r="N145" i="14"/>
  <c r="L145" i="14"/>
  <c r="F145" i="14" s="1"/>
  <c r="K145" i="14"/>
  <c r="H145" i="14"/>
  <c r="F144" i="14"/>
  <c r="E144" i="14"/>
  <c r="F143" i="14"/>
  <c r="E143" i="14"/>
  <c r="Y142" i="14"/>
  <c r="V142" i="14"/>
  <c r="S142" i="14"/>
  <c r="P142" i="14"/>
  <c r="M142" i="14"/>
  <c r="F142" i="14"/>
  <c r="E142" i="14"/>
  <c r="F141" i="14"/>
  <c r="E141" i="14"/>
  <c r="AO140" i="14"/>
  <c r="AM140" i="14"/>
  <c r="AL140" i="14"/>
  <c r="AJ140" i="14"/>
  <c r="AI140" i="14"/>
  <c r="AG140" i="14"/>
  <c r="AF140" i="14"/>
  <c r="AH140" i="14" s="1"/>
  <c r="AD140" i="14"/>
  <c r="AC140" i="14"/>
  <c r="AA140" i="14"/>
  <c r="Z140" i="14"/>
  <c r="W140" i="14"/>
  <c r="U140" i="14"/>
  <c r="T140" i="14"/>
  <c r="R140" i="14"/>
  <c r="Q140" i="14"/>
  <c r="O140" i="14"/>
  <c r="N140" i="14"/>
  <c r="L140" i="14"/>
  <c r="K140" i="14"/>
  <c r="H140" i="14"/>
  <c r="F139" i="14"/>
  <c r="E139" i="14"/>
  <c r="V138" i="14"/>
  <c r="S138" i="14"/>
  <c r="P138" i="14"/>
  <c r="M138" i="14"/>
  <c r="J138" i="14"/>
  <c r="E138" i="14"/>
  <c r="F137" i="14"/>
  <c r="E137" i="14"/>
  <c r="F136" i="14"/>
  <c r="E136" i="14"/>
  <c r="AO135" i="14"/>
  <c r="AQ135" i="14" s="1"/>
  <c r="AM135" i="14"/>
  <c r="AN135" i="14" s="1"/>
  <c r="AL135" i="14"/>
  <c r="AJ135" i="14"/>
  <c r="AI135" i="14"/>
  <c r="AG135" i="14"/>
  <c r="AF135" i="14"/>
  <c r="AD135" i="14"/>
  <c r="AE135" i="14" s="1"/>
  <c r="AC135" i="14"/>
  <c r="AA135" i="14"/>
  <c r="Z135" i="14"/>
  <c r="W135" i="14"/>
  <c r="U135" i="14"/>
  <c r="T135" i="14"/>
  <c r="R135" i="14"/>
  <c r="Q135" i="14"/>
  <c r="O135" i="14"/>
  <c r="N135" i="14"/>
  <c r="P135" i="14" s="1"/>
  <c r="L135" i="14"/>
  <c r="K135" i="14"/>
  <c r="I135" i="14"/>
  <c r="H135" i="14"/>
  <c r="F134" i="14"/>
  <c r="E134" i="14"/>
  <c r="AQ163" i="14"/>
  <c r="AK133" i="14"/>
  <c r="AH133" i="14"/>
  <c r="AE133" i="14"/>
  <c r="AB133" i="14"/>
  <c r="Y133" i="14"/>
  <c r="V133" i="14"/>
  <c r="S133" i="14"/>
  <c r="P133" i="14"/>
  <c r="M133" i="14"/>
  <c r="J133" i="14"/>
  <c r="F133" i="14"/>
  <c r="F132" i="14"/>
  <c r="E132" i="14"/>
  <c r="F131" i="14"/>
  <c r="E131" i="14"/>
  <c r="AO130" i="14"/>
  <c r="AQ130" i="14" s="1"/>
  <c r="AM130" i="14"/>
  <c r="AN130" i="14" s="1"/>
  <c r="AL130" i="14"/>
  <c r="AJ130" i="14"/>
  <c r="AI130" i="14"/>
  <c r="AG130" i="14"/>
  <c r="AF130" i="14"/>
  <c r="AD130" i="14"/>
  <c r="AC130" i="14"/>
  <c r="AA130" i="14"/>
  <c r="Z130" i="14"/>
  <c r="W130" i="14"/>
  <c r="U130" i="14"/>
  <c r="T130" i="14"/>
  <c r="R130" i="14"/>
  <c r="Q130" i="14"/>
  <c r="O130" i="14"/>
  <c r="N130" i="14"/>
  <c r="L130" i="14"/>
  <c r="K130" i="14"/>
  <c r="I130" i="14"/>
  <c r="H130" i="14"/>
  <c r="F129" i="14"/>
  <c r="E129" i="14"/>
  <c r="F128" i="14"/>
  <c r="E128" i="14"/>
  <c r="F127" i="14"/>
  <c r="E127" i="14"/>
  <c r="F126" i="14"/>
  <c r="E126" i="14"/>
  <c r="AO125" i="14"/>
  <c r="AQ125" i="14" s="1"/>
  <c r="AM125" i="14"/>
  <c r="AL125" i="14"/>
  <c r="AJ125" i="14"/>
  <c r="AI125" i="14"/>
  <c r="AG125" i="14"/>
  <c r="AF125" i="14"/>
  <c r="AD125" i="14"/>
  <c r="AC125" i="14"/>
  <c r="AA125" i="14"/>
  <c r="Z125" i="14"/>
  <c r="W125" i="14"/>
  <c r="Y125" i="14" s="1"/>
  <c r="U125" i="14"/>
  <c r="T125" i="14"/>
  <c r="R125" i="14"/>
  <c r="Q125" i="14"/>
  <c r="O125" i="14"/>
  <c r="N125" i="14"/>
  <c r="L125" i="14"/>
  <c r="K125" i="14"/>
  <c r="I125" i="14"/>
  <c r="H125" i="14"/>
  <c r="F124" i="14"/>
  <c r="E124" i="14"/>
  <c r="AK123" i="14"/>
  <c r="AH123" i="14"/>
  <c r="AE123" i="14"/>
  <c r="AB123" i="14"/>
  <c r="Y123" i="14"/>
  <c r="V123" i="14"/>
  <c r="S123" i="14"/>
  <c r="P123" i="14"/>
  <c r="M123" i="14"/>
  <c r="J123" i="14"/>
  <c r="F123" i="14"/>
  <c r="E123" i="14"/>
  <c r="AK122" i="14"/>
  <c r="AH122" i="14"/>
  <c r="AE122" i="14"/>
  <c r="AB122" i="14"/>
  <c r="Y122" i="14"/>
  <c r="V122" i="14"/>
  <c r="S122" i="14"/>
  <c r="P122" i="14"/>
  <c r="M122" i="14"/>
  <c r="J122" i="14"/>
  <c r="F122" i="14"/>
  <c r="E122" i="14"/>
  <c r="AK121" i="14"/>
  <c r="AH121" i="14"/>
  <c r="AE121" i="14"/>
  <c r="Y121" i="14"/>
  <c r="V121" i="14"/>
  <c r="S121" i="14"/>
  <c r="P121" i="14"/>
  <c r="M121" i="14"/>
  <c r="F121" i="14"/>
  <c r="E121" i="14"/>
  <c r="AO120" i="14"/>
  <c r="AQ120" i="14" s="1"/>
  <c r="AM120" i="14"/>
  <c r="AL120" i="14"/>
  <c r="AJ120" i="14"/>
  <c r="AI120" i="14"/>
  <c r="AG120" i="14"/>
  <c r="AF120" i="14"/>
  <c r="AD120" i="14"/>
  <c r="AC120" i="14"/>
  <c r="AA120" i="14"/>
  <c r="Z120" i="14"/>
  <c r="W120" i="14"/>
  <c r="U120" i="14"/>
  <c r="T120" i="14"/>
  <c r="R120" i="14"/>
  <c r="Q120" i="14"/>
  <c r="O120" i="14"/>
  <c r="N120" i="14"/>
  <c r="L120" i="14"/>
  <c r="K120" i="14"/>
  <c r="I120" i="14"/>
  <c r="H120" i="14"/>
  <c r="F119" i="14"/>
  <c r="E119" i="14"/>
  <c r="AI118" i="14"/>
  <c r="F118" i="14"/>
  <c r="E118" i="14"/>
  <c r="F117" i="14"/>
  <c r="E117" i="14"/>
  <c r="F116" i="14"/>
  <c r="E116" i="14"/>
  <c r="AO115" i="14"/>
  <c r="AL115" i="14"/>
  <c r="AJ115" i="14"/>
  <c r="AI115" i="14"/>
  <c r="AG115" i="14"/>
  <c r="AF115" i="14"/>
  <c r="AD115" i="14"/>
  <c r="AC115" i="14"/>
  <c r="Z115" i="14"/>
  <c r="W115" i="14"/>
  <c r="U115" i="14"/>
  <c r="T115" i="14"/>
  <c r="R115" i="14"/>
  <c r="Q115" i="14"/>
  <c r="O115" i="14"/>
  <c r="N115" i="14"/>
  <c r="K115" i="14"/>
  <c r="H115" i="14"/>
  <c r="F114" i="14"/>
  <c r="E114" i="14"/>
  <c r="F113" i="14"/>
  <c r="E113" i="14"/>
  <c r="F112" i="14"/>
  <c r="E112" i="14"/>
  <c r="F111" i="14"/>
  <c r="E111" i="14"/>
  <c r="AO110" i="14"/>
  <c r="AL110" i="14"/>
  <c r="AN110" i="14" s="1"/>
  <c r="AI110" i="14"/>
  <c r="AG110" i="14"/>
  <c r="AF110" i="14"/>
  <c r="AC110" i="14"/>
  <c r="Z110" i="14"/>
  <c r="F110" i="14"/>
  <c r="W110" i="14"/>
  <c r="T110" i="14"/>
  <c r="Q110" i="14"/>
  <c r="N110" i="14"/>
  <c r="K110" i="14"/>
  <c r="H110" i="14"/>
  <c r="F109" i="14"/>
  <c r="E109" i="14"/>
  <c r="Z108" i="14"/>
  <c r="Z163" i="14" s="1"/>
  <c r="V108" i="14"/>
  <c r="F108" i="14"/>
  <c r="F107" i="14"/>
  <c r="E107" i="14"/>
  <c r="F106" i="14"/>
  <c r="E106" i="14"/>
  <c r="AO105" i="14"/>
  <c r="AM105" i="14"/>
  <c r="AL105" i="14"/>
  <c r="AJ105" i="14"/>
  <c r="AI105" i="14"/>
  <c r="AG105" i="14"/>
  <c r="AF105" i="14"/>
  <c r="AD105" i="14"/>
  <c r="AC105" i="14"/>
  <c r="AA105" i="14"/>
  <c r="W105" i="14"/>
  <c r="U105" i="14"/>
  <c r="T105" i="14"/>
  <c r="R105" i="14"/>
  <c r="Q105" i="14"/>
  <c r="O105" i="14"/>
  <c r="N105" i="14"/>
  <c r="L105" i="14"/>
  <c r="K105" i="14"/>
  <c r="H105" i="14"/>
  <c r="F104" i="14"/>
  <c r="E104" i="14"/>
  <c r="W160" i="14"/>
  <c r="F103" i="14"/>
  <c r="E103" i="14"/>
  <c r="F102" i="14"/>
  <c r="E102" i="14"/>
  <c r="F101" i="14"/>
  <c r="E101" i="14"/>
  <c r="AO100" i="14"/>
  <c r="AL100" i="14"/>
  <c r="AI100" i="14"/>
  <c r="AF100" i="14"/>
  <c r="AC100" i="14"/>
  <c r="Z100" i="14"/>
  <c r="W100" i="14"/>
  <c r="T100" i="14"/>
  <c r="Q100" i="14"/>
  <c r="N100" i="14"/>
  <c r="K100" i="14"/>
  <c r="H100" i="14"/>
  <c r="F100" i="14"/>
  <c r="F99" i="14"/>
  <c r="E99" i="14"/>
  <c r="AK98" i="14"/>
  <c r="AE98" i="14"/>
  <c r="Y98" i="14"/>
  <c r="F98" i="14"/>
  <c r="E98" i="14"/>
  <c r="F97" i="14"/>
  <c r="E97" i="14"/>
  <c r="F96" i="14"/>
  <c r="E96" i="14"/>
  <c r="AO95" i="14"/>
  <c r="AQ95" i="14" s="1"/>
  <c r="AM95" i="14"/>
  <c r="AL95" i="14"/>
  <c r="AJ95" i="14"/>
  <c r="AI95" i="14"/>
  <c r="AF95" i="14"/>
  <c r="AH95" i="14" s="1"/>
  <c r="AD95" i="14"/>
  <c r="AC95" i="14"/>
  <c r="AA95" i="14"/>
  <c r="Z95" i="14"/>
  <c r="W95" i="14"/>
  <c r="U95" i="14"/>
  <c r="R95" i="14"/>
  <c r="O95" i="14"/>
  <c r="N95" i="14"/>
  <c r="L95" i="14"/>
  <c r="K95" i="14"/>
  <c r="I95" i="14"/>
  <c r="H95" i="14"/>
  <c r="F94" i="14"/>
  <c r="E94" i="14"/>
  <c r="AK93" i="14"/>
  <c r="S93" i="14"/>
  <c r="F93" i="14"/>
  <c r="E93" i="14"/>
  <c r="F92" i="14"/>
  <c r="E92" i="14"/>
  <c r="F91" i="14"/>
  <c r="E91" i="14"/>
  <c r="AO90" i="14"/>
  <c r="AM90" i="14"/>
  <c r="AL90" i="14"/>
  <c r="AJ90" i="14"/>
  <c r="AI90" i="14"/>
  <c r="AF90" i="14"/>
  <c r="AD90" i="14"/>
  <c r="AC90" i="14"/>
  <c r="AA90" i="14"/>
  <c r="Z90" i="14"/>
  <c r="W90" i="14"/>
  <c r="U90" i="14"/>
  <c r="T90" i="14"/>
  <c r="R90" i="14"/>
  <c r="Q90" i="14"/>
  <c r="O90" i="14"/>
  <c r="N90" i="14"/>
  <c r="L90" i="14"/>
  <c r="K90" i="14"/>
  <c r="H90" i="14"/>
  <c r="O88" i="14"/>
  <c r="E88" i="14"/>
  <c r="AP87" i="14"/>
  <c r="AP295" i="14" s="1"/>
  <c r="AP307" i="14" s="1"/>
  <c r="AM87" i="14"/>
  <c r="AM295" i="14" s="1"/>
  <c r="AJ87" i="14"/>
  <c r="AG87" i="14"/>
  <c r="AG295" i="14" s="1"/>
  <c r="AD87" i="14"/>
  <c r="AA87" i="14"/>
  <c r="L87" i="14"/>
  <c r="K87" i="14"/>
  <c r="AP86" i="14"/>
  <c r="AP294" i="14" s="1"/>
  <c r="AM86" i="14"/>
  <c r="AJ86" i="14"/>
  <c r="AD86" i="14"/>
  <c r="AA86" i="14"/>
  <c r="AP85" i="14"/>
  <c r="AP293" i="14" s="1"/>
  <c r="AM85" i="14"/>
  <c r="AJ85" i="14"/>
  <c r="AG85" i="14"/>
  <c r="AD85" i="14"/>
  <c r="AA85" i="14"/>
  <c r="AP84" i="14"/>
  <c r="AP292" i="14" s="1"/>
  <c r="AM84" i="14"/>
  <c r="AJ84" i="14"/>
  <c r="AG84" i="14"/>
  <c r="AD84" i="14"/>
  <c r="AA84" i="14"/>
  <c r="F82" i="14"/>
  <c r="E82" i="14"/>
  <c r="F81" i="14"/>
  <c r="E81" i="14"/>
  <c r="F80" i="14"/>
  <c r="E80" i="14"/>
  <c r="F79" i="14"/>
  <c r="E79" i="14"/>
  <c r="AO78" i="14"/>
  <c r="AL78" i="14"/>
  <c r="AJ78" i="14"/>
  <c r="AI78" i="14"/>
  <c r="AG78" i="14"/>
  <c r="AF78" i="14"/>
  <c r="AD78" i="14"/>
  <c r="AC78" i="14"/>
  <c r="AA78" i="14"/>
  <c r="Z78" i="14"/>
  <c r="W78" i="14"/>
  <c r="U78" i="14"/>
  <c r="T78" i="14"/>
  <c r="R78" i="14"/>
  <c r="Q78" i="14"/>
  <c r="N78" i="14"/>
  <c r="P78" i="14" s="1"/>
  <c r="L78" i="14"/>
  <c r="K78" i="14"/>
  <c r="I78" i="14"/>
  <c r="H78" i="14"/>
  <c r="F77" i="14"/>
  <c r="E77" i="14"/>
  <c r="F76" i="14"/>
  <c r="E76" i="14"/>
  <c r="AH75" i="14"/>
  <c r="F75" i="14"/>
  <c r="E75" i="14"/>
  <c r="F74" i="14"/>
  <c r="E74" i="14"/>
  <c r="F73" i="14"/>
  <c r="E73" i="14"/>
  <c r="AO72" i="14"/>
  <c r="AM72" i="14"/>
  <c r="AL72" i="14"/>
  <c r="AJ72" i="14"/>
  <c r="AI72" i="14"/>
  <c r="AG72" i="14"/>
  <c r="AF72" i="14"/>
  <c r="AD72" i="14"/>
  <c r="AC72" i="14"/>
  <c r="AA72" i="14"/>
  <c r="Z72" i="14"/>
  <c r="W72" i="14"/>
  <c r="U72" i="14"/>
  <c r="T72" i="14"/>
  <c r="R72" i="14"/>
  <c r="Q72" i="14"/>
  <c r="O72" i="14"/>
  <c r="N72" i="14"/>
  <c r="L72" i="14"/>
  <c r="F72" i="14" s="1"/>
  <c r="K72" i="14"/>
  <c r="H72" i="14"/>
  <c r="F71" i="14"/>
  <c r="E71" i="14"/>
  <c r="F70" i="14"/>
  <c r="E70" i="14"/>
  <c r="F69" i="14"/>
  <c r="E69" i="14"/>
  <c r="F68" i="14"/>
  <c r="E68" i="14"/>
  <c r="AO67" i="14"/>
  <c r="AL67" i="14"/>
  <c r="AJ67" i="14"/>
  <c r="AI67" i="14"/>
  <c r="AF67" i="14"/>
  <c r="AC67" i="14"/>
  <c r="Z67" i="14"/>
  <c r="W67" i="14"/>
  <c r="T67" i="14"/>
  <c r="Q67" i="14"/>
  <c r="N67" i="14"/>
  <c r="K67" i="14"/>
  <c r="H67" i="14"/>
  <c r="F66" i="14"/>
  <c r="E66" i="14"/>
  <c r="F65" i="14"/>
  <c r="E65" i="14"/>
  <c r="F64" i="14"/>
  <c r="E64" i="14"/>
  <c r="F63" i="14"/>
  <c r="E63" i="14"/>
  <c r="AO62" i="14"/>
  <c r="AL62" i="14"/>
  <c r="AI62" i="14"/>
  <c r="AF62" i="14"/>
  <c r="AC62" i="14"/>
  <c r="Z62" i="14"/>
  <c r="W62" i="14"/>
  <c r="T62" i="14"/>
  <c r="Q62" i="14"/>
  <c r="N62" i="14"/>
  <c r="K62" i="14"/>
  <c r="E62" i="14" s="1"/>
  <c r="H62" i="14"/>
  <c r="F62" i="14"/>
  <c r="F61" i="14"/>
  <c r="E61" i="14"/>
  <c r="F60" i="14"/>
  <c r="E60" i="14"/>
  <c r="F59" i="14"/>
  <c r="E59" i="14"/>
  <c r="F58" i="14"/>
  <c r="E58" i="14"/>
  <c r="AO57" i="14"/>
  <c r="AL57" i="14"/>
  <c r="AI57" i="14"/>
  <c r="AF57" i="14"/>
  <c r="AC57" i="14"/>
  <c r="Z57" i="14"/>
  <c r="W57" i="14"/>
  <c r="T57" i="14"/>
  <c r="Q57" i="14"/>
  <c r="N57" i="14"/>
  <c r="K57" i="14"/>
  <c r="H57" i="14"/>
  <c r="E57" i="14" s="1"/>
  <c r="F57" i="14"/>
  <c r="AO56" i="14"/>
  <c r="AL56" i="14"/>
  <c r="AI56" i="14"/>
  <c r="AF56" i="14"/>
  <c r="AC56" i="14"/>
  <c r="Z56" i="14"/>
  <c r="W56" i="14"/>
  <c r="U56" i="14"/>
  <c r="T56" i="14"/>
  <c r="R56" i="14"/>
  <c r="Q56" i="14"/>
  <c r="O56" i="14"/>
  <c r="N56" i="14"/>
  <c r="I56" i="14"/>
  <c r="H56" i="14"/>
  <c r="F56" i="14"/>
  <c r="AO55" i="14"/>
  <c r="AL55" i="14"/>
  <c r="AI55" i="14"/>
  <c r="AG55" i="14"/>
  <c r="AF55" i="14"/>
  <c r="AC55" i="14"/>
  <c r="Z55" i="14"/>
  <c r="W55" i="14"/>
  <c r="U55" i="14"/>
  <c r="T55" i="14"/>
  <c r="R55" i="14"/>
  <c r="Q55" i="14"/>
  <c r="O55" i="14"/>
  <c r="N55" i="14"/>
  <c r="L55" i="14"/>
  <c r="K55" i="14"/>
  <c r="I55" i="14"/>
  <c r="H55" i="14"/>
  <c r="AO54" i="14"/>
  <c r="AL54" i="14"/>
  <c r="AI54" i="14"/>
  <c r="AF54" i="14"/>
  <c r="AC54" i="14"/>
  <c r="Z54" i="14"/>
  <c r="W54" i="14"/>
  <c r="U54" i="14"/>
  <c r="T54" i="14"/>
  <c r="R54" i="14"/>
  <c r="Q54" i="14"/>
  <c r="O54" i="14"/>
  <c r="N54" i="14"/>
  <c r="L54" i="14"/>
  <c r="K54" i="14"/>
  <c r="I54" i="14"/>
  <c r="H54" i="14"/>
  <c r="F54" i="14"/>
  <c r="AO53" i="14"/>
  <c r="AO298" i="14" s="1"/>
  <c r="AL53" i="14"/>
  <c r="AL298" i="14" s="1"/>
  <c r="AI53" i="14"/>
  <c r="AF53" i="14"/>
  <c r="AF298" i="14" s="1"/>
  <c r="AC53" i="14"/>
  <c r="AC298" i="14" s="1"/>
  <c r="Z53" i="14"/>
  <c r="Z298" i="14" s="1"/>
  <c r="AB298" i="14" s="1"/>
  <c r="X298" i="14"/>
  <c r="W53" i="14"/>
  <c r="W298" i="14" s="1"/>
  <c r="U53" i="14"/>
  <c r="U298" i="14" s="1"/>
  <c r="T53" i="14"/>
  <c r="T298" i="14" s="1"/>
  <c r="R53" i="14"/>
  <c r="R298" i="14" s="1"/>
  <c r="Q53" i="14"/>
  <c r="Q298" i="14" s="1"/>
  <c r="O53" i="14"/>
  <c r="O298" i="14" s="1"/>
  <c r="N53" i="14"/>
  <c r="N298" i="14" s="1"/>
  <c r="L53" i="14"/>
  <c r="L298" i="14" s="1"/>
  <c r="K53" i="14"/>
  <c r="K298" i="14" s="1"/>
  <c r="I53" i="14"/>
  <c r="I298" i="14" s="1"/>
  <c r="H53" i="14"/>
  <c r="H298" i="14" s="1"/>
  <c r="AO52" i="14"/>
  <c r="AJ52" i="14"/>
  <c r="AG52" i="14"/>
  <c r="W52" i="14"/>
  <c r="Q52" i="14"/>
  <c r="K52" i="14"/>
  <c r="F51" i="14"/>
  <c r="F50" i="14"/>
  <c r="E50" i="14"/>
  <c r="F49" i="14"/>
  <c r="E49" i="14"/>
  <c r="F48" i="14"/>
  <c r="E48" i="14"/>
  <c r="F47" i="14"/>
  <c r="E47" i="14"/>
  <c r="AO46" i="14"/>
  <c r="AL46" i="14"/>
  <c r="AN46" i="14" s="1"/>
  <c r="AJ46" i="14"/>
  <c r="AI46" i="14"/>
  <c r="AK46" i="14" s="1"/>
  <c r="AG46" i="14"/>
  <c r="AF46" i="14"/>
  <c r="AD46" i="14"/>
  <c r="AC46" i="14"/>
  <c r="Z46" i="14"/>
  <c r="AB46" i="14" s="1"/>
  <c r="W46" i="14"/>
  <c r="T46" i="14"/>
  <c r="V46" i="14" s="1"/>
  <c r="R46" i="14"/>
  <c r="Q46" i="14"/>
  <c r="O46" i="14"/>
  <c r="N46" i="14"/>
  <c r="K46" i="14"/>
  <c r="H46" i="14"/>
  <c r="F45" i="14"/>
  <c r="E45" i="14"/>
  <c r="F44" i="14"/>
  <c r="E44" i="14"/>
  <c r="F43" i="14"/>
  <c r="E43" i="14"/>
  <c r="F42" i="14"/>
  <c r="E42" i="14"/>
  <c r="AO41" i="14"/>
  <c r="AL41" i="14"/>
  <c r="AI41" i="14"/>
  <c r="AF41" i="14"/>
  <c r="AD41" i="14"/>
  <c r="F41" i="14" s="1"/>
  <c r="AC41" i="14"/>
  <c r="Z41" i="14"/>
  <c r="W41" i="14"/>
  <c r="T41" i="14"/>
  <c r="Q41" i="14"/>
  <c r="N41" i="14"/>
  <c r="K41" i="14"/>
  <c r="H41" i="14"/>
  <c r="E41" i="14" s="1"/>
  <c r="AO39" i="14"/>
  <c r="AL39" i="14"/>
  <c r="AI39" i="14"/>
  <c r="AF39" i="14"/>
  <c r="AD39" i="14"/>
  <c r="AC39" i="14"/>
  <c r="AA39" i="14"/>
  <c r="AA295" i="14" s="1"/>
  <c r="AA314" i="14" s="1"/>
  <c r="Z39" i="14"/>
  <c r="W39" i="14"/>
  <c r="U39" i="14"/>
  <c r="T39" i="14"/>
  <c r="R39" i="14"/>
  <c r="Q39" i="14"/>
  <c r="O39" i="14"/>
  <c r="N39" i="14"/>
  <c r="L39" i="14"/>
  <c r="L295" i="14" s="1"/>
  <c r="K39" i="14"/>
  <c r="K295" i="14" s="1"/>
  <c r="I39" i="14"/>
  <c r="H39" i="14"/>
  <c r="AO38" i="14"/>
  <c r="AQ38" i="14" s="1"/>
  <c r="AM38" i="14"/>
  <c r="AL38" i="14"/>
  <c r="AJ38" i="14"/>
  <c r="AI38" i="14"/>
  <c r="AG38" i="14"/>
  <c r="AF38" i="14"/>
  <c r="AD38" i="14"/>
  <c r="AC38" i="14"/>
  <c r="AA38" i="14"/>
  <c r="Z38" i="14"/>
  <c r="W38" i="14"/>
  <c r="U38" i="14"/>
  <c r="T38" i="14"/>
  <c r="R38" i="14"/>
  <c r="Q38" i="14"/>
  <c r="O38" i="14"/>
  <c r="N38" i="14"/>
  <c r="L38" i="14"/>
  <c r="K38" i="14"/>
  <c r="I38" i="14"/>
  <c r="H38" i="14"/>
  <c r="AM37" i="14"/>
  <c r="AM293" i="14" s="1"/>
  <c r="AL37" i="14"/>
  <c r="AJ37" i="14"/>
  <c r="AI37" i="14"/>
  <c r="AG37" i="14"/>
  <c r="AF37" i="14"/>
  <c r="AD37" i="14"/>
  <c r="AD293" i="14" s="1"/>
  <c r="AC37" i="14"/>
  <c r="AA37" i="14"/>
  <c r="Z37" i="14"/>
  <c r="W37" i="14"/>
  <c r="U37" i="14"/>
  <c r="T37" i="14"/>
  <c r="R37" i="14"/>
  <c r="Q37" i="14"/>
  <c r="O37" i="14"/>
  <c r="N37" i="14"/>
  <c r="L37" i="14"/>
  <c r="K37" i="14"/>
  <c r="I37" i="14"/>
  <c r="H37" i="14"/>
  <c r="AO36" i="14"/>
  <c r="AM36" i="14"/>
  <c r="AM292" i="14" s="1"/>
  <c r="AL36" i="14"/>
  <c r="AJ36" i="14"/>
  <c r="AI36" i="14"/>
  <c r="AG36" i="14"/>
  <c r="AG292" i="14" s="1"/>
  <c r="AF36" i="14"/>
  <c r="AD36" i="14"/>
  <c r="AC36" i="14"/>
  <c r="AA36" i="14"/>
  <c r="Z36" i="14"/>
  <c r="W36" i="14"/>
  <c r="U36" i="14"/>
  <c r="T36" i="14"/>
  <c r="R36" i="14"/>
  <c r="Q36" i="14"/>
  <c r="O36" i="14"/>
  <c r="N36" i="14"/>
  <c r="L36" i="14"/>
  <c r="K36" i="14"/>
  <c r="K35" i="14" s="1"/>
  <c r="I36" i="14"/>
  <c r="H36" i="14"/>
  <c r="F34" i="14"/>
  <c r="E34" i="14"/>
  <c r="F33" i="14"/>
  <c r="E33" i="14"/>
  <c r="AK32" i="14"/>
  <c r="AH32" i="14"/>
  <c r="AE32" i="14"/>
  <c r="AB32" i="14"/>
  <c r="Y32" i="14"/>
  <c r="V32" i="14"/>
  <c r="S32" i="14"/>
  <c r="P32" i="14"/>
  <c r="M32" i="14"/>
  <c r="F32" i="14"/>
  <c r="E32" i="14"/>
  <c r="F31" i="14"/>
  <c r="E31" i="14"/>
  <c r="AO30" i="14"/>
  <c r="AQ30" i="14" s="1"/>
  <c r="AM30" i="14"/>
  <c r="AL30" i="14"/>
  <c r="AJ30" i="14"/>
  <c r="AI30" i="14"/>
  <c r="AG30" i="14"/>
  <c r="AF30" i="14"/>
  <c r="AD30" i="14"/>
  <c r="AC30" i="14"/>
  <c r="AA30" i="14"/>
  <c r="Z30" i="14"/>
  <c r="W30" i="14"/>
  <c r="U30" i="14"/>
  <c r="T30" i="14"/>
  <c r="R30" i="14"/>
  <c r="Q30" i="14"/>
  <c r="O30" i="14"/>
  <c r="N30" i="14"/>
  <c r="L30" i="14"/>
  <c r="K30" i="14"/>
  <c r="H30" i="14"/>
  <c r="F29" i="14"/>
  <c r="E29" i="14"/>
  <c r="AK28" i="14"/>
  <c r="AH28" i="14"/>
  <c r="AE28" i="14"/>
  <c r="AB28" i="14"/>
  <c r="Y28" i="14"/>
  <c r="V28" i="14"/>
  <c r="S28" i="14"/>
  <c r="P28" i="14"/>
  <c r="M28" i="14"/>
  <c r="J28" i="14"/>
  <c r="F28" i="14"/>
  <c r="E28" i="14"/>
  <c r="AK27" i="14"/>
  <c r="AH27" i="14"/>
  <c r="AE27" i="14"/>
  <c r="AB27" i="14"/>
  <c r="Y27" i="14"/>
  <c r="V27" i="14"/>
  <c r="S27" i="14"/>
  <c r="P27" i="14"/>
  <c r="M27" i="14"/>
  <c r="J27" i="14"/>
  <c r="F27" i="14"/>
  <c r="E27" i="14"/>
  <c r="F26" i="14"/>
  <c r="E26" i="14"/>
  <c r="AO25" i="14"/>
  <c r="AQ25" i="14" s="1"/>
  <c r="AM25" i="14"/>
  <c r="AL25" i="14"/>
  <c r="AJ25" i="14"/>
  <c r="AI25" i="14"/>
  <c r="AG25" i="14"/>
  <c r="AF25" i="14"/>
  <c r="AD25" i="14"/>
  <c r="AC25" i="14"/>
  <c r="AA25" i="14"/>
  <c r="Z25" i="14"/>
  <c r="W25" i="14"/>
  <c r="U25" i="14"/>
  <c r="T25" i="14"/>
  <c r="R25" i="14"/>
  <c r="Q25" i="14"/>
  <c r="O25" i="14"/>
  <c r="N25" i="14"/>
  <c r="L25" i="14"/>
  <c r="K25" i="14"/>
  <c r="I25" i="14"/>
  <c r="H25" i="14"/>
  <c r="F24" i="14"/>
  <c r="E24" i="14"/>
  <c r="F23" i="14"/>
  <c r="E23" i="14"/>
  <c r="F22" i="14"/>
  <c r="E22" i="14"/>
  <c r="F21" i="14"/>
  <c r="E21" i="14"/>
  <c r="AO20" i="14"/>
  <c r="AL20" i="14"/>
  <c r="AI20" i="14"/>
  <c r="AF20" i="14"/>
  <c r="AD20" i="14"/>
  <c r="F20" i="14" s="1"/>
  <c r="AC20" i="14"/>
  <c r="Z20" i="14"/>
  <c r="W20" i="14"/>
  <c r="T20" i="14"/>
  <c r="Q20" i="14"/>
  <c r="N20" i="14"/>
  <c r="K20" i="14"/>
  <c r="H20" i="14"/>
  <c r="F14" i="14"/>
  <c r="E14" i="14"/>
  <c r="F13" i="14"/>
  <c r="E13" i="14"/>
  <c r="F12" i="14"/>
  <c r="E12" i="14"/>
  <c r="F11" i="14"/>
  <c r="E11" i="14"/>
  <c r="AO10" i="14"/>
  <c r="AL10" i="14"/>
  <c r="AI10" i="14"/>
  <c r="AF10" i="14"/>
  <c r="AD10" i="14"/>
  <c r="AC10" i="14"/>
  <c r="AA10" i="14"/>
  <c r="Z10" i="14"/>
  <c r="W10" i="14"/>
  <c r="T10" i="14"/>
  <c r="R10" i="14"/>
  <c r="F10" i="14" s="1"/>
  <c r="Q10" i="14"/>
  <c r="N10" i="14"/>
  <c r="K10" i="14"/>
  <c r="H10" i="14"/>
  <c r="E191" i="14" l="1"/>
  <c r="S78" i="14"/>
  <c r="AK90" i="14"/>
  <c r="E166" i="14"/>
  <c r="E217" i="14"/>
  <c r="AN30" i="14"/>
  <c r="AE10" i="14"/>
  <c r="AG35" i="14"/>
  <c r="E56" i="14"/>
  <c r="F67" i="14"/>
  <c r="F95" i="14"/>
  <c r="F105" i="14"/>
  <c r="P105" i="14"/>
  <c r="S105" i="14"/>
  <c r="Z105" i="14"/>
  <c r="E110" i="14"/>
  <c r="AI163" i="14"/>
  <c r="AI199" i="14"/>
  <c r="AL235" i="14"/>
  <c r="AN222" i="14"/>
  <c r="AK288" i="14"/>
  <c r="AJ297" i="14"/>
  <c r="AE316" i="14"/>
  <c r="AJ292" i="14"/>
  <c r="AJ293" i="14"/>
  <c r="U35" i="14"/>
  <c r="AI298" i="14"/>
  <c r="H52" i="14"/>
  <c r="N52" i="14"/>
  <c r="T52" i="14"/>
  <c r="AJ295" i="14"/>
  <c r="AK135" i="14"/>
  <c r="S198" i="14"/>
  <c r="E207" i="14"/>
  <c r="E212" i="14"/>
  <c r="AJ296" i="14"/>
  <c r="AK286" i="14"/>
  <c r="F53" i="14"/>
  <c r="AN25" i="14"/>
  <c r="F30" i="14"/>
  <c r="AE30" i="14"/>
  <c r="AM35" i="14"/>
  <c r="AA294" i="14"/>
  <c r="AJ294" i="14"/>
  <c r="E39" i="14"/>
  <c r="AD295" i="14"/>
  <c r="F46" i="14"/>
  <c r="AC52" i="14"/>
  <c r="E53" i="14"/>
  <c r="I52" i="14"/>
  <c r="L52" i="14"/>
  <c r="O52" i="14"/>
  <c r="R52" i="14"/>
  <c r="U52" i="14"/>
  <c r="E54" i="14"/>
  <c r="AF52" i="14"/>
  <c r="AL52" i="14"/>
  <c r="E67" i="14"/>
  <c r="AB72" i="14"/>
  <c r="AK72" i="14"/>
  <c r="G74" i="14"/>
  <c r="AD83" i="14"/>
  <c r="E90" i="14"/>
  <c r="J90" i="14"/>
  <c r="AN90" i="14"/>
  <c r="AN95" i="14"/>
  <c r="E108" i="14"/>
  <c r="S115" i="14"/>
  <c r="AN120" i="14"/>
  <c r="S125" i="14"/>
  <c r="AN125" i="14"/>
  <c r="F135" i="14"/>
  <c r="AN181" i="14"/>
  <c r="AN186" i="14"/>
  <c r="AF196" i="14"/>
  <c r="AN234" i="14"/>
  <c r="M238" i="14"/>
  <c r="N264" i="14"/>
  <c r="P264" i="14" s="1"/>
  <c r="P267" i="14"/>
  <c r="AK271" i="14"/>
  <c r="AL271" i="14"/>
  <c r="AN273" i="14"/>
  <c r="E281" i="14"/>
  <c r="AK322" i="14"/>
  <c r="P140" i="14"/>
  <c r="V276" i="14"/>
  <c r="S288" i="14"/>
  <c r="V288" i="14"/>
  <c r="AP306" i="14"/>
  <c r="AP313" i="14"/>
  <c r="AP312" i="14"/>
  <c r="AP305" i="14"/>
  <c r="AP291" i="14"/>
  <c r="AP304" i="14"/>
  <c r="AP303" i="14" s="1"/>
  <c r="AP311" i="14"/>
  <c r="G278" i="14"/>
  <c r="AN248" i="14"/>
  <c r="AK227" i="14"/>
  <c r="AN227" i="14"/>
  <c r="V198" i="14"/>
  <c r="AK162" i="14"/>
  <c r="E319" i="14"/>
  <c r="F36" i="14"/>
  <c r="AP83" i="14"/>
  <c r="E161" i="14"/>
  <c r="V105" i="14"/>
  <c r="AN276" i="14"/>
  <c r="AM316" i="14"/>
  <c r="F253" i="14"/>
  <c r="R296" i="14"/>
  <c r="V253" i="14"/>
  <c r="U296" i="14"/>
  <c r="R35" i="14"/>
  <c r="AF35" i="14"/>
  <c r="AI35" i="14"/>
  <c r="AL35" i="14"/>
  <c r="H35" i="14"/>
  <c r="S298" i="14"/>
  <c r="V298" i="14"/>
  <c r="Y298" i="14"/>
  <c r="AN235" i="14"/>
  <c r="G240" i="14"/>
  <c r="F52" i="14"/>
  <c r="E55" i="14"/>
  <c r="F55" i="14"/>
  <c r="AI52" i="14"/>
  <c r="J199" i="14"/>
  <c r="AN271" i="14"/>
  <c r="AN238" i="14"/>
  <c r="E238" i="14"/>
  <c r="AM232" i="14"/>
  <c r="AM196" i="14"/>
  <c r="AM160" i="14"/>
  <c r="AM83" i="14"/>
  <c r="G75" i="14"/>
  <c r="AK319" i="14"/>
  <c r="AL316" i="14"/>
  <c r="AJ232" i="14"/>
  <c r="AJ160" i="14"/>
  <c r="AK95" i="14"/>
  <c r="AJ83" i="14"/>
  <c r="AJ35" i="14"/>
  <c r="F140" i="14"/>
  <c r="AB322" i="14"/>
  <c r="AG316" i="14"/>
  <c r="Q232" i="14"/>
  <c r="AH286" i="14"/>
  <c r="AH289" i="14"/>
  <c r="AH253" i="14"/>
  <c r="F234" i="14"/>
  <c r="AH222" i="14"/>
  <c r="AG196" i="14"/>
  <c r="AH171" i="14"/>
  <c r="AH135" i="14"/>
  <c r="AH125" i="14"/>
  <c r="F161" i="14"/>
  <c r="AG160" i="14"/>
  <c r="AH120" i="14"/>
  <c r="AH72" i="14"/>
  <c r="AG293" i="14"/>
  <c r="AE276" i="14"/>
  <c r="AE288" i="14"/>
  <c r="AE286" i="14"/>
  <c r="AE289" i="14"/>
  <c r="AE253" i="14"/>
  <c r="AE186" i="14"/>
  <c r="AE181" i="14"/>
  <c r="AE130" i="14"/>
  <c r="AD297" i="14"/>
  <c r="F319" i="14"/>
  <c r="G319" i="14" s="1"/>
  <c r="AD292" i="14"/>
  <c r="AE46" i="14"/>
  <c r="G188" i="14"/>
  <c r="AB198" i="14"/>
  <c r="AC196" i="14"/>
  <c r="F233" i="14"/>
  <c r="R232" i="14"/>
  <c r="U232" i="14"/>
  <c r="H316" i="14"/>
  <c r="AB318" i="14"/>
  <c r="AB319" i="14"/>
  <c r="G12" i="14"/>
  <c r="G13" i="14"/>
  <c r="AD294" i="14"/>
  <c r="AD306" i="14" s="1"/>
  <c r="AM294" i="14"/>
  <c r="Z52" i="14"/>
  <c r="G81" i="14"/>
  <c r="G118" i="14"/>
  <c r="M199" i="14"/>
  <c r="AA196" i="14"/>
  <c r="AK233" i="14"/>
  <c r="F266" i="14"/>
  <c r="I316" i="14"/>
  <c r="V319" i="14"/>
  <c r="AN35" i="14"/>
  <c r="L35" i="14"/>
  <c r="O35" i="14"/>
  <c r="AC35" i="14"/>
  <c r="E36" i="14"/>
  <c r="N35" i="14"/>
  <c r="J38" i="14"/>
  <c r="F39" i="14"/>
  <c r="AD160" i="14"/>
  <c r="AE25" i="14"/>
  <c r="AD35" i="14"/>
  <c r="AA292" i="14"/>
  <c r="AA304" i="14" s="1"/>
  <c r="F276" i="14"/>
  <c r="F198" i="14"/>
  <c r="G198" i="14" s="1"/>
  <c r="AB186" i="14"/>
  <c r="E171" i="14"/>
  <c r="AA160" i="14"/>
  <c r="AA311" i="14"/>
  <c r="E120" i="14"/>
  <c r="G113" i="14"/>
  <c r="G110" i="14"/>
  <c r="AA293" i="14"/>
  <c r="AA312" i="14" s="1"/>
  <c r="AA83" i="14"/>
  <c r="Z35" i="14"/>
  <c r="AB35" i="14" s="1"/>
  <c r="AA35" i="14"/>
  <c r="AA313" i="14"/>
  <c r="AA306" i="14"/>
  <c r="F38" i="14"/>
  <c r="X316" i="14"/>
  <c r="Y135" i="14"/>
  <c r="Y316" i="14"/>
  <c r="V318" i="14"/>
  <c r="Y319" i="14"/>
  <c r="Y318" i="14"/>
  <c r="T35" i="14"/>
  <c r="E38" i="14"/>
  <c r="V286" i="14"/>
  <c r="Y276" i="14"/>
  <c r="S322" i="14"/>
  <c r="G324" i="14"/>
  <c r="X286" i="14"/>
  <c r="F289" i="14"/>
  <c r="AK235" i="14"/>
  <c r="Y233" i="14"/>
  <c r="Y198" i="14"/>
  <c r="G189" i="14"/>
  <c r="Y186" i="14"/>
  <c r="AB196" i="14"/>
  <c r="V196" i="14"/>
  <c r="G184" i="14"/>
  <c r="Y181" i="14"/>
  <c r="Y140" i="14"/>
  <c r="AF160" i="14"/>
  <c r="Y130" i="14"/>
  <c r="AC160" i="14"/>
  <c r="AH162" i="14"/>
  <c r="AE162" i="14"/>
  <c r="AB162" i="14"/>
  <c r="Y160" i="14"/>
  <c r="Z316" i="14"/>
  <c r="AB316" i="14" s="1"/>
  <c r="E318" i="14"/>
  <c r="T316" i="14"/>
  <c r="V316" i="14" s="1"/>
  <c r="F318" i="14"/>
  <c r="G318" i="14" s="1"/>
  <c r="Y46" i="14"/>
  <c r="Y30" i="14"/>
  <c r="Q35" i="14"/>
  <c r="W35" i="14"/>
  <c r="Y25" i="14"/>
  <c r="AH38" i="14"/>
  <c r="E10" i="14"/>
  <c r="G10" i="14" s="1"/>
  <c r="V227" i="14"/>
  <c r="V222" i="14"/>
  <c r="V235" i="14"/>
  <c r="E130" i="14"/>
  <c r="U160" i="14"/>
  <c r="V120" i="14"/>
  <c r="AE163" i="14"/>
  <c r="AH35" i="14"/>
  <c r="V35" i="14"/>
  <c r="G317" i="14"/>
  <c r="G47" i="14"/>
  <c r="G48" i="14"/>
  <c r="G49" i="14"/>
  <c r="F321" i="14"/>
  <c r="S46" i="14"/>
  <c r="S316" i="14"/>
  <c r="S319" i="14"/>
  <c r="S318" i="14"/>
  <c r="G122" i="14"/>
  <c r="G27" i="14"/>
  <c r="T232" i="14"/>
  <c r="S271" i="14"/>
  <c r="R286" i="14"/>
  <c r="S286" i="14" s="1"/>
  <c r="G325" i="14"/>
  <c r="R160" i="14"/>
  <c r="G126" i="14"/>
  <c r="F267" i="14"/>
  <c r="Y235" i="14"/>
  <c r="G230" i="14"/>
  <c r="G229" i="14"/>
  <c r="G224" i="14"/>
  <c r="E227" i="14"/>
  <c r="W232" i="14"/>
  <c r="P227" i="14"/>
  <c r="P222" i="14"/>
  <c r="P198" i="14"/>
  <c r="G108" i="14"/>
  <c r="AB120" i="14"/>
  <c r="E125" i="14"/>
  <c r="P120" i="14"/>
  <c r="F163" i="14"/>
  <c r="E78" i="14"/>
  <c r="E30" i="14"/>
  <c r="V38" i="14"/>
  <c r="G28" i="14"/>
  <c r="P38" i="14"/>
  <c r="AF316" i="14"/>
  <c r="AI316" i="14"/>
  <c r="E46" i="14"/>
  <c r="G46" i="14" s="1"/>
  <c r="L232" i="14"/>
  <c r="M234" i="14"/>
  <c r="G223" i="14"/>
  <c r="M181" i="14"/>
  <c r="L196" i="14"/>
  <c r="M196" i="14" s="1"/>
  <c r="M186" i="14"/>
  <c r="M130" i="14"/>
  <c r="M125" i="14"/>
  <c r="L160" i="14"/>
  <c r="M30" i="14"/>
  <c r="M25" i="14"/>
  <c r="M35" i="14"/>
  <c r="E20" i="14"/>
  <c r="E25" i="14"/>
  <c r="P25" i="14"/>
  <c r="V25" i="14"/>
  <c r="AB25" i="14"/>
  <c r="AH25" i="14"/>
  <c r="G30" i="14"/>
  <c r="G32" i="14"/>
  <c r="P35" i="14"/>
  <c r="S72" i="14"/>
  <c r="F88" i="14"/>
  <c r="S90" i="14"/>
  <c r="G93" i="14"/>
  <c r="J95" i="14"/>
  <c r="E115" i="14"/>
  <c r="M120" i="14"/>
  <c r="Y120" i="14"/>
  <c r="AE120" i="14"/>
  <c r="G121" i="14"/>
  <c r="G123" i="14"/>
  <c r="P30" i="14"/>
  <c r="V30" i="14"/>
  <c r="AB30" i="14"/>
  <c r="AH30" i="14"/>
  <c r="Y35" i="14"/>
  <c r="Y95" i="14"/>
  <c r="F115" i="14"/>
  <c r="P125" i="14"/>
  <c r="V125" i="14"/>
  <c r="AE125" i="14"/>
  <c r="AK125" i="14"/>
  <c r="P130" i="14"/>
  <c r="V130" i="14"/>
  <c r="AB130" i="14"/>
  <c r="AH130" i="14"/>
  <c r="M135" i="14"/>
  <c r="S135" i="14"/>
  <c r="V135" i="14"/>
  <c r="AB135" i="14"/>
  <c r="G138" i="14"/>
  <c r="V140" i="14"/>
  <c r="E145" i="14"/>
  <c r="AN160" i="14"/>
  <c r="G161" i="14"/>
  <c r="J161" i="14"/>
  <c r="M161" i="14"/>
  <c r="P161" i="14"/>
  <c r="S161" i="14"/>
  <c r="V161" i="14"/>
  <c r="Y161" i="14"/>
  <c r="AE161" i="14"/>
  <c r="AH161" i="14"/>
  <c r="AN161" i="14"/>
  <c r="K160" i="14"/>
  <c r="M160" i="14" s="1"/>
  <c r="Y162" i="14"/>
  <c r="M163" i="14"/>
  <c r="P163" i="14"/>
  <c r="S163" i="14"/>
  <c r="AN163" i="14"/>
  <c r="F171" i="14"/>
  <c r="J196" i="14"/>
  <c r="Y196" i="14"/>
  <c r="AE196" i="14"/>
  <c r="E222" i="14"/>
  <c r="J222" i="14"/>
  <c r="M222" i="14"/>
  <c r="S222" i="14"/>
  <c r="Y222" i="14"/>
  <c r="AK222" i="14"/>
  <c r="S227" i="14"/>
  <c r="Y227" i="14"/>
  <c r="G228" i="14"/>
  <c r="M233" i="14"/>
  <c r="V233" i="14"/>
  <c r="F248" i="14"/>
  <c r="P253" i="14"/>
  <c r="Y253" i="14"/>
  <c r="AN253" i="14"/>
  <c r="F265" i="14"/>
  <c r="P271" i="14"/>
  <c r="S276" i="14"/>
  <c r="AB276" i="14"/>
  <c r="AH276" i="14"/>
  <c r="G279" i="14"/>
  <c r="AH160" i="14"/>
  <c r="J162" i="14"/>
  <c r="AH163" i="14"/>
  <c r="G174" i="14"/>
  <c r="G179" i="14"/>
  <c r="E181" i="14"/>
  <c r="P181" i="14"/>
  <c r="V181" i="14"/>
  <c r="AB181" i="14"/>
  <c r="AH181" i="14"/>
  <c r="E186" i="14"/>
  <c r="V186" i="14"/>
  <c r="AE198" i="14"/>
  <c r="AH198" i="14"/>
  <c r="AN198" i="14"/>
  <c r="S199" i="14"/>
  <c r="V199" i="14"/>
  <c r="AB199" i="14"/>
  <c r="AE199" i="14"/>
  <c r="G225" i="14"/>
  <c r="J232" i="14"/>
  <c r="S232" i="14"/>
  <c r="Y232" i="14"/>
  <c r="AK232" i="14"/>
  <c r="J234" i="14"/>
  <c r="P234" i="14"/>
  <c r="V234" i="14"/>
  <c r="AK234" i="14"/>
  <c r="S235" i="14"/>
  <c r="F271" i="14"/>
  <c r="P322" i="14"/>
  <c r="Y322" i="14"/>
  <c r="AN322" i="14"/>
  <c r="Y238" i="14"/>
  <c r="G256" i="14"/>
  <c r="S140" i="14"/>
  <c r="G142" i="14"/>
  <c r="M162" i="14"/>
  <c r="J186" i="14"/>
  <c r="J135" i="14"/>
  <c r="G98" i="14"/>
  <c r="I160" i="14"/>
  <c r="I35" i="14"/>
  <c r="AH186" i="14"/>
  <c r="AH196" i="14"/>
  <c r="AH199" i="14"/>
  <c r="Y199" i="14"/>
  <c r="P186" i="14"/>
  <c r="F25" i="14"/>
  <c r="J25" i="14"/>
  <c r="S35" i="14"/>
  <c r="AK35" i="14"/>
  <c r="AD311" i="14"/>
  <c r="AD304" i="14"/>
  <c r="AG311" i="14"/>
  <c r="AG304" i="14"/>
  <c r="AJ311" i="14"/>
  <c r="AJ304" i="14"/>
  <c r="AJ291" i="14"/>
  <c r="AM311" i="14"/>
  <c r="AM304" i="14"/>
  <c r="AM291" i="14"/>
  <c r="M37" i="14"/>
  <c r="S37" i="14"/>
  <c r="Y37" i="14"/>
  <c r="AE37" i="14"/>
  <c r="AG305" i="14"/>
  <c r="AK37" i="14"/>
  <c r="AM312" i="14"/>
  <c r="AM305" i="14"/>
  <c r="AO37" i="14"/>
  <c r="AQ37" i="14" s="1"/>
  <c r="AB38" i="14"/>
  <c r="AJ313" i="14"/>
  <c r="AJ306" i="14"/>
  <c r="AN38" i="14"/>
  <c r="K314" i="14"/>
  <c r="K307" i="14"/>
  <c r="E298" i="14"/>
  <c r="H299" i="14"/>
  <c r="H85" i="14"/>
  <c r="K299" i="14"/>
  <c r="K85" i="14"/>
  <c r="N299" i="14"/>
  <c r="N85" i="14"/>
  <c r="Q299" i="14"/>
  <c r="Q85" i="14"/>
  <c r="T299" i="14"/>
  <c r="T85" i="14"/>
  <c r="W299" i="14"/>
  <c r="W85" i="14"/>
  <c r="Z299" i="14"/>
  <c r="AB299" i="14" s="1"/>
  <c r="Z85" i="14"/>
  <c r="AB85" i="14" s="1"/>
  <c r="AF299" i="14"/>
  <c r="AF85" i="14"/>
  <c r="AL299" i="14"/>
  <c r="AN299" i="14" s="1"/>
  <c r="AL85" i="14"/>
  <c r="AN85" i="14" s="1"/>
  <c r="H300" i="14"/>
  <c r="H86" i="14"/>
  <c r="K300" i="14"/>
  <c r="K86" i="14"/>
  <c r="N300" i="14"/>
  <c r="N86" i="14"/>
  <c r="Q300" i="14"/>
  <c r="Q86" i="14"/>
  <c r="T300" i="14"/>
  <c r="T86" i="14"/>
  <c r="T294" i="14" s="1"/>
  <c r="W300" i="14"/>
  <c r="W86" i="14"/>
  <c r="W294" i="14" s="1"/>
  <c r="Z300" i="14"/>
  <c r="AB300" i="14" s="1"/>
  <c r="Z86" i="14"/>
  <c r="AB86" i="14" s="1"/>
  <c r="AF300" i="14"/>
  <c r="AF86" i="14"/>
  <c r="AF294" i="14" s="1"/>
  <c r="AI300" i="14"/>
  <c r="AK300" i="14" s="1"/>
  <c r="AI86" i="14"/>
  <c r="AO300" i="14"/>
  <c r="AO86" i="14"/>
  <c r="I301" i="14"/>
  <c r="I87" i="14"/>
  <c r="O301" i="14"/>
  <c r="O87" i="14"/>
  <c r="R301" i="14"/>
  <c r="R87" i="14"/>
  <c r="U301" i="14"/>
  <c r="U87" i="14"/>
  <c r="X301" i="14"/>
  <c r="AC301" i="14"/>
  <c r="AC87" i="14"/>
  <c r="AC295" i="14" s="1"/>
  <c r="AI301" i="14"/>
  <c r="AI87" i="14"/>
  <c r="AO301" i="14"/>
  <c r="AO87" i="14"/>
  <c r="E72" i="14"/>
  <c r="G72" i="14" s="1"/>
  <c r="F78" i="14"/>
  <c r="G78" i="14" s="1"/>
  <c r="H84" i="14"/>
  <c r="H292" i="14" s="1"/>
  <c r="K84" i="14"/>
  <c r="N84" i="14"/>
  <c r="N292" i="14" s="1"/>
  <c r="Q84" i="14"/>
  <c r="T84" i="14"/>
  <c r="T292" i="14" s="1"/>
  <c r="W84" i="14"/>
  <c r="Z84" i="14"/>
  <c r="Z292" i="14" s="1"/>
  <c r="AB292" i="14" s="1"/>
  <c r="AB311" i="14" s="1"/>
  <c r="AC84" i="14"/>
  <c r="AF84" i="14"/>
  <c r="AF292" i="14" s="1"/>
  <c r="AI84" i="14"/>
  <c r="AL84" i="14"/>
  <c r="AL292" i="14" s="1"/>
  <c r="AN292" i="14" s="1"/>
  <c r="AO84" i="14"/>
  <c r="AI160" i="14"/>
  <c r="AK160" i="14" s="1"/>
  <c r="N160" i="14"/>
  <c r="P160" i="14" s="1"/>
  <c r="Q160" i="14"/>
  <c r="T160" i="14"/>
  <c r="P162" i="14"/>
  <c r="V162" i="14"/>
  <c r="E163" i="14"/>
  <c r="G163" i="14" s="1"/>
  <c r="V163" i="14"/>
  <c r="AB163" i="14"/>
  <c r="N196" i="14"/>
  <c r="E199" i="14"/>
  <c r="S25" i="14"/>
  <c r="AK25" i="14"/>
  <c r="S30" i="14"/>
  <c r="AK30" i="14"/>
  <c r="F35" i="14"/>
  <c r="K292" i="14"/>
  <c r="Q292" i="14"/>
  <c r="W292" i="14"/>
  <c r="AC292" i="14"/>
  <c r="AE292" i="14" s="1"/>
  <c r="AI292" i="14"/>
  <c r="AK292" i="14" s="1"/>
  <c r="AO292" i="14"/>
  <c r="AQ292" i="14" s="1"/>
  <c r="F37" i="14"/>
  <c r="H293" i="14"/>
  <c r="J37" i="14"/>
  <c r="P37" i="14"/>
  <c r="T293" i="14"/>
  <c r="V37" i="14"/>
  <c r="AB37" i="14"/>
  <c r="AD312" i="14"/>
  <c r="AD305" i="14"/>
  <c r="AF293" i="14"/>
  <c r="AH37" i="14"/>
  <c r="AJ312" i="14"/>
  <c r="AJ305" i="14"/>
  <c r="AN37" i="14"/>
  <c r="K294" i="14"/>
  <c r="M38" i="14"/>
  <c r="Q294" i="14"/>
  <c r="S38" i="14"/>
  <c r="Y38" i="14"/>
  <c r="AE38" i="14"/>
  <c r="AI294" i="14"/>
  <c r="AK294" i="14" s="1"/>
  <c r="AK38" i="14"/>
  <c r="AM313" i="14"/>
  <c r="AM306" i="14"/>
  <c r="AO294" i="14"/>
  <c r="AQ294" i="14" s="1"/>
  <c r="L314" i="14"/>
  <c r="L307" i="14"/>
  <c r="O295" i="14"/>
  <c r="R295" i="14"/>
  <c r="U295" i="14"/>
  <c r="X295" i="14"/>
  <c r="AA307" i="14"/>
  <c r="AD314" i="14"/>
  <c r="AD307" i="14"/>
  <c r="AI295" i="14"/>
  <c r="AO295" i="14"/>
  <c r="F298" i="14"/>
  <c r="G298" i="14" s="1"/>
  <c r="I299" i="14"/>
  <c r="I85" i="14"/>
  <c r="L299" i="14"/>
  <c r="L85" i="14"/>
  <c r="L293" i="14" s="1"/>
  <c r="O299" i="14"/>
  <c r="O85" i="14"/>
  <c r="R299" i="14"/>
  <c r="S299" i="14" s="1"/>
  <c r="R85" i="14"/>
  <c r="U299" i="14"/>
  <c r="U85" i="14"/>
  <c r="X299" i="14"/>
  <c r="Y85" i="14"/>
  <c r="AC299" i="14"/>
  <c r="AC85" i="14"/>
  <c r="AC293" i="14" s="1"/>
  <c r="AE293" i="14" s="1"/>
  <c r="AI299" i="14"/>
  <c r="AK299" i="14" s="1"/>
  <c r="AI85" i="14"/>
  <c r="AO299" i="14"/>
  <c r="AO297" i="14" s="1"/>
  <c r="AO85" i="14"/>
  <c r="AO83" i="14" s="1"/>
  <c r="I300" i="14"/>
  <c r="I86" i="14"/>
  <c r="L300" i="14"/>
  <c r="L86" i="14"/>
  <c r="L294" i="14" s="1"/>
  <c r="M294" i="14" s="1"/>
  <c r="O300" i="14"/>
  <c r="O86" i="14"/>
  <c r="R300" i="14"/>
  <c r="S300" i="14" s="1"/>
  <c r="R86" i="14"/>
  <c r="U300" i="14"/>
  <c r="V300" i="14" s="1"/>
  <c r="U86" i="14"/>
  <c r="V86" i="14" s="1"/>
  <c r="X300" i="14"/>
  <c r="Y86" i="14"/>
  <c r="AC300" i="14"/>
  <c r="AE300" i="14" s="1"/>
  <c r="AC86" i="14"/>
  <c r="AC294" i="14" s="1"/>
  <c r="AG300" i="14"/>
  <c r="AG86" i="14"/>
  <c r="AH86" i="14" s="1"/>
  <c r="AL300" i="14"/>
  <c r="AN300" i="14" s="1"/>
  <c r="AL86" i="14"/>
  <c r="AL294" i="14" s="1"/>
  <c r="H301" i="14"/>
  <c r="H87" i="14"/>
  <c r="N301" i="14"/>
  <c r="N87" i="14"/>
  <c r="N295" i="14" s="1"/>
  <c r="Q301" i="14"/>
  <c r="Q87" i="14"/>
  <c r="T301" i="14"/>
  <c r="T87" i="14"/>
  <c r="T295" i="14" s="1"/>
  <c r="W301" i="14"/>
  <c r="W87" i="14"/>
  <c r="W295" i="14" s="1"/>
  <c r="Z301" i="14"/>
  <c r="Z87" i="14"/>
  <c r="Z295" i="14" s="1"/>
  <c r="AF301" i="14"/>
  <c r="AF87" i="14"/>
  <c r="AF295" i="14" s="1"/>
  <c r="AL301" i="14"/>
  <c r="AL87" i="14"/>
  <c r="AL295" i="14" s="1"/>
  <c r="I84" i="14"/>
  <c r="L84" i="14"/>
  <c r="L292" i="14" s="1"/>
  <c r="M292" i="14" s="1"/>
  <c r="O84" i="14"/>
  <c r="O292" i="14" s="1"/>
  <c r="R84" i="14"/>
  <c r="U84" i="14"/>
  <c r="Y84" i="14"/>
  <c r="Z160" i="14"/>
  <c r="S162" i="14"/>
  <c r="Y163" i="14"/>
  <c r="AK163" i="14"/>
  <c r="AK199" i="14"/>
  <c r="AI196" i="14"/>
  <c r="P196" i="14"/>
  <c r="AN196" i="14"/>
  <c r="P199" i="14"/>
  <c r="AN199" i="14"/>
  <c r="AO232" i="14"/>
  <c r="AQ232" i="14" s="1"/>
  <c r="E233" i="14"/>
  <c r="G233" i="14" s="1"/>
  <c r="G227" i="14"/>
  <c r="AG314" i="14"/>
  <c r="AG307" i="14"/>
  <c r="AJ314" i="14"/>
  <c r="AJ307" i="14"/>
  <c r="AM314" i="14"/>
  <c r="AM307" i="14"/>
  <c r="AJ315" i="14"/>
  <c r="AJ308" i="14"/>
  <c r="F296" i="14"/>
  <c r="F90" i="14"/>
  <c r="G90" i="14" s="1"/>
  <c r="E95" i="14"/>
  <c r="G95" i="14" s="1"/>
  <c r="E100" i="14"/>
  <c r="E105" i="14"/>
  <c r="G105" i="14" s="1"/>
  <c r="F120" i="14"/>
  <c r="G120" i="14" s="1"/>
  <c r="J120" i="14"/>
  <c r="F125" i="14"/>
  <c r="G125" i="14" s="1"/>
  <c r="J125" i="14"/>
  <c r="F130" i="14"/>
  <c r="J130" i="14"/>
  <c r="E133" i="14"/>
  <c r="G133" i="14" s="1"/>
  <c r="E135" i="14"/>
  <c r="G135" i="14" s="1"/>
  <c r="E140" i="14"/>
  <c r="G140" i="14" s="1"/>
  <c r="M140" i="14"/>
  <c r="F160" i="14"/>
  <c r="J160" i="14"/>
  <c r="AK161" i="14"/>
  <c r="AQ162" i="14"/>
  <c r="J163" i="14"/>
  <c r="E176" i="14"/>
  <c r="G176" i="14" s="1"/>
  <c r="F181" i="14"/>
  <c r="J181" i="14"/>
  <c r="F186" i="14"/>
  <c r="S196" i="14"/>
  <c r="AK198" i="14"/>
  <c r="N232" i="14"/>
  <c r="P232" i="14" s="1"/>
  <c r="AL232" i="14"/>
  <c r="S233" i="14"/>
  <c r="S234" i="14"/>
  <c r="M235" i="14"/>
  <c r="Y286" i="14"/>
  <c r="Y288" i="14"/>
  <c r="Y289" i="14"/>
  <c r="AE95" i="14"/>
  <c r="S120" i="14"/>
  <c r="AK120" i="14"/>
  <c r="S130" i="14"/>
  <c r="AK130" i="14"/>
  <c r="F162" i="14"/>
  <c r="AE171" i="14"/>
  <c r="S181" i="14"/>
  <c r="AK181" i="14"/>
  <c r="S186" i="14"/>
  <c r="AK186" i="14"/>
  <c r="F196" i="14"/>
  <c r="J198" i="14"/>
  <c r="F199" i="14"/>
  <c r="E202" i="14"/>
  <c r="E220" i="14"/>
  <c r="E235" i="14"/>
  <c r="F222" i="14"/>
  <c r="G222" i="14" s="1"/>
  <c r="M227" i="14"/>
  <c r="F232" i="14"/>
  <c r="K232" i="14"/>
  <c r="E234" i="14"/>
  <c r="G234" i="14" s="1"/>
  <c r="Y234" i="14"/>
  <c r="P289" i="14"/>
  <c r="S253" i="14"/>
  <c r="AB271" i="14"/>
  <c r="F286" i="14"/>
  <c r="F288" i="14"/>
  <c r="N288" i="14"/>
  <c r="Z288" i="14"/>
  <c r="AL288" i="14"/>
  <c r="AL286" i="14" s="1"/>
  <c r="AN286" i="14" s="1"/>
  <c r="Z289" i="14"/>
  <c r="F235" i="14"/>
  <c r="F238" i="14"/>
  <c r="G238" i="14" s="1"/>
  <c r="E241" i="14"/>
  <c r="G241" i="14" s="1"/>
  <c r="N248" i="14"/>
  <c r="E248" i="14" s="1"/>
  <c r="G248" i="14" s="1"/>
  <c r="E251" i="14"/>
  <c r="G251" i="14" s="1"/>
  <c r="E266" i="14"/>
  <c r="G266" i="14" s="1"/>
  <c r="E267" i="14"/>
  <c r="W271" i="14"/>
  <c r="E273" i="14"/>
  <c r="G273" i="14" s="1"/>
  <c r="Y273" i="14"/>
  <c r="AB273" i="14"/>
  <c r="E274" i="14"/>
  <c r="G274" i="14" s="1"/>
  <c r="P274" i="14"/>
  <c r="Y274" i="14"/>
  <c r="AB274" i="14"/>
  <c r="E276" i="14"/>
  <c r="G276" i="14" s="1"/>
  <c r="F315" i="14" l="1"/>
  <c r="F308" i="14"/>
  <c r="AN288" i="14"/>
  <c r="AP310" i="14"/>
  <c r="G186" i="14"/>
  <c r="AE35" i="14"/>
  <c r="AN316" i="14"/>
  <c r="F258" i="14"/>
  <c r="AN86" i="14"/>
  <c r="AN232" i="14"/>
  <c r="AN294" i="14"/>
  <c r="G199" i="14"/>
  <c r="AK316" i="14"/>
  <c r="AG297" i="14"/>
  <c r="G267" i="14"/>
  <c r="F264" i="14"/>
  <c r="AG294" i="14"/>
  <c r="AG313" i="14" s="1"/>
  <c r="AG312" i="14"/>
  <c r="AD313" i="14"/>
  <c r="AD291" i="14"/>
  <c r="AE294" i="14"/>
  <c r="I292" i="14"/>
  <c r="AB84" i="14"/>
  <c r="E52" i="14"/>
  <c r="O294" i="14"/>
  <c r="O306" i="14" s="1"/>
  <c r="P86" i="14"/>
  <c r="I293" i="14"/>
  <c r="I312" i="14" s="1"/>
  <c r="G38" i="14"/>
  <c r="J35" i="14"/>
  <c r="AE160" i="14"/>
  <c r="G171" i="14"/>
  <c r="AA291" i="14"/>
  <c r="AA305" i="14"/>
  <c r="AA303" i="14" s="1"/>
  <c r="G115" i="14"/>
  <c r="AA310" i="14"/>
  <c r="V160" i="14"/>
  <c r="V299" i="14"/>
  <c r="Y300" i="14"/>
  <c r="Y299" i="14"/>
  <c r="V232" i="14"/>
  <c r="G181" i="14"/>
  <c r="G130" i="14"/>
  <c r="AB160" i="14"/>
  <c r="X293" i="14"/>
  <c r="X292" i="14"/>
  <c r="Y292" i="14" s="1"/>
  <c r="U293" i="14"/>
  <c r="V293" i="14" s="1"/>
  <c r="V85" i="14"/>
  <c r="U292" i="14"/>
  <c r="V292" i="14" s="1"/>
  <c r="V84" i="14"/>
  <c r="G25" i="14"/>
  <c r="R292" i="14"/>
  <c r="R311" i="14" s="1"/>
  <c r="S84" i="14"/>
  <c r="S86" i="14"/>
  <c r="S85" i="14"/>
  <c r="G235" i="14"/>
  <c r="N294" i="14"/>
  <c r="N306" i="14" s="1"/>
  <c r="E232" i="14"/>
  <c r="J292" i="14"/>
  <c r="J311" i="14" s="1"/>
  <c r="I311" i="14"/>
  <c r="I304" i="14"/>
  <c r="G232" i="14"/>
  <c r="AE86" i="14"/>
  <c r="AC297" i="14"/>
  <c r="AE297" i="14" s="1"/>
  <c r="X297" i="14"/>
  <c r="U297" i="14"/>
  <c r="R297" i="14"/>
  <c r="O297" i="14"/>
  <c r="L297" i="14"/>
  <c r="AL297" i="14"/>
  <c r="AN297" i="14" s="1"/>
  <c r="AF297" i="14"/>
  <c r="Z297" i="14"/>
  <c r="AB297" i="14" s="1"/>
  <c r="W297" i="14"/>
  <c r="T297" i="14"/>
  <c r="N297" i="14"/>
  <c r="K297" i="14"/>
  <c r="H297" i="14"/>
  <c r="P294" i="14"/>
  <c r="P313" i="14" s="1"/>
  <c r="U311" i="14"/>
  <c r="O311" i="14"/>
  <c r="O304" i="14"/>
  <c r="P292" i="14"/>
  <c r="P311" i="14" s="1"/>
  <c r="R304" i="14"/>
  <c r="L311" i="14"/>
  <c r="L304" i="14"/>
  <c r="M311" i="14"/>
  <c r="L291" i="14"/>
  <c r="AL314" i="14"/>
  <c r="AL307" i="14"/>
  <c r="AF314" i="14"/>
  <c r="AF307" i="14"/>
  <c r="Z314" i="14"/>
  <c r="Z307" i="14"/>
  <c r="W314" i="14"/>
  <c r="W307" i="14"/>
  <c r="T314" i="14"/>
  <c r="T307" i="14"/>
  <c r="N314" i="14"/>
  <c r="N307" i="14"/>
  <c r="AL313" i="14"/>
  <c r="AN313" i="14" s="1"/>
  <c r="AL306" i="14"/>
  <c r="AN306" i="14" s="1"/>
  <c r="AG306" i="14"/>
  <c r="AG303" i="14" s="1"/>
  <c r="AC313" i="14"/>
  <c r="AC306" i="14"/>
  <c r="AE306" i="14" s="1"/>
  <c r="O313" i="14"/>
  <c r="L313" i="14"/>
  <c r="L306" i="14"/>
  <c r="AC312" i="14"/>
  <c r="AC305" i="14"/>
  <c r="X312" i="14"/>
  <c r="U312" i="14"/>
  <c r="U305" i="14"/>
  <c r="L312" i="14"/>
  <c r="L305" i="14"/>
  <c r="I305" i="14"/>
  <c r="AC314" i="14"/>
  <c r="AC307" i="14"/>
  <c r="AF313" i="14"/>
  <c r="AF306" i="14"/>
  <c r="T313" i="14"/>
  <c r="T306" i="14"/>
  <c r="N313" i="14"/>
  <c r="E288" i="14"/>
  <c r="G288" i="14" s="1"/>
  <c r="N286" i="14"/>
  <c r="E289" i="14"/>
  <c r="G289" i="14" s="1"/>
  <c r="AO160" i="14"/>
  <c r="AQ160" i="14" s="1"/>
  <c r="F84" i="14"/>
  <c r="E301" i="14"/>
  <c r="F300" i="14"/>
  <c r="F299" i="14"/>
  <c r="I297" i="14"/>
  <c r="AI314" i="14"/>
  <c r="AI307" i="14"/>
  <c r="U314" i="14"/>
  <c r="U307" i="14"/>
  <c r="O314" i="14"/>
  <c r="O307" i="14"/>
  <c r="W313" i="14"/>
  <c r="W306" i="14"/>
  <c r="K313" i="14"/>
  <c r="K306" i="14"/>
  <c r="AF312" i="14"/>
  <c r="AF305" i="14"/>
  <c r="AE305" i="14"/>
  <c r="T312" i="14"/>
  <c r="V312" i="14" s="1"/>
  <c r="T305" i="14"/>
  <c r="H312" i="14"/>
  <c r="H305" i="14"/>
  <c r="AO311" i="14"/>
  <c r="AQ311" i="14" s="1"/>
  <c r="AO304" i="14"/>
  <c r="AQ304" i="14" s="1"/>
  <c r="AI311" i="14"/>
  <c r="AI304" i="14"/>
  <c r="AC311" i="14"/>
  <c r="AC304" i="14"/>
  <c r="AC291" i="14"/>
  <c r="W311" i="14"/>
  <c r="W304" i="14"/>
  <c r="Q311" i="14"/>
  <c r="Q304" i="14"/>
  <c r="K311" i="14"/>
  <c r="K304" i="14"/>
  <c r="S160" i="14"/>
  <c r="E162" i="14"/>
  <c r="G162" i="14" s="1"/>
  <c r="F87" i="14"/>
  <c r="AK86" i="14"/>
  <c r="AK313" i="14" s="1"/>
  <c r="E86" i="14"/>
  <c r="AL83" i="14"/>
  <c r="AN83" i="14" s="1"/>
  <c r="AF83" i="14"/>
  <c r="Z83" i="14"/>
  <c r="AB83" i="14" s="1"/>
  <c r="W83" i="14"/>
  <c r="T83" i="14"/>
  <c r="Q83" i="14"/>
  <c r="N83" i="14"/>
  <c r="K83" i="14"/>
  <c r="E85" i="14"/>
  <c r="H83" i="14"/>
  <c r="Z294" i="14"/>
  <c r="H294" i="14"/>
  <c r="AO293" i="14"/>
  <c r="AQ293" i="14" s="1"/>
  <c r="E37" i="14"/>
  <c r="G37" i="14" s="1"/>
  <c r="AO35" i="14"/>
  <c r="AQ35" i="14" s="1"/>
  <c r="AH293" i="14"/>
  <c r="Q293" i="14"/>
  <c r="AM303" i="14"/>
  <c r="AJ310" i="14"/>
  <c r="AE304" i="14"/>
  <c r="AD303" i="14"/>
  <c r="E271" i="14"/>
  <c r="G271" i="14" s="1"/>
  <c r="AB289" i="14"/>
  <c r="Z286" i="14"/>
  <c r="AB288" i="14"/>
  <c r="Y271" i="14"/>
  <c r="AK196" i="14"/>
  <c r="E87" i="14"/>
  <c r="AH294" i="14"/>
  <c r="AH313" i="14" s="1"/>
  <c r="AG83" i="14"/>
  <c r="AH83" i="14" s="1"/>
  <c r="F86" i="14"/>
  <c r="AI83" i="14"/>
  <c r="AC83" i="14"/>
  <c r="AE83" i="14" s="1"/>
  <c r="U83" i="14"/>
  <c r="R83" i="14"/>
  <c r="O83" i="14"/>
  <c r="P83" i="14" s="1"/>
  <c r="L83" i="14"/>
  <c r="F85" i="14"/>
  <c r="I83" i="14"/>
  <c r="AI297" i="14"/>
  <c r="AK297" i="14" s="1"/>
  <c r="AO314" i="14"/>
  <c r="AO307" i="14"/>
  <c r="X314" i="14"/>
  <c r="X307" i="14"/>
  <c r="R314" i="14"/>
  <c r="R307" i="14"/>
  <c r="F295" i="14"/>
  <c r="AO313" i="14"/>
  <c r="AQ313" i="14" s="1"/>
  <c r="AO306" i="14"/>
  <c r="AQ306" i="14" s="1"/>
  <c r="AI313" i="14"/>
  <c r="AI306" i="14"/>
  <c r="U294" i="14"/>
  <c r="U291" i="14" s="1"/>
  <c r="Q313" i="14"/>
  <c r="Q306" i="14"/>
  <c r="M313" i="14"/>
  <c r="I294" i="14"/>
  <c r="AL293" i="14"/>
  <c r="AE312" i="14"/>
  <c r="Z293" i="14"/>
  <c r="R293" i="14"/>
  <c r="N293" i="14"/>
  <c r="N291" i="14" s="1"/>
  <c r="AL311" i="14"/>
  <c r="AN311" i="14" s="1"/>
  <c r="AL304" i="14"/>
  <c r="AN304" i="14" s="1"/>
  <c r="AF311" i="14"/>
  <c r="AF304" i="14"/>
  <c r="AF291" i="14"/>
  <c r="Z311" i="14"/>
  <c r="Z304" i="14"/>
  <c r="T311" i="14"/>
  <c r="T304" i="14"/>
  <c r="T291" i="14"/>
  <c r="N311" i="14"/>
  <c r="N304" i="14"/>
  <c r="H311" i="14"/>
  <c r="H304" i="14"/>
  <c r="E292" i="14"/>
  <c r="M232" i="14"/>
  <c r="E196" i="14"/>
  <c r="G196" i="14" s="1"/>
  <c r="E84" i="14"/>
  <c r="I307" i="14"/>
  <c r="F301" i="14"/>
  <c r="E300" i="14"/>
  <c r="E299" i="14"/>
  <c r="Q297" i="14"/>
  <c r="Q295" i="14"/>
  <c r="AB294" i="14"/>
  <c r="AB313" i="14" s="1"/>
  <c r="X294" i="14"/>
  <c r="Y294" i="14" s="1"/>
  <c r="R294" i="14"/>
  <c r="AI293" i="14"/>
  <c r="AK293" i="14" s="1"/>
  <c r="AH305" i="14"/>
  <c r="W293" i="14"/>
  <c r="O293" i="14"/>
  <c r="K293" i="14"/>
  <c r="AM310" i="14"/>
  <c r="AK304" i="14"/>
  <c r="AJ303" i="14"/>
  <c r="AE311" i="14"/>
  <c r="AD310" i="14"/>
  <c r="AE313" i="14" l="1"/>
  <c r="E160" i="14"/>
  <c r="G160" i="14" s="1"/>
  <c r="AF303" i="14"/>
  <c r="F314" i="14"/>
  <c r="G86" i="14"/>
  <c r="J293" i="14"/>
  <c r="J312" i="14" s="1"/>
  <c r="AG291" i="14"/>
  <c r="F292" i="14"/>
  <c r="U304" i="14"/>
  <c r="J294" i="14"/>
  <c r="J313" i="14" s="1"/>
  <c r="AL291" i="14"/>
  <c r="AN291" i="14" s="1"/>
  <c r="AN293" i="14"/>
  <c r="AG310" i="14"/>
  <c r="AE291" i="14"/>
  <c r="S297" i="14"/>
  <c r="X305" i="14"/>
  <c r="Y293" i="14"/>
  <c r="AC303" i="14"/>
  <c r="AE303" i="14" s="1"/>
  <c r="AC310" i="14"/>
  <c r="AE310" i="14" s="1"/>
  <c r="F307" i="14"/>
  <c r="Y297" i="14"/>
  <c r="X304" i="14"/>
  <c r="X311" i="14"/>
  <c r="Y311" i="14" s="1"/>
  <c r="Y83" i="14"/>
  <c r="Z291" i="14"/>
  <c r="G300" i="14"/>
  <c r="V83" i="14"/>
  <c r="G299" i="14"/>
  <c r="T310" i="14"/>
  <c r="V311" i="14"/>
  <c r="G84" i="14"/>
  <c r="V297" i="14"/>
  <c r="V294" i="14"/>
  <c r="V291" i="14"/>
  <c r="S294" i="14"/>
  <c r="S293" i="14"/>
  <c r="S311" i="14"/>
  <c r="S304" i="14"/>
  <c r="S292" i="14"/>
  <c r="S83" i="14"/>
  <c r="M293" i="14"/>
  <c r="M312" i="14" s="1"/>
  <c r="AF310" i="14"/>
  <c r="T303" i="14"/>
  <c r="G85" i="14"/>
  <c r="J304" i="14"/>
  <c r="R291" i="14"/>
  <c r="W312" i="14"/>
  <c r="W310" i="14" s="1"/>
  <c r="W305" i="14"/>
  <c r="W303" i="14" s="1"/>
  <c r="X313" i="14"/>
  <c r="Y313" i="14" s="1"/>
  <c r="X306" i="14"/>
  <c r="O312" i="14"/>
  <c r="O305" i="14"/>
  <c r="P293" i="14"/>
  <c r="P312" i="14" s="1"/>
  <c r="R313" i="14"/>
  <c r="R306" i="14"/>
  <c r="E311" i="14"/>
  <c r="N312" i="14"/>
  <c r="N310" i="14" s="1"/>
  <c r="N305" i="14"/>
  <c r="N303" i="14" s="1"/>
  <c r="Z312" i="14"/>
  <c r="Z305" i="14"/>
  <c r="AB293" i="14"/>
  <c r="I313" i="14"/>
  <c r="I306" i="14"/>
  <c r="F294" i="14"/>
  <c r="F83" i="14"/>
  <c r="AK83" i="14"/>
  <c r="AH303" i="14"/>
  <c r="AO312" i="14"/>
  <c r="AQ312" i="14" s="1"/>
  <c r="AO305" i="14"/>
  <c r="AQ305" i="14" s="1"/>
  <c r="Z313" i="14"/>
  <c r="Z306" i="14"/>
  <c r="AK306" i="14"/>
  <c r="E83" i="14"/>
  <c r="K291" i="14"/>
  <c r="E293" i="14"/>
  <c r="F297" i="14"/>
  <c r="E286" i="14"/>
  <c r="G286" i="14" s="1"/>
  <c r="P286" i="14"/>
  <c r="I291" i="14"/>
  <c r="J305" i="14"/>
  <c r="V305" i="14"/>
  <c r="M306" i="14"/>
  <c r="P306" i="14"/>
  <c r="G292" i="14"/>
  <c r="M304" i="14"/>
  <c r="L303" i="14"/>
  <c r="O291" i="14"/>
  <c r="P291" i="14" s="1"/>
  <c r="O303" i="14"/>
  <c r="P304" i="14"/>
  <c r="K312" i="14"/>
  <c r="K305" i="14"/>
  <c r="AI312" i="14"/>
  <c r="AI305" i="14"/>
  <c r="Q314" i="14"/>
  <c r="Q307" i="14"/>
  <c r="E304" i="14"/>
  <c r="R312" i="14"/>
  <c r="R305" i="14"/>
  <c r="AL312" i="14"/>
  <c r="AL305" i="14"/>
  <c r="AN305" i="14" s="1"/>
  <c r="U313" i="14"/>
  <c r="U310" i="14" s="1"/>
  <c r="U306" i="14"/>
  <c r="V306" i="14" s="1"/>
  <c r="AB286" i="14"/>
  <c r="AH304" i="14"/>
  <c r="Q312" i="14"/>
  <c r="Q305" i="14"/>
  <c r="AH312" i="14"/>
  <c r="AH292" i="14"/>
  <c r="E35" i="14"/>
  <c r="G35" i="14" s="1"/>
  <c r="H313" i="14"/>
  <c r="H306" i="14"/>
  <c r="E294" i="14"/>
  <c r="K303" i="14"/>
  <c r="Q291" i="14"/>
  <c r="W291" i="14"/>
  <c r="AI291" i="14"/>
  <c r="AI303" i="14"/>
  <c r="AO291" i="14"/>
  <c r="AQ291" i="14" s="1"/>
  <c r="AO310" i="14"/>
  <c r="AQ310" i="14" s="1"/>
  <c r="F293" i="14"/>
  <c r="I310" i="14"/>
  <c r="M305" i="14"/>
  <c r="AH306" i="14"/>
  <c r="L310" i="14"/>
  <c r="R303" i="14"/>
  <c r="E297" i="14"/>
  <c r="O310" i="14"/>
  <c r="V304" i="14"/>
  <c r="X291" i="14"/>
  <c r="AK291" i="14" l="1"/>
  <c r="AI310" i="14"/>
  <c r="AL310" i="14"/>
  <c r="AN310" i="14" s="1"/>
  <c r="AN312" i="14"/>
  <c r="Q303" i="14"/>
  <c r="AH310" i="14"/>
  <c r="Y312" i="14"/>
  <c r="AO303" i="14"/>
  <c r="AQ303" i="14" s="1"/>
  <c r="Z303" i="14"/>
  <c r="Y291" i="14"/>
  <c r="X303" i="14"/>
  <c r="Y304" i="14"/>
  <c r="F304" i="14"/>
  <c r="G304" i="14" s="1"/>
  <c r="X310" i="14"/>
  <c r="Y310" i="14" s="1"/>
  <c r="F311" i="14"/>
  <c r="G311" i="14" s="1"/>
  <c r="V310" i="14"/>
  <c r="V313" i="14"/>
  <c r="Y306" i="14"/>
  <c r="S303" i="14"/>
  <c r="S312" i="14"/>
  <c r="S306" i="14"/>
  <c r="S291" i="14"/>
  <c r="S305" i="14"/>
  <c r="S313" i="14"/>
  <c r="R310" i="14"/>
  <c r="E305" i="14"/>
  <c r="P310" i="14"/>
  <c r="E312" i="14"/>
  <c r="Y303" i="14"/>
  <c r="Y305" i="14"/>
  <c r="F312" i="14"/>
  <c r="K310" i="14"/>
  <c r="G293" i="14"/>
  <c r="M291" i="14"/>
  <c r="U303" i="14"/>
  <c r="V303" i="14" s="1"/>
  <c r="AK310" i="14"/>
  <c r="E306" i="14"/>
  <c r="AL303" i="14"/>
  <c r="AN303" i="14" s="1"/>
  <c r="AK312" i="14"/>
  <c r="AK305" i="14"/>
  <c r="AB303" i="14"/>
  <c r="M303" i="14"/>
  <c r="F291" i="14"/>
  <c r="F313" i="14"/>
  <c r="Z310" i="14"/>
  <c r="P305" i="14"/>
  <c r="M310" i="14"/>
  <c r="E313" i="14"/>
  <c r="AH311" i="14"/>
  <c r="AH291" i="14"/>
  <c r="P303" i="14"/>
  <c r="F305" i="14"/>
  <c r="G297" i="14"/>
  <c r="Q310" i="14"/>
  <c r="AB306" i="14"/>
  <c r="G83" i="14"/>
  <c r="G294" i="14"/>
  <c r="J306" i="14"/>
  <c r="F306" i="14"/>
  <c r="I303" i="14"/>
  <c r="AB312" i="14"/>
  <c r="AB291" i="14"/>
  <c r="AB305" i="14"/>
  <c r="AK303" i="14"/>
  <c r="F310" i="14" l="1"/>
  <c r="G305" i="14"/>
  <c r="G306" i="14"/>
  <c r="S310" i="14"/>
  <c r="G312" i="14"/>
  <c r="F303" i="14"/>
  <c r="AB310" i="14"/>
  <c r="AK311" i="14"/>
  <c r="G313" i="14"/>
  <c r="E322" i="14" l="1"/>
  <c r="F322" i="14"/>
  <c r="E316" i="14"/>
  <c r="F316" i="14"/>
  <c r="G316" i="14" l="1"/>
  <c r="G322" i="14"/>
  <c r="H253" i="14"/>
  <c r="E253" i="14" s="1"/>
  <c r="G253" i="14" s="1"/>
  <c r="E257" i="14"/>
  <c r="E268" i="14"/>
  <c r="H295" i="14"/>
  <c r="H291" i="14" s="1"/>
  <c r="H314" i="14" l="1"/>
  <c r="H310" i="14" s="1"/>
  <c r="E310" i="14" s="1"/>
  <c r="G310" i="14" s="1"/>
  <c r="E291" i="14"/>
  <c r="G291" i="14" s="1"/>
  <c r="J291" i="14"/>
  <c r="E264" i="14"/>
  <c r="G264" i="14" s="1"/>
  <c r="E314" i="14"/>
  <c r="H307" i="14"/>
  <c r="E295" i="14"/>
  <c r="J310" i="14" l="1"/>
  <c r="H303" i="14"/>
  <c r="E307" i="14"/>
  <c r="J303" i="14" l="1"/>
  <c r="E303" i="14"/>
  <c r="G303" i="14" s="1"/>
</calcChain>
</file>

<file path=xl/comments1.xml><?xml version="1.0" encoding="utf-8"?>
<comments xmlns="http://schemas.openxmlformats.org/spreadsheetml/2006/main">
  <authors>
    <author>Храмцова</author>
  </authors>
  <commentList>
    <comment ref="E20" authorId="0">
      <text>
        <r>
          <rPr>
            <b/>
            <sz val="9"/>
            <color indexed="81"/>
            <rFont val="Tahoma"/>
            <family val="2"/>
            <charset val="204"/>
          </rPr>
          <t>Храмцова:</t>
        </r>
        <r>
          <rPr>
            <sz val="9"/>
            <color indexed="81"/>
            <rFont val="Tahoma"/>
            <family val="2"/>
            <charset val="204"/>
          </rPr>
          <t xml:space="preserve">
1225/1613*100=79,94 пишем 75,9, и будет 100%  выполнение </t>
        </r>
      </text>
    </comment>
  </commentList>
</comments>
</file>

<file path=xl/sharedStrings.xml><?xml version="1.0" encoding="utf-8"?>
<sst xmlns="http://schemas.openxmlformats.org/spreadsheetml/2006/main" count="759" uniqueCount="326">
  <si>
    <t>Источники финансирования</t>
  </si>
  <si>
    <t>1.1.</t>
  </si>
  <si>
    <t>Подпрограмма I. Дошкольное образование</t>
  </si>
  <si>
    <t>Всего</t>
  </si>
  <si>
    <t>Бюджет Ханты-Мансийского автономного округа-Югры</t>
  </si>
  <si>
    <t>ИТОГО по подпрограмме I:</t>
  </si>
  <si>
    <t>Подпрограмма II. Развитие современной инфраструктуры</t>
  </si>
  <si>
    <t>ИТОГО по подпрограмме II:</t>
  </si>
  <si>
    <t>Подпрограмма III. Общее и дополнительное образование</t>
  </si>
  <si>
    <t>ИТОГО по подпрограмме III:</t>
  </si>
  <si>
    <t>Подпрограмма IV. Развитие муниципальной методической службы</t>
  </si>
  <si>
    <t>ИТОГО по подпрограмме IV:</t>
  </si>
  <si>
    <t>Подпрограмма V. "Здоровьесбережение и здоровьесозидание"</t>
  </si>
  <si>
    <t>ИТОГО по подпрограмме V:</t>
  </si>
  <si>
    <t>Подпрограмма VI. Молодежная политика</t>
  </si>
  <si>
    <t>ИТОГО по подпрограмме VI:</t>
  </si>
  <si>
    <t>Подпрограмма VII. Каникулярный отдых</t>
  </si>
  <si>
    <t>ИТОГО по подпрограмме VII:</t>
  </si>
  <si>
    <t>ИТОГО по программе:</t>
  </si>
  <si>
    <t>1.2.</t>
  </si>
  <si>
    <t>Федеральный бюджет</t>
  </si>
  <si>
    <t>Внебюджетные средства</t>
  </si>
  <si>
    <t>январь</t>
  </si>
  <si>
    <t>февраль</t>
  </si>
  <si>
    <t>март</t>
  </si>
  <si>
    <t>апрель</t>
  </si>
  <si>
    <t>май</t>
  </si>
  <si>
    <t>июнь</t>
  </si>
  <si>
    <t>июль</t>
  </si>
  <si>
    <t>август</t>
  </si>
  <si>
    <t>сентябрь</t>
  </si>
  <si>
    <t>октябрь</t>
  </si>
  <si>
    <t>ноябрь</t>
  </si>
  <si>
    <t>декабрь</t>
  </si>
  <si>
    <t>в том числе:</t>
  </si>
  <si>
    <t>Исполнение мероприятия</t>
  </si>
  <si>
    <t>Причины отклонения  фактически исполненных расходных обязательств от запланированных</t>
  </si>
  <si>
    <t>Согласовано:</t>
  </si>
  <si>
    <t xml:space="preserve">Комитет по финансам администрации грода Урай </t>
  </si>
  <si>
    <t>Исполнитель Невская Ирина Евгеньевна</t>
  </si>
  <si>
    <t>Исполнение, %</t>
  </si>
  <si>
    <t>План</t>
  </si>
  <si>
    <t>Факт</t>
  </si>
  <si>
    <t>Местный бюджет</t>
  </si>
  <si>
    <t>1.</t>
  </si>
  <si>
    <t>2.1.</t>
  </si>
  <si>
    <t>2.</t>
  </si>
  <si>
    <t>2.2.</t>
  </si>
  <si>
    <t>2.3.</t>
  </si>
  <si>
    <t>2.5.</t>
  </si>
  <si>
    <t>2.6.</t>
  </si>
  <si>
    <t>3.</t>
  </si>
  <si>
    <t>3.1.</t>
  </si>
  <si>
    <t>3.2.</t>
  </si>
  <si>
    <t>3.3.</t>
  </si>
  <si>
    <t>3.4.</t>
  </si>
  <si>
    <t>3.5.</t>
  </si>
  <si>
    <t>3.6.</t>
  </si>
  <si>
    <t>3.7.</t>
  </si>
  <si>
    <t>3.8.</t>
  </si>
  <si>
    <t>3.9.</t>
  </si>
  <si>
    <t>3.10.</t>
  </si>
  <si>
    <t>4.</t>
  </si>
  <si>
    <t>4.1.</t>
  </si>
  <si>
    <t>4.2.</t>
  </si>
  <si>
    <t>4.3.</t>
  </si>
  <si>
    <t>4.4.</t>
  </si>
  <si>
    <t>4.5.</t>
  </si>
  <si>
    <t>4.6.</t>
  </si>
  <si>
    <t>5.</t>
  </si>
  <si>
    <t>5.1.</t>
  </si>
  <si>
    <t>5.2.</t>
  </si>
  <si>
    <t>5.3.</t>
  </si>
  <si>
    <t>5.4.</t>
  </si>
  <si>
    <t>5.5.</t>
  </si>
  <si>
    <t>6.</t>
  </si>
  <si>
    <t>6.1.</t>
  </si>
  <si>
    <t>6.3.</t>
  </si>
  <si>
    <t>7.</t>
  </si>
  <si>
    <t>7.1.</t>
  </si>
  <si>
    <t>7.2.</t>
  </si>
  <si>
    <t>7.3.</t>
  </si>
  <si>
    <t>Организация мероприятий, направленных на развитие воспитанников дошкольных образовательных организаций (ежегодный городской шахматный турнир «Алая ладья», соревнования «Губернаторские состязания», соревнования «Мы – спортивная семья» и др.) (1, 2, 3, 4, 5)</t>
  </si>
  <si>
    <t>Материальная поддержка воспитания и обучения детей, посещающих дошкольные образовательные организации (1, 2, 3, 4, 5)</t>
  </si>
  <si>
    <t>Создание безопасных условий доставки обучающихся на образовательные, культурно-массовые и спортивные мероприятия, к местам отдыха и обратно (обеспечение автобусным транспортом)  (6)</t>
  </si>
  <si>
    <t>Строительство, проведение капитального ремонта и реконструкции объектов образования (6, 7, 8, 9, 10,11)</t>
  </si>
  <si>
    <t>Обеспечение безопасных и комфортных условий обучения, в том числе устранение предписаний надзорных органов (6, 7, 8, 9, 10, 11)</t>
  </si>
  <si>
    <t>Информатизация системы образования  (8)</t>
  </si>
  <si>
    <t>Поддержка инновационной деятельности  образовательных организаций (проведение грантовых конкурсов, поддержка ресурсных центров и др.) (14, 18)</t>
  </si>
  <si>
    <t>Организация и проведение мероприятий по развитию талантливых  детей и молодежи (участие в муниципальных, региональных, федеральных  учебно-исследовательских и творческих мероприятиях: олимпиады, сессии, форумы, чемпионаты, конкурсы, слеты, профильные смены; награждение  с участием главы города Урай, Губернатора Ханты-Мансийского автономного округа - Югры, награждение именной премией общества с ограниченной ответственностью «ЛУКОЙЛ – Западная Сибирь»  учащихся общеобразовательных организаций за отличную учебу и примерное поведение, достижение значительных результатов в олимпиадах, смотрах и конкурсах и др.) (13, 16, 18)</t>
  </si>
  <si>
    <t>Организация и проведение городского бала выпускников и участие в бале выпускников регионального уровня (16, 18)</t>
  </si>
  <si>
    <t>Реализация мероприятий, направленных на гражданско-патриотическое воспитание  молодежи (16, 17, 18)</t>
  </si>
  <si>
    <t>Мероприятия по профилактике правонарушений правил дорожного движения (проведение  и участие в мероприятиях городского, окружного, федерального уровней), приобретение учебного оборудования по правилам дорожного движения (16, 18)</t>
  </si>
  <si>
    <t>Мероприятия, способствующие развитию детских органов самоуправления (проведение  и участие в мероприятиях городского, окружного, федерального уровней) (16, 18, 19)</t>
  </si>
  <si>
    <t>Персонифицированное финансирование дополнительного образования детей (12, 17)</t>
  </si>
  <si>
    <t>Расходы на обеспечение проведения государственной итоговой аттестации (15, 18)</t>
  </si>
  <si>
    <t>Создание условий для повышения компетенций педагогов в контексте национальной системы учительского роста (20)</t>
  </si>
  <si>
    <t>Проведение педагогических конференций, совещаний, методических дней, форумов муниципального уровня и участие в мероприятиях окружного и всероссийского уровня и др. (20, 21)</t>
  </si>
  <si>
    <t>Конкурсы в сфере образования. Организация и проведение профессиональных праздников  (20, 21)</t>
  </si>
  <si>
    <t>Организация и участие в мероприятиях различного уровня, направленных на повышение квалификации специалистов  в сфере государственной молодежной политики (семинары, курсы повышения квалификации и др.) (20, 21)</t>
  </si>
  <si>
    <t>Мероприятия, направленные на формирование здорового образа жизни (проведение  и участие в мероприятиях городского, окружного, федерального уровней состязания, спартакиады и др.) (23)</t>
  </si>
  <si>
    <t>Мероприятия, направленные на повышение культуры безопасности, на снижение уровня детского травматизма и смертности несовершеннолетних от управляемых причин (проведение  и участие в мероприятиях городского, окружного, федерального уровней) (23)</t>
  </si>
  <si>
    <t>Обеспечение деятельности медицинского  блока образовательных организаций   (23)</t>
  </si>
  <si>
    <t>Обеспечение информирования обучающихся о неблагоприятных погодных условиях  (23)</t>
  </si>
  <si>
    <t>6.2.</t>
  </si>
  <si>
    <t>Организация участия детей и молодежи в возрасте от 14 до 30 лет во всероссийских, окружных молодежных мероприятиях (24)</t>
  </si>
  <si>
    <t>Организация и проведение мероприятий, направленных на формирование системы ценностей и мировоззрения (в том числе направленные на оказание поддержки добровольчеству/волонтерству), культуры безопасности и здорового образа жизни среди молодежи (конференции, форумы, сборы, походы, соревнования и др.) (24, 25, 26)</t>
  </si>
  <si>
    <t>Организация работы лагерей с дневным пребыванием детей и досуговых площадок (27)</t>
  </si>
  <si>
    <t>Организация выездного отдыха детей (27)</t>
  </si>
  <si>
    <t>Организация сплавов, походов (27)</t>
  </si>
  <si>
    <r>
      <t xml:space="preserve">Расходы на обеспечение деятельности (оказание услуг) муниципальных организаций  </t>
    </r>
    <r>
      <rPr>
        <b/>
        <sz val="9"/>
        <rFont val="Times New Roman"/>
        <family val="1"/>
        <charset val="204"/>
      </rPr>
      <t>дошкольного</t>
    </r>
    <r>
      <rPr>
        <sz val="9"/>
        <rFont val="Times New Roman"/>
        <family val="1"/>
        <charset val="204"/>
      </rPr>
      <t xml:space="preserve"> образования (1, 2, 3,.4, 5)</t>
    </r>
  </si>
  <si>
    <r>
      <t xml:space="preserve">Расходы на обеспечение деятельности (оказание услуг) муниципальных организаций  </t>
    </r>
    <r>
      <rPr>
        <b/>
        <sz val="9"/>
        <rFont val="Times New Roman"/>
        <family val="1"/>
        <charset val="204"/>
      </rPr>
      <t>дополнительного</t>
    </r>
    <r>
      <rPr>
        <sz val="9"/>
        <rFont val="Times New Roman"/>
        <family val="1"/>
        <charset val="204"/>
      </rPr>
      <t xml:space="preserve">  образования (12, 17)</t>
    </r>
  </si>
  <si>
    <t xml:space="preserve">№ </t>
  </si>
  <si>
    <t>Инвестиции в объекты муниципальной собственности</t>
  </si>
  <si>
    <t>Прочие расходы:</t>
  </si>
  <si>
    <t xml:space="preserve">В том числе: </t>
  </si>
  <si>
    <t xml:space="preserve">Соисполнитель 1
Муниципальное казенное учреждение «Управление капитального строительства города Урай»
</t>
  </si>
  <si>
    <t>Муниципальное казенное учреждение «Управление капитального строительства города Урай»</t>
  </si>
  <si>
    <t>Соисполнитель 2
Органы администрации города Урай (управление по культуре и социальным вопросам администрации города Урай, управление по физической культуре, спорту и туризму администрации города Урай, сводно-аналитический отдел администрации города Урай)</t>
  </si>
  <si>
    <t>И.В. Хусаинова</t>
  </si>
  <si>
    <t>Остатки прошлых лет</t>
  </si>
  <si>
    <t>2.3.1.</t>
  </si>
  <si>
    <t>2.3.2.</t>
  </si>
  <si>
    <t>2.3.3.</t>
  </si>
  <si>
    <t>Реализация основного мероприятия регионального проекта «Современная школа» (6, 7, 8, 9), в том числе:</t>
  </si>
  <si>
    <t>Приобретение, создание, реконструкция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(«Средняя школа в мкр. 1А (Общеобразовательная организация с универсальной безбарьерной средой))») (6, 7, 8, 9)</t>
  </si>
  <si>
    <t>Приобретение, создание, реконструкция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(«Школа в микрорайоне Земля Санникова (Общеобразовательная организация с универсальной безбарьерной средой)») (6, 7, 8, 9)</t>
  </si>
  <si>
    <t>Проведение ремонтных работ муниципальных образовательных организаций (6, 8)</t>
  </si>
  <si>
    <t>3.11.</t>
  </si>
  <si>
    <t>3.12.</t>
  </si>
  <si>
    <t>Реализация основного мероприятия регионального проекта «Современная школа». Расходы на обеспечение деятельности Центра образования цифрового и гуманитарного профилей "Точка роста" (12, 17)</t>
  </si>
  <si>
    <t>Реализация основного мероприятия регионального проекта «Успех каждого ребенка». Расходы на создание новых мест дополнительного образования детей (12, 17)</t>
  </si>
  <si>
    <t>1.4.</t>
  </si>
  <si>
    <t>1.3.</t>
  </si>
  <si>
    <t>Ю.А. Чигинцева</t>
  </si>
  <si>
    <t>3.7.1.</t>
  </si>
  <si>
    <r>
      <t>Расходы на обеспечение деятельности (оказание услуг) муниципальных о</t>
    </r>
    <r>
      <rPr>
        <b/>
        <sz val="9"/>
        <rFont val="Times New Roman"/>
        <family val="1"/>
        <charset val="204"/>
      </rPr>
      <t>бщеобразовательных</t>
    </r>
    <r>
      <rPr>
        <sz val="9"/>
        <rFont val="Times New Roman"/>
        <family val="1"/>
        <charset val="204"/>
      </rPr>
      <t xml:space="preserve"> организаций (13, 18), в том числе:</t>
    </r>
  </si>
  <si>
    <t>Расходы на обеспечение выплаты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(13, 18)</t>
  </si>
  <si>
    <t>5.5.1.</t>
  </si>
  <si>
    <t>Организация питания обучающихся в муниципальных общеобразовательных организациях (23), в том числе:</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</si>
  <si>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(23)</t>
  </si>
  <si>
    <t>Основные мероприятия муниципальной программы (их взаимосвязь с целевыми показателями муниципальной программы)</t>
  </si>
  <si>
    <t>Ответственный исполнитель / соисполнитель</t>
  </si>
  <si>
    <t>Финансовые затараты на реализацию (тыс.рублей)</t>
  </si>
  <si>
    <t>Расходы на обеспечение деятельности (оказание услуг) муниципального автономного учреждения города Урай «Ресурсный центр сиситемы образования» (20, 21, 22)</t>
  </si>
  <si>
    <t>Л.В. Зайцева</t>
  </si>
  <si>
    <t>Предоставление электронных услуг МАУ "Ресурсный центр системы образования"</t>
  </si>
  <si>
    <t>Организация работы медицинского класса на базе МБОУ СОШ №4</t>
  </si>
  <si>
    <t>Обеспечение обучающихся шести общеобразовательных организаций завтраками и обедами (в том числе льготная категория)</t>
  </si>
  <si>
    <t xml:space="preserve">Обеспечение обучающихся, получающих начальное общее образование, шести общеобразовательных организаций завтраками </t>
  </si>
  <si>
    <t>Организация питания в лагерях дневного пребывания детей в период весенних  каникул</t>
  </si>
  <si>
    <t>Организация работы лагеря дневного пребывания детей в период весенних каникул</t>
  </si>
  <si>
    <t xml:space="preserve"> Организация и проведение военно-спортивной игры "Зарница". Проведение военно-полевых сборов</t>
  </si>
  <si>
    <t>Обеспечение защиты каналов связи. Приобретение оборудования и расходных материалов для проведения государственной итоговой аттестации. Выплата компенсации педагогам, привлекаемым к подготовке и проведению ГИА в пунктах проведения экзаменов</t>
  </si>
  <si>
    <t>Организация и проведение образовательно-развлекательных игр "Инры разума", соревнований по киберспорту и городского фестиваля "ЖАРА"</t>
  </si>
  <si>
    <t>Проведение работ по текущему ремонту и по обеспечению требований по антитеррористической защищенности образовательных организаций</t>
  </si>
  <si>
    <t>1.1.1.</t>
  </si>
  <si>
    <t>Поддержка инновационной деятельности дошкольных образовательных организаций (проведение грантовых конкурсов и  др.), в том числе с применением механизма инициативного бюджетирования (1, 2, 3, 4, 5)</t>
  </si>
  <si>
    <t>Реализация инициативного проекта с применением механизма инициативного бюджетирования (1, 2, 3, 5)</t>
  </si>
  <si>
    <t>Организация и проведение городских мероприятий, направленных на поддержку инициативы, развитие творческого, предпринимательского потенциала, повышение навыков и компетенций среди молодежи и общественных молодежных организаций (фестивали, форумы, конференции, конкурсы, встречи и др.). Награждение молодежи (выплата премий, стипендий, вознаграждений). В том числе с применением механизма инициативного бюджетирования (24)</t>
  </si>
  <si>
    <t>Реализация инициативных проектов с применением механизма инициативного бюджетирования (24)</t>
  </si>
  <si>
    <t>6.1.1.</t>
  </si>
  <si>
    <t>Приобретение путевок для отдыха и оздоровление детей за пределами  города Урай (выездной отдых)</t>
  </si>
  <si>
    <t>Обеспечение организации каникулярного отдыха и оздоровление детей за пределами  города Урай (выездной отдых)</t>
  </si>
  <si>
    <t xml:space="preserve">Проведение работ по капитальнму ремонту и благоустройству территории МБОУ СОШ №6 </t>
  </si>
  <si>
    <t xml:space="preserve">По объекту "Капитальный ремонт МБОУ "Гимназия им. А.И.Яковлева" выполнены работы по усилению железобетонного перекрытия  композитными материалами над учебными кабинетами первого и цокольного этажей, отделочные работы на цокольном этаже, в кабинете технологии и в кабинете ОБЖ и работы по устройству гидроизоляции фундамента и стен цокольного этажа.                                              Проведение работ по капитальнму ремонту и благоустройству территории МБОУ СОШ №6 </t>
  </si>
  <si>
    <t xml:space="preserve">Ответственный исполнитель
Управление образования администрации города Урай
</t>
  </si>
  <si>
    <t>Расходы на обеспечение деятельности Управления образования администрации города Урай  (20, 21)</t>
  </si>
  <si>
    <t>Управление образования администрации города Урай</t>
  </si>
  <si>
    <t>Управление образования администрации города Урай; органы администрации города Урай: сводно-аналитический отдел администрации города Урай</t>
  </si>
  <si>
    <t>Управление образования администрации города Урай; муниципальное казенное учреждение «Управление капитального строительства города Урай»</t>
  </si>
  <si>
    <t>Управление образования администрации города Урай; органы администрации города Урай: управление по культуре и социальным вопросам администрации города Урай, управление по физической культуре, спорту и туризму администрации города Урай</t>
  </si>
  <si>
    <t>6.4.</t>
  </si>
  <si>
    <t>Организация деятельности молодежных трудовых отрядов  (30)</t>
  </si>
  <si>
    <t>Управление внутренней политики администрации города Урай</t>
  </si>
  <si>
    <t>Управление образования администрации города Урай, управление внутренней политики администрации города Урай</t>
  </si>
  <si>
    <t>Управление образования администрации города Урай, управление по развитию местного самоуправления администрации города Урай, управление внутренней политики администрации города Урай</t>
  </si>
  <si>
    <t>Управление образования администрации города Урай, управление по развитию местного самоуправления администрации города Урай</t>
  </si>
  <si>
    <t>Обеспечение деятельности восьми дошкольных образовательных учреждений в части содержания здания и прочих общехозяйственных расходов за 12 месяцев 2022 года</t>
  </si>
  <si>
    <t>Обеспечение деятельности восьми дошкольных образовательных учреждений в части выполнения стандарта дошкольного образования  за 12 месяцев 2022 года</t>
  </si>
  <si>
    <t>Выплата компенсации части родительской платы за 12 месяцев 2022 года</t>
  </si>
  <si>
    <t>Выплата ежемесячного денежного вознаграждения за классное руководство педагогическим работникам за 12 месяцев 2022 года</t>
  </si>
  <si>
    <t>Экономия по фактическим расходам на выплату ежемесячного денежного вознаграждения за классное руководство педагогическим работникам</t>
  </si>
  <si>
    <t>Обеспечение деятельности 6-ти общеобразовательных учреждений в части реализации стандарта (выплаты заработной платы, начислений на нее, учебных расходов) и информационного обеспечения в части доступа к образовательным ресурсам сети Интернет за 12 месяцев 2022 года</t>
  </si>
  <si>
    <t>Обеспечение деятельности 6-ти общеобразовательных учреждений в части содержания зданий и сооружений и прочих общехозяйственных расходов за 12 месяцев 2022 года</t>
  </si>
  <si>
    <t>3.13.</t>
  </si>
  <si>
    <t>Реализация основного мероприятия регионального проекта «Патриотическое воспитание граждан Российской Федерации». Расходы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(16, 18, 19, 24, 25)</t>
  </si>
  <si>
    <t>Обеспечение деятельности МАУ "Ресурсный центр системы образования" в части исполнения муниципального задания за 12 месяцев 2022 года</t>
  </si>
  <si>
    <t>Осуществление деятельности по выплате компенсации части родительской платы (администрирование) за 12 месяцев 2022 года</t>
  </si>
  <si>
    <t>Расходы по содержанию аппарата Управления образования и молодежной политики за 12 месяцев 2022 года</t>
  </si>
  <si>
    <t>Приобретение оборудования и расходных материалов в рамках реализации инициативного проекта «Интерактивный передвижной музей-мастерская «Социокультурные истоки» в МБДОУ "Детский сад №14"</t>
  </si>
  <si>
    <t>Приобретение и замена оконных блоков в МБОУ СОШ №2. Приобретение утеплителя и светильников светодиодных в МБОУ СОШ №4</t>
  </si>
  <si>
    <t>Участие в региональном этапе Всероссийской олимпиады школьников, в финальном этапе Всероссийской олимпиады фин.грамотности, фин.рынку и защите прав потребителей фин.услуг "Финатлон для старшеклассников", в детско-молодежном форуме «Джуниор-IT», в молодежной модели Комитета всемирного наследия Юнеско, в научной сессии старшеклассников ХМАО - Югры, в Пректной школе Кружкового движения Национальной технологической инициативы "Креативные индустрии" и "Передовые технологии". Награждение именными премиями ООО "ЛУКойл-Западная Сибирь" учащихся общеобразовательных организаций. Награждение победителей и призеров муниципального этапа Всероссийской олимпиады школьников. Проведение церемонии присвоения звания города Урай «Стипендиат главы города Урай»</t>
  </si>
  <si>
    <t>Проведение слета отрядов юных инспекторов дорожного движения</t>
  </si>
  <si>
    <t>Организация и проведение деловой игры "Лидер и его команда"</t>
  </si>
  <si>
    <t>Обеспечение деятельности МБУ ДО "ЦМДО" в части содержания зданий и сооружений и прочих общехозяйственных расходов за 12 месяцев 2022 года</t>
  </si>
  <si>
    <t>Расходы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t>
  </si>
  <si>
    <t>Экономия по фактическим расходам на выплату заработной платы советникам директора по воспитанию и взаимодействию с детскими общественными объединениями в общеобразовательных организациях</t>
  </si>
  <si>
    <t>Организация и проведение городского педагогического совещанияг, городских семинаров для руководителей и педагогов.Участие в федеральном этапе IX Всероссийского конкурса "Лучшая инклюзивная школа - 2022". Участие в финале Всероссийского проф.конкурса "Флагманы образования. Школа"</t>
  </si>
  <si>
    <t xml:space="preserve">Проведение муниципального этапа и участие в региональном этапе Всероссийского конкурса проф.мастерства в сфере образования ХМАО - Югры «Педагог года Югры-2022». </t>
  </si>
  <si>
    <t>Приобретение мебели, оборудования и расходных материалов в рамках реализации инициативного проекта «Киберспортивное движение «Cyberia» в МБУ ДО "ЦМДО"</t>
  </si>
  <si>
    <t>Приобретение мебели, оборудования и расходных материалов в рамках реализации инициативного проекта «Киберспортивное движение «Cyberia» в МБУ ДО "ЦМДО". Обеспечение развития и популяризации молодежного совета при администрации города Урай (приобретение экипировки, атрибутики). Вручение ежегодной  молодежной премии Главы "Лауреат премии главы города". Проведение городского слета волонтеров "Волонтер - это стиль жизни", городского молодежного фестиваля "Моя идея", городского форума рабочей молодежи "Форум.УМ", городского молодежного профориентационного форума "Твое будущее"</t>
  </si>
  <si>
    <t>Участие молодежи города в третьем заседании Молодежного парламента при Думе ХМАО - Югры седьмого созыва</t>
  </si>
  <si>
    <t>Отчет о ходе исполнения комплексного плана (сетевого графика) реализации муниципальной программы "Развитие образования и молодежной политики в городе Урай " за 12 месяцев 2022 года</t>
  </si>
  <si>
    <t>Заместитель начальника УО</t>
  </si>
  <si>
    <t>Начальник УО</t>
  </si>
  <si>
    <t>тел.2-31-86 (819)</t>
  </si>
  <si>
    <t xml:space="preserve">Экономия по фактичеким расходам на заработную плату в связи с наличием вакантных должностей в МАУ «РЦСО» </t>
  </si>
  <si>
    <t xml:space="preserve">Не освоены средства в сумме 2 629,6 тыс. руб. по объектам:
 "Капитальный ремонт МБДОУ №12" заключен контракт на разработку ПИР крылец зданий на сумму 1 472,3 тыс.руб., со сроком выполнения работ 2 квартал 2023 года.
"Капитальный ремонт МБДОУ №19" в сумме 1 149,9 тыс. руб. нарушение проектной организацией сроков исполнения контракта на выполнение ПИР, в связи с корректировкой ПСД. Срок выполнения работ 2 квартал 2023 года                                           </t>
  </si>
  <si>
    <t>Обеспечение персонифицированного финансирования дополнительного образования детей. За 2022 год реализовано - 1630 сертификатов</t>
  </si>
  <si>
    <t>В 4 квартале расходы произведены с учётом экономии плановых бюджетных ассигнований предыдущих периодов (кварталов) отчётного финансового года, сложившейся по результатам фактического исполнения текущих расходных обязательств</t>
  </si>
  <si>
    <t>Таблица 1</t>
  </si>
  <si>
    <t>Таблица 2</t>
  </si>
  <si>
    <t>ОТЧЕТ</t>
  </si>
  <si>
    <t>№</t>
  </si>
  <si>
    <t>Наименование целевого показателя муниципальной программы</t>
  </si>
  <si>
    <t>Ед. изм.</t>
  </si>
  <si>
    <t>Значение целевого показателя муниципальной программы</t>
  </si>
  <si>
    <t>Степень достижения целевого показателя &lt;2&gt;, %</t>
  </si>
  <si>
    <t>Обоснование отклонений значений целевого показателя на конец отчетного года (при наличии)</t>
  </si>
  <si>
    <t>отчетный год (план)</t>
  </si>
  <si>
    <t>отчетный год (факт)</t>
  </si>
  <si>
    <r>
      <t>1.</t>
    </r>
    <r>
      <rPr>
        <sz val="7"/>
        <rFont val="Times New Roman"/>
        <family val="1"/>
        <charset val="204"/>
      </rPr>
      <t xml:space="preserve">      </t>
    </r>
    <r>
      <rPr>
        <sz val="12"/>
        <rFont val="Times New Roman"/>
        <family val="1"/>
        <charset val="204"/>
      </rPr>
      <t> </t>
    </r>
  </si>
  <si>
    <t>Численность воспитанников в возрасте до трех лет, посещающих муниципальные организации, осуществляющие образовательную деятельность по образовательным программам дошкольного образования, присмотр и уход</t>
  </si>
  <si>
    <t>Чел.</t>
  </si>
  <si>
    <t>Показатель перевыполнен</t>
  </si>
  <si>
    <r>
      <t>2.</t>
    </r>
    <r>
      <rPr>
        <sz val="7"/>
        <rFont val="Times New Roman"/>
        <family val="1"/>
        <charset val="204"/>
      </rPr>
      <t xml:space="preserve">      </t>
    </r>
    <r>
      <rPr>
        <sz val="12"/>
        <rFont val="Times New Roman"/>
        <family val="1"/>
        <charset val="204"/>
      </rPr>
      <t> </t>
    </r>
  </si>
  <si>
    <t>Доля детей в возрасте от 2 месяцев до 7 лет, стоящих на учете для определения в муниципальные дошкольные образовательные организации, в общей численности детей в возрасте от 2 месяцев до 7 лет</t>
  </si>
  <si>
    <t>%</t>
  </si>
  <si>
    <r>
      <t>3.</t>
    </r>
    <r>
      <rPr>
        <sz val="7"/>
        <rFont val="Times New Roman"/>
        <family val="1"/>
        <charset val="204"/>
      </rPr>
      <t xml:space="preserve">      </t>
    </r>
    <r>
      <rPr>
        <sz val="12"/>
        <rFont val="Times New Roman"/>
        <family val="1"/>
        <charset val="204"/>
      </rPr>
      <t> </t>
    </r>
  </si>
  <si>
    <r>
      <t>4.</t>
    </r>
    <r>
      <rPr>
        <sz val="7"/>
        <rFont val="Times New Roman"/>
        <family val="1"/>
        <charset val="204"/>
      </rPr>
      <t xml:space="preserve">      </t>
    </r>
    <r>
      <rPr>
        <sz val="12"/>
        <rFont val="Times New Roman"/>
        <family val="1"/>
        <charset val="204"/>
      </rPr>
      <t> </t>
    </r>
  </si>
  <si>
    <t>Доля детей в возрасте от 1 до 6 лет, стоящих на учете для определения в муниципальные дошкольные образовательные организации, в общей численности детей в возрасте от 1 до 6 лет</t>
  </si>
  <si>
    <r>
      <t>5.</t>
    </r>
    <r>
      <rPr>
        <sz val="7"/>
        <rFont val="Times New Roman"/>
        <family val="1"/>
        <charset val="204"/>
      </rPr>
      <t xml:space="preserve">      </t>
    </r>
    <r>
      <rPr>
        <sz val="12"/>
        <rFont val="Times New Roman"/>
        <family val="1"/>
        <charset val="204"/>
      </rPr>
      <t> </t>
    </r>
  </si>
  <si>
    <t xml:space="preserve">Доступность дошкольного образования для детей в возрасте от полутора до трех лет </t>
  </si>
  <si>
    <t>Показатель выполнен</t>
  </si>
  <si>
    <r>
      <t>6.</t>
    </r>
    <r>
      <rPr>
        <sz val="7"/>
        <rFont val="Times New Roman"/>
        <family val="1"/>
        <charset val="204"/>
      </rPr>
      <t xml:space="preserve">      </t>
    </r>
    <r>
      <rPr>
        <sz val="12"/>
        <rFont val="Times New Roman"/>
        <family val="1"/>
        <charset val="204"/>
      </rPr>
      <t> </t>
    </r>
  </si>
  <si>
    <t>Доля муниципальных образовательных организаций, соответствующих современным требованиям обучения, в общем количестве муниципальных образовательных организаций</t>
  </si>
  <si>
    <r>
      <t>7.</t>
    </r>
    <r>
      <rPr>
        <sz val="7"/>
        <rFont val="Times New Roman"/>
        <family val="1"/>
        <charset val="204"/>
      </rPr>
      <t xml:space="preserve">      </t>
    </r>
    <r>
      <rPr>
        <sz val="12"/>
        <rFont val="Times New Roman"/>
        <family val="1"/>
        <charset val="204"/>
      </rPr>
      <t> </t>
    </r>
  </si>
  <si>
    <t>Доля обучающихся в муниципальных общеобразовательных организациях, занимающихся во вторую (третью) смену, в общей численности обучающихся в муниципальных общеобразовательных организациях</t>
  </si>
  <si>
    <r>
      <t>8.</t>
    </r>
    <r>
      <rPr>
        <sz val="7"/>
        <rFont val="Times New Roman"/>
        <family val="1"/>
        <charset val="204"/>
      </rPr>
      <t xml:space="preserve">      </t>
    </r>
    <r>
      <rPr>
        <sz val="12"/>
        <rFont val="Times New Roman"/>
        <family val="1"/>
        <charset val="204"/>
      </rPr>
      <t> </t>
    </r>
  </si>
  <si>
    <t>Доля муниципальных общеобразовательных организаций, имеющих современную и безопасную цифровую образовательную среду, в общем количестве муниципальных общеобразовательных организаций</t>
  </si>
  <si>
    <r>
      <t>9.</t>
    </r>
    <r>
      <rPr>
        <sz val="7"/>
        <rFont val="Times New Roman"/>
        <family val="1"/>
        <charset val="204"/>
      </rPr>
      <t xml:space="preserve">      </t>
    </r>
    <r>
      <rPr>
        <sz val="12"/>
        <rFont val="Times New Roman"/>
        <family val="1"/>
        <charset val="204"/>
      </rPr>
      <t> </t>
    </r>
  </si>
  <si>
    <t>Доля муниципальных общеобразовательных организаций, здания которых находятся в аварийном состоянии или требуют капитального ремонта, в общем числе муниципальных общеобразовательных организаций</t>
  </si>
  <si>
    <r>
      <t>10.</t>
    </r>
    <r>
      <rPr>
        <sz val="7"/>
        <rFont val="Times New Roman"/>
        <family val="1"/>
        <charset val="204"/>
      </rPr>
      <t xml:space="preserve">  </t>
    </r>
    <r>
      <rPr>
        <sz val="12"/>
        <rFont val="Times New Roman"/>
        <family val="1"/>
        <charset val="204"/>
      </rPr>
      <t> </t>
    </r>
  </si>
  <si>
    <t>Доля муниципальных дошкольных образовательных организаций, здания которых находятся в аварийном состоянии или требуют капитального ремонта, в общем числе муниципальных дошкольных образовательных организаций</t>
  </si>
  <si>
    <t>Показатель выполнен. Требуется капитальный ремонт МБДОУ №19</t>
  </si>
  <si>
    <t>11.   </t>
  </si>
  <si>
    <t xml:space="preserve">Доля граждан, получивших услуги в негосударственных, в том числе некоммерческих организациях, в общем числе граждан, получивших услуги в сфере образования </t>
  </si>
  <si>
    <r>
      <t>12.</t>
    </r>
    <r>
      <rPr>
        <sz val="7"/>
        <rFont val="Times New Roman"/>
        <family val="1"/>
        <charset val="204"/>
      </rPr>
      <t xml:space="preserve">  </t>
    </r>
    <r>
      <rPr>
        <sz val="12"/>
        <rFont val="Times New Roman"/>
        <family val="1"/>
        <charset val="204"/>
      </rPr>
      <t> </t>
    </r>
  </si>
  <si>
    <t>Доля детей в возрасте от 5 до 18 лет, обучающихся по дополнительным общеобразовательным программам естественнонаучной и технической направленности</t>
  </si>
  <si>
    <r>
      <t>13.</t>
    </r>
    <r>
      <rPr>
        <sz val="7"/>
        <rFont val="Times New Roman"/>
        <family val="1"/>
        <charset val="204"/>
      </rPr>
      <t xml:space="preserve">  </t>
    </r>
    <r>
      <rPr>
        <sz val="12"/>
        <rFont val="Times New Roman"/>
        <family val="1"/>
        <charset val="204"/>
      </rPr>
      <t> </t>
    </r>
  </si>
  <si>
    <t>Доля обучающихся, воспитанников, ставших победителями и призерами в мероприятиях на региональном, всероссийском уровне, от общего количества участников от города Урай</t>
  </si>
  <si>
    <r>
      <t>14.</t>
    </r>
    <r>
      <rPr>
        <sz val="7"/>
        <rFont val="Times New Roman"/>
        <family val="1"/>
        <charset val="204"/>
      </rPr>
      <t xml:space="preserve">  </t>
    </r>
    <r>
      <rPr>
        <sz val="12"/>
        <rFont val="Times New Roman"/>
        <family val="1"/>
        <charset val="204"/>
      </rPr>
      <t> </t>
    </r>
  </si>
  <si>
    <t>Доля образовательных организаций, реализующих инновационные программы, обеспечивающих отработку новых технологий содержания обучения и воспитания по итогам конкурса</t>
  </si>
  <si>
    <r>
      <t>15.</t>
    </r>
    <r>
      <rPr>
        <sz val="7"/>
        <rFont val="Times New Roman"/>
        <family val="1"/>
        <charset val="204"/>
      </rPr>
      <t xml:space="preserve">  </t>
    </r>
    <r>
      <rPr>
        <sz val="12"/>
        <rFont val="Times New Roman"/>
        <family val="1"/>
        <charset val="204"/>
      </rPr>
      <t> </t>
    </r>
  </si>
  <si>
    <t>Доля выпускников муниципальных общеобразовательных организаций, сдавших единый государственный экзамен по русскому языку и математике, в общей численности выпускников муниципальных общеобразовательных организаций, сдававших единый государственный экзамен по данным предметам</t>
  </si>
  <si>
    <r>
      <t>16.</t>
    </r>
    <r>
      <rPr>
        <sz val="7"/>
        <rFont val="Times New Roman"/>
        <family val="1"/>
        <charset val="204"/>
      </rPr>
      <t xml:space="preserve">  </t>
    </r>
    <r>
      <rPr>
        <sz val="12"/>
        <rFont val="Times New Roman"/>
        <family val="1"/>
        <charset val="204"/>
      </rPr>
      <t> </t>
    </r>
  </si>
  <si>
    <t xml:space="preserve">Доля обучающихся, участвующих в мероприятиях и проектах различного уровня, направленных на развитие и  воспитание детей и подростков, в общей численности обучающихся в муниципальных общеобразовательных организациях    </t>
  </si>
  <si>
    <r>
      <t>17.</t>
    </r>
    <r>
      <rPr>
        <sz val="7"/>
        <rFont val="Times New Roman"/>
        <family val="1"/>
        <charset val="204"/>
      </rPr>
      <t xml:space="preserve">  </t>
    </r>
    <r>
      <rPr>
        <sz val="12"/>
        <rFont val="Times New Roman"/>
        <family val="1"/>
        <charset val="204"/>
      </rPr>
      <t> </t>
    </r>
  </si>
  <si>
    <t>Доля детей в возрасте от 5 до 18 лет, охваченных дополнительным  образованием</t>
  </si>
  <si>
    <t>Расходы бюджета муниципального образования на общее образование в расчете на 1 обучающегося в муниципальных общеобразовательных организациях</t>
  </si>
  <si>
    <t>Тыс.руб.</t>
  </si>
  <si>
    <r>
      <t>19.</t>
    </r>
    <r>
      <rPr>
        <sz val="7"/>
        <rFont val="Times New Roman"/>
        <family val="1"/>
        <charset val="204"/>
      </rPr>
      <t xml:space="preserve">  </t>
    </r>
    <r>
      <rPr>
        <sz val="12"/>
        <rFont val="Times New Roman"/>
        <family val="1"/>
        <charset val="204"/>
      </rPr>
      <t> </t>
    </r>
  </si>
  <si>
    <t>Численность обучающихся, вовлеченных в деятельность общественных объединений на базе образовательных организаций общего образования, среднего и высшего  профессионального образования</t>
  </si>
  <si>
    <t>Млн.чел.</t>
  </si>
  <si>
    <r>
      <t>20.</t>
    </r>
    <r>
      <rPr>
        <sz val="7"/>
        <rFont val="Times New Roman"/>
        <family val="1"/>
        <charset val="204"/>
      </rPr>
      <t xml:space="preserve">  </t>
    </r>
    <r>
      <rPr>
        <sz val="12"/>
        <rFont val="Times New Roman"/>
        <family val="1"/>
        <charset val="204"/>
      </rPr>
      <t> </t>
    </r>
  </si>
  <si>
    <t xml:space="preserve">Доля педагогических работников общеобразовательных организаций, прошедших повышение квалификации, в том числе в центрах непрерывного повышения </t>
  </si>
  <si>
    <t>Показатель перевыполнен за счет увеличения количества педагогических работников, прошедших повышение квалификации в центрах непрерывного повышения квалификации. Показатель является целевым согласно Паспорту национального проекта "Образование".</t>
  </si>
  <si>
    <r>
      <t>21.</t>
    </r>
    <r>
      <rPr>
        <sz val="7"/>
        <rFont val="Times New Roman"/>
        <family val="1"/>
        <charset val="204"/>
      </rPr>
      <t xml:space="preserve">  </t>
    </r>
    <r>
      <rPr>
        <sz val="12"/>
        <rFont val="Times New Roman"/>
        <family val="1"/>
        <charset val="204"/>
      </rPr>
      <t> </t>
    </r>
  </si>
  <si>
    <t>Доля педагогических работников, повысивших уровень квалификации через участие в курсах повышения квалификации, стажировках, семинарах</t>
  </si>
  <si>
    <t>22.</t>
  </si>
  <si>
    <t>Доля детей, получивших психолого-педагогическую, диагностическую помощь, от общего числа детей, обучающихся в муниципальных образовательных организациях</t>
  </si>
  <si>
    <t>23.</t>
  </si>
  <si>
    <t>Доля детей первой и второй групп здоровья в общей численности обучающихся в муниципальных общеобразовательных организациях</t>
  </si>
  <si>
    <t>24.</t>
  </si>
  <si>
    <t>Доля детей и молодежи (14-35 лет), задействованной в мероприятиях по вовлечению в творческую деятельность, от общей численности указанной категории</t>
  </si>
  <si>
    <t>25.</t>
  </si>
  <si>
    <t>Доля детей и молодежи в возрасте от 14 до 35 лет, вовлеченных в мероприятия, направленные на пропаганду здорового образа жизни, по отношению к общей численности указанной категории</t>
  </si>
  <si>
    <t>26.</t>
  </si>
  <si>
    <t>Общая численность граждан, вовлеченных центрами (сообществами, объединениями) поддержки добровольчества (волонтерства) на базе образовательных организаций, некоммерческих организаций, государственных и муниципальных учреждений в добровольческую (волонтерскую) деятельность</t>
  </si>
  <si>
    <t>27.</t>
  </si>
  <si>
    <t xml:space="preserve">Доля детей в возрасте от 6 до 17 лет (включительно), охваченных всеми формами отдыха и оздоровления, от общей численности детей, нуждающихся в оздоровлении </t>
  </si>
  <si>
    <t>28.</t>
  </si>
  <si>
    <t xml:space="preserve">Доля обучающихся по программам основного и среднего общего образования, охваченных мероприятиями, направленным на раннюю профессиональную ориентацию, в том числе в рамках программы «Билет в будущее» </t>
  </si>
  <si>
    <t>29.</t>
  </si>
  <si>
    <t>Охват детей деятельностью региональных центров выявления, поддержки и развития способностей и талантов у детей, молодежи, технопарков «Кванториум», «IT-куб»</t>
  </si>
  <si>
    <t>Ответственный исполнитель (соисполнитель) муниципальной программы:</t>
  </si>
  <si>
    <t>Исполнитель: Грунина И.Ю.</t>
  </si>
  <si>
    <t>Тел.: 8(34676) 23169 (доб.803)</t>
  </si>
  <si>
    <t>о достижении целевых показателей муниципальной программы за 2022 год</t>
  </si>
  <si>
    <t xml:space="preserve">Экономия по фактическим расходам на выплату ежемесячного денежного вознаграждения за классное руководство педагогическим работникам. Экономия по фактическим расходам на оплату труда  советников директора по воспитанию и взаимодействию с детскими общественными объединениями. Экономия по организации питания за счет дней, пропущенных учащимися по причине болезни и в связи с проведением карантинных мероприятий, в том числе в период коронавирусной инфекции COVID-2019 </t>
  </si>
  <si>
    <t>30.</t>
  </si>
  <si>
    <t>Доля детей в возрасте от 1 до 6 лет, получающих дошкольную образовательную услугу и (или) услугу по их содержанию в муниципальных образовательных организациях, в общей численности детей в возрасте от 1 до 6 лет</t>
  </si>
  <si>
    <t>-</t>
  </si>
  <si>
    <t>Доля детей в возрасте от 14 до 18 лет, охваченных деятельностью молодежных трудовых отрядов</t>
  </si>
  <si>
    <r>
      <t>18.</t>
    </r>
    <r>
      <rPr>
        <sz val="7"/>
        <rFont val="Times New Roman"/>
        <family val="1"/>
        <charset val="204"/>
      </rPr>
      <t xml:space="preserve">  </t>
    </r>
    <r>
      <rPr>
        <sz val="12"/>
        <rFont val="Times New Roman"/>
        <family val="1"/>
        <charset val="204"/>
      </rPr>
      <t> </t>
    </r>
  </si>
  <si>
    <t>Во 2, 4 кварталах расходы произведены с учётом экономии плановых бюджетных ассигнований предыдущих периодов (кварталов) отчётного финансового года, сложившейся по результатам фактического исполнения текущих расходных обязательств</t>
  </si>
  <si>
    <t>В 3, 4 кварталах расходы произведены с учётом экономии плановых бюджетных ассигнований предыдущих периодов (кварталов) отчётного финансового года, сложившейся по результатам фактического исполнения текущих расходных обязательств</t>
  </si>
  <si>
    <t>Во 2 квартале расходы произведены с учётом экономии плановых бюджетных ассигнований предыдущих периодов (кварталов) отчётного финансового года, сложившейся по результатам фактического исполнения текущих расходных обязательств</t>
  </si>
  <si>
    <t xml:space="preserve">В 4 квартале расходы произведены с учётом экономии плановых бюджетных ассигнований предыдущих периодов (кварталов) отчётного финансового года, сложившейся по результатам фактического исполнения текущих расходных обязательств.                          Финансирование по фактически начисленной компенсации части родительской платы. Отклонение по причине болезни детей.                              </t>
  </si>
  <si>
    <t xml:space="preserve">В 4 квартале расходы произведены с учётом экономии плановых бюджетных ассигнований предыдущих периодов (кварталов) отчётного финансового года, сложившейся по результатам фактического исполнения текущих расходных обязательств.                                Отклонеие по факту выполненных работ по капитальному ремонту и благоустройству территории МБОУ СОШ №6.                    </t>
  </si>
  <si>
    <t xml:space="preserve">В 4 квартале расходы произведены с учётом экономии плановых бюджетных ассигнований предыдущих периодов (кварталов) отчётного финансового года, сложившейся по результатам фактического исполнения текущих расходных обязательств.                         Финансирование согласно фактически списанных средств с сертифиткатов в рамках заключенных договоров на предоставление дополнительного образования.                                               </t>
  </si>
  <si>
    <t xml:space="preserve">В 3, 4 кварталах расходы произведены с учётом экономии плановых бюджетных ассигнований предыдущих периодов (кварталов) отчётного финансового года, сложившейся по результатам фактического исполнения текущих расходных обязательств.                                Экономия по фактически начисленной  заработной плате работникам (с учетом больничных листов и наличием вакантных ставок), по оплате льготного проезда, путевок и проезда санаторно-курортного лечения, фактическим расходам по служебным командировкам.                      </t>
  </si>
  <si>
    <t xml:space="preserve">В 3, 4 кварталах расходы произведены с учётом экономии плановых бюджетных ассигнований предыдущих периодов (кварталов) отчётного финансового года, сложившейся по результатам фактического исполнения текущих расходных обязательств.                                Экономия за счет дней, пропущенных учащимися по причине болезни и в связи с проведением карантинных мероприятий, в том числе в период коронавирусной инфекции COVID-2019.                                   </t>
  </si>
  <si>
    <t xml:space="preserve">В 4 квартале расходы произведены с учётом экономии плановых бюджетных ассигнований предыдущих периодов (кварталов) отчётного финансового года, сложившейся по результатам фактического исполнения текущих расходных обязательств.                                Экономия за счет дней, пропущенных учащимися по причине болезни и в связи с проведением карантинных мероприятий, в том числе в период коронавирусной инфекции COVID-2019.                                   </t>
  </si>
  <si>
    <t xml:space="preserve">В 3 квартале расходы произведены с учётом экономии плановых бюджетных ассигнований предыдущих периодов (кварталов) отчётного финансового года, сложившейся по результатам фактического исполнения текущих расходных обязательств.                                    Взврат средств от ОАО "РЖД" по фактически сложившимся расходам на проезд сопровождающих.                           </t>
  </si>
  <si>
    <r>
      <t>«</t>
    </r>
    <r>
      <rPr>
        <u/>
        <sz val="12"/>
        <rFont val="Times New Roman"/>
        <family val="1"/>
        <charset val="204"/>
      </rPr>
      <t>31</t>
    </r>
    <r>
      <rPr>
        <sz val="12"/>
        <rFont val="Times New Roman"/>
        <family val="1"/>
        <charset val="204"/>
      </rPr>
      <t>» января 2023г.  подпись____________Л.В. Зайцева</t>
    </r>
  </si>
  <si>
    <t>Показатель выполнен. По данным актуального спроса (число желающих родителей посещать детский сад в 2022 году)</t>
  </si>
  <si>
    <t>Показатель перевыполнен (2261 чел. от 3053 чел. по демографии)</t>
  </si>
  <si>
    <t>Показатель  не выполнен ввиду увеличения общего количества обучающихся (1378 чел. из 5359 чел.)</t>
  </si>
  <si>
    <t xml:space="preserve">Показатель перевыполнен ввиду увеличения количества негосударственных организаций, предоставляющих услуги в сфере   образования ("Успех" - 61, "Духовное просвещение" - 160, "Киберван" - 91, "Вместе" - 104, "Карамелька" - 70). Итого 486 из 7261 человек.  </t>
  </si>
  <si>
    <t>Показатель  выполнен  (1225 победителей и призеров из 1613 чел.)</t>
  </si>
  <si>
    <t>Показатель выполнен (5 из 15 организаций)</t>
  </si>
  <si>
    <t>Показатель не выполнен (2 выпускника из 219-ти не сдали ЕГЭ по математике)</t>
  </si>
  <si>
    <t>Показатель перевыполнен за счет  увеличения обучающихся, участвующих в мероприятиях и проектах различного уровня (3258 чел. из 5359 чел.)</t>
  </si>
  <si>
    <t>Показатель перевыполнен (7261 чел. от 8293 чел. по демографии)</t>
  </si>
  <si>
    <t>Показатель перевыполнен за счет увеличения количества педагогических работников, повысивших уровень квалификации (610 чел. из 664 чел.)</t>
  </si>
  <si>
    <t>Показатель перевыполнен (5239 чел. из 5359 чел.)</t>
  </si>
  <si>
    <t xml:space="preserve">Показатель перевыполнен за счет  увеличения детей и молодежи, участвующих в творческих проектах и мероприятиях (7410 чел. из 10179 чел.). </t>
  </si>
  <si>
    <t>Показатель перевыполнен за счет  увеличения детей и молодежи, вовлеченных в мероприятия, направленные на пропаганду здорового образа жизни (6627 чел. из 10179 чел.)</t>
  </si>
  <si>
    <t>Показатель перевыполнен за счет функционирования технопарка "Кванториум" г. Ханты-Мансийска  (1113 чел. от 7261 чел.). Показатель является целевым согласно Паспорту национального проекта "Образование"</t>
  </si>
  <si>
    <t>Показатель перевыполнен (2306 чел. из 8772 чел.)</t>
  </si>
  <si>
    <t>Показатель перевыполнен за счет увеличения количества детей, прошедших обследование в территориальной психолого – медико – педагогической комиссии города Урай (499 чел. из 7676 чел.)</t>
  </si>
  <si>
    <t xml:space="preserve">Показатель перевыполнен </t>
  </si>
  <si>
    <t>Показатель перевыполнен (7726 чел. от 7717 чел.)</t>
  </si>
  <si>
    <t xml:space="preserve">Показатель перевыполнен  ввиду увеличения количества мероприятий, направленных на раннюю профориентацию (1330 чел. от 3050 чел.).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</si>
</sst>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р_._-;\-* #,##0.00_р_._-;_-* &quot;-&quot;??_р_._-;_-@_-"/>
    <numFmt numFmtId="164" formatCode="_-* #,##0.0_р_._-;\-* #,##0.0_р_._-;_-* &quot;-&quot;??_р_._-;_-@_-"/>
    <numFmt numFmtId="165" formatCode="_-* #,##0.0_р_._-;\-* #,##0.0_р_._-;_-* &quot;-&quot;?_р_._-;_-@_-"/>
    <numFmt numFmtId="166" formatCode="_-* #,##0.000_р_._-;\-* #,##0.000_р_._-;_-* &quot;-&quot;??_р_._-;_-@_-"/>
    <numFmt numFmtId="167" formatCode="_(* #,##0.00_);_(* \(#,##0.00\);_(* &quot;-&quot;??_);_(@_)"/>
    <numFmt numFmtId="168" formatCode="0.0%"/>
    <numFmt numFmtId="169" formatCode="_-* #,##0.00000_р_._-;\-* #,##0.00000_р_._-;_-* &quot;-&quot;??_р_._-;_-@_-"/>
    <numFmt numFmtId="170" formatCode="_-* #,##0.0000_р_._-;\-* #,##0.0000_р_._-;_-* &quot;-&quot;??_р_._-;_-@_-"/>
    <numFmt numFmtId="171" formatCode="0.0"/>
  </numFmts>
  <fonts count="20" x14ac:knownFonts="1">
    <font>
      <sz val="11"/>
      <color theme="1"/>
      <name val="Calibri"/>
      <charset val="204"/>
      <scheme val="minor"/>
    </font>
    <font>
      <sz val="11"/>
      <name val="Calibri"/>
      <family val="2"/>
      <charset val="204"/>
      <scheme val="minor"/>
    </font>
    <font>
      <sz val="9"/>
      <name val="Times New Roman"/>
      <family val="1"/>
      <charset val="204"/>
    </font>
    <font>
      <sz val="8"/>
      <name val="Times New Roman"/>
      <family val="1"/>
      <charset val="204"/>
    </font>
    <font>
      <sz val="11"/>
      <color theme="1"/>
      <name val="Calibri"/>
      <family val="2"/>
      <charset val="204"/>
      <scheme val="minor"/>
    </font>
    <font>
      <sz val="10"/>
      <name val="Times New Roman"/>
      <family val="1"/>
      <charset val="204"/>
    </font>
    <font>
      <sz val="12"/>
      <name val="Times New Roman"/>
      <family val="1"/>
      <charset val="204"/>
    </font>
    <font>
      <sz val="11"/>
      <name val="Times New Roman"/>
      <family val="1"/>
      <charset val="204"/>
    </font>
    <font>
      <sz val="10"/>
      <name val="Arial"/>
      <family val="2"/>
      <charset val="204"/>
    </font>
    <font>
      <sz val="11"/>
      <color theme="1"/>
      <name val="Calibri"/>
      <family val="2"/>
      <charset val="204"/>
      <scheme val="minor"/>
    </font>
    <font>
      <b/>
      <sz val="8"/>
      <name val="Times New Roman"/>
      <family val="1"/>
      <charset val="204"/>
    </font>
    <font>
      <b/>
      <sz val="9"/>
      <name val="Times New Roman"/>
      <family val="1"/>
      <charset val="204"/>
    </font>
    <font>
      <b/>
      <sz val="11"/>
      <name val="Times New Roman"/>
      <family val="1"/>
      <charset val="204"/>
    </font>
    <font>
      <b/>
      <sz val="10"/>
      <name val="Times New Roman"/>
      <family val="1"/>
      <charset val="204"/>
    </font>
    <font>
      <b/>
      <sz val="12"/>
      <name val="Times New Roman"/>
      <family val="1"/>
      <charset val="204"/>
    </font>
    <font>
      <sz val="7"/>
      <name val="Times New Roman"/>
      <family val="1"/>
      <charset val="204"/>
    </font>
    <font>
      <u/>
      <sz val="12"/>
      <name val="Times New Roman"/>
      <family val="1"/>
      <charset val="204"/>
    </font>
    <font>
      <sz val="11"/>
      <color rgb="FFFF0000"/>
      <name val="Calibri"/>
      <family val="2"/>
      <charset val="204"/>
      <scheme val="minor"/>
    </font>
    <font>
      <b/>
      <sz val="9"/>
      <color indexed="81"/>
      <name val="Tahoma"/>
      <family val="2"/>
      <charset val="204"/>
    </font>
    <font>
      <sz val="9"/>
      <color indexed="81"/>
      <name val="Tahoma"/>
      <family val="2"/>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4">
    <xf numFmtId="0" fontId="0" fillId="0" borderId="0"/>
    <xf numFmtId="43" fontId="4" fillId="0" borderId="0" applyFont="0" applyFill="0" applyBorder="0" applyAlignment="0" applyProtection="0"/>
    <xf numFmtId="167" fontId="8" fillId="0" borderId="0" applyFont="0" applyFill="0" applyBorder="0" applyAlignment="0" applyProtection="0"/>
    <xf numFmtId="9" fontId="9" fillId="0" borderId="0" applyFont="0" applyFill="0" applyBorder="0" applyAlignment="0" applyProtection="0"/>
  </cellStyleXfs>
  <cellXfs count="177">
    <xf numFmtId="0" fontId="0" fillId="0" borderId="0" xfId="0"/>
    <xf numFmtId="166" fontId="6" fillId="2" borderId="0" xfId="1" applyNumberFormat="1" applyFont="1" applyFill="1" applyBorder="1" applyAlignment="1">
      <alignment vertical="center" wrapText="1"/>
    </xf>
    <xf numFmtId="166" fontId="6" fillId="2" borderId="0" xfId="1" applyNumberFormat="1" applyFont="1" applyFill="1" applyAlignment="1">
      <alignment vertical="center"/>
    </xf>
    <xf numFmtId="166" fontId="6" fillId="2" borderId="0" xfId="1" applyNumberFormat="1" applyFont="1" applyFill="1" applyAlignment="1">
      <alignment horizontal="left" vertical="center"/>
    </xf>
    <xf numFmtId="166" fontId="6" fillId="2" borderId="0" xfId="1" applyNumberFormat="1" applyFont="1" applyFill="1" applyBorder="1" applyAlignment="1">
      <alignment vertical="center"/>
    </xf>
    <xf numFmtId="166" fontId="6" fillId="2" borderId="0" xfId="1" applyNumberFormat="1" applyFont="1" applyFill="1" applyBorder="1" applyAlignment="1">
      <alignment horizontal="right" vertical="center"/>
    </xf>
    <xf numFmtId="166" fontId="7" fillId="2" borderId="0" xfId="1" applyNumberFormat="1" applyFont="1" applyFill="1" applyBorder="1" applyAlignment="1">
      <alignment vertical="center" wrapText="1"/>
    </xf>
    <xf numFmtId="0" fontId="7" fillId="2" borderId="0" xfId="0" applyFont="1" applyFill="1" applyBorder="1" applyAlignment="1">
      <alignment vertical="center"/>
    </xf>
    <xf numFmtId="0" fontId="6" fillId="2" borderId="0" xfId="0" applyFont="1" applyFill="1" applyBorder="1" applyAlignment="1">
      <alignment vertical="center"/>
    </xf>
    <xf numFmtId="166" fontId="6" fillId="2" borderId="0" xfId="0" applyNumberFormat="1" applyFont="1" applyFill="1" applyBorder="1" applyAlignment="1">
      <alignment vertical="center"/>
    </xf>
    <xf numFmtId="166" fontId="7" fillId="2" borderId="0" xfId="1" applyNumberFormat="1" applyFont="1" applyFill="1" applyBorder="1" applyAlignment="1">
      <alignment vertical="center"/>
    </xf>
    <xf numFmtId="166" fontId="7" fillId="2" borderId="0" xfId="1" applyNumberFormat="1" applyFont="1" applyFill="1" applyAlignment="1">
      <alignment vertical="center"/>
    </xf>
    <xf numFmtId="0" fontId="5" fillId="2" borderId="0" xfId="0" applyFont="1" applyFill="1" applyBorder="1" applyAlignment="1">
      <alignment vertical="center"/>
    </xf>
    <xf numFmtId="166" fontId="2" fillId="2" borderId="0" xfId="1" applyNumberFormat="1" applyFont="1" applyFill="1" applyAlignment="1">
      <alignment horizontal="left"/>
    </xf>
    <xf numFmtId="166" fontId="2" fillId="2" borderId="0" xfId="1" applyNumberFormat="1" applyFont="1" applyFill="1" applyBorder="1" applyAlignment="1">
      <alignment horizontal="left" vertical="center"/>
    </xf>
    <xf numFmtId="166" fontId="2" fillId="2" borderId="0" xfId="1" applyNumberFormat="1" applyFont="1" applyFill="1" applyAlignment="1">
      <alignment horizontal="right" vertical="center"/>
    </xf>
    <xf numFmtId="166" fontId="5" fillId="2" borderId="0" xfId="1" applyNumberFormat="1" applyFont="1" applyFill="1" applyAlignment="1">
      <alignment horizontal="right" vertical="center"/>
    </xf>
    <xf numFmtId="164" fontId="2" fillId="2" borderId="0" xfId="1" applyNumberFormat="1" applyFont="1" applyFill="1" applyAlignment="1">
      <alignment horizontal="right" vertical="center"/>
    </xf>
    <xf numFmtId="164" fontId="3" fillId="2" borderId="0" xfId="1" applyNumberFormat="1" applyFont="1" applyFill="1" applyAlignment="1">
      <alignment vertical="center"/>
    </xf>
    <xf numFmtId="164" fontId="2" fillId="2" borderId="0" xfId="1" applyNumberFormat="1" applyFont="1" applyFill="1" applyAlignment="1">
      <alignment vertical="center"/>
    </xf>
    <xf numFmtId="166" fontId="5" fillId="2" borderId="0" xfId="1" applyNumberFormat="1" applyFont="1" applyFill="1" applyBorder="1" applyAlignment="1">
      <alignment horizontal="left" vertical="center" wrapText="1"/>
    </xf>
    <xf numFmtId="168" fontId="3" fillId="2" borderId="1" xfId="3" applyNumberFormat="1" applyFont="1" applyFill="1" applyBorder="1" applyAlignment="1">
      <alignment horizontal="center" vertical="top" wrapText="1"/>
    </xf>
    <xf numFmtId="168" fontId="10" fillId="2" borderId="1" xfId="3" applyNumberFormat="1" applyFont="1" applyFill="1" applyBorder="1" applyAlignment="1">
      <alignment horizontal="center" vertical="top" wrapText="1"/>
    </xf>
    <xf numFmtId="164" fontId="3" fillId="2" borderId="1" xfId="1" applyNumberFormat="1" applyFont="1" applyFill="1" applyBorder="1" applyAlignment="1">
      <alignment horizontal="center" vertical="top" wrapText="1"/>
    </xf>
    <xf numFmtId="164" fontId="3" fillId="2" borderId="1" xfId="1" applyNumberFormat="1" applyFont="1" applyFill="1" applyBorder="1" applyAlignment="1">
      <alignment horizontal="center" vertical="top"/>
    </xf>
    <xf numFmtId="164" fontId="10" fillId="2" borderId="1" xfId="1" applyNumberFormat="1" applyFont="1" applyFill="1" applyBorder="1" applyAlignment="1">
      <alignment horizontal="center" vertical="top"/>
    </xf>
    <xf numFmtId="0" fontId="1" fillId="2" borderId="0" xfId="0" applyFont="1" applyFill="1"/>
    <xf numFmtId="0" fontId="12" fillId="2" borderId="8" xfId="0" applyFont="1" applyFill="1" applyBorder="1" applyAlignment="1">
      <alignment horizontal="center"/>
    </xf>
    <xf numFmtId="164" fontId="11" fillId="2" borderId="8" xfId="0" applyNumberFormat="1" applyFont="1" applyFill="1" applyBorder="1" applyAlignment="1">
      <alignment horizontal="center"/>
    </xf>
    <xf numFmtId="0" fontId="13" fillId="2" borderId="8" xfId="0" applyFont="1" applyFill="1" applyBorder="1" applyAlignment="1">
      <alignment horizontal="center"/>
    </xf>
    <xf numFmtId="164" fontId="12" fillId="2" borderId="8" xfId="0" applyNumberFormat="1" applyFont="1" applyFill="1" applyBorder="1" applyAlignment="1">
      <alignment horizontal="center"/>
    </xf>
    <xf numFmtId="0" fontId="7" fillId="2" borderId="8" xfId="0" applyFont="1" applyFill="1" applyBorder="1" applyAlignment="1">
      <alignment horizontal="right"/>
    </xf>
    <xf numFmtId="0" fontId="7" fillId="2" borderId="0" xfId="0" applyFont="1" applyFill="1" applyBorder="1" applyAlignment="1">
      <alignment horizontal="right"/>
    </xf>
    <xf numFmtId="0" fontId="1" fillId="2" borderId="1" xfId="0" applyFont="1" applyFill="1" applyBorder="1"/>
    <xf numFmtId="0" fontId="14" fillId="2" borderId="1" xfId="0" applyFont="1" applyFill="1" applyBorder="1" applyAlignment="1">
      <alignment vertical="top"/>
    </xf>
    <xf numFmtId="0" fontId="2" fillId="2" borderId="1" xfId="0" applyFont="1" applyFill="1" applyBorder="1" applyAlignment="1">
      <alignment horizontal="justify" vertical="top" wrapText="1"/>
    </xf>
    <xf numFmtId="0" fontId="11" fillId="2" borderId="1" xfId="0" applyFont="1" applyFill="1" applyBorder="1" applyAlignment="1">
      <alignment horizontal="justify" vertical="top" wrapText="1"/>
    </xf>
    <xf numFmtId="164" fontId="10" fillId="2" borderId="1" xfId="1" applyNumberFormat="1" applyFont="1" applyFill="1" applyBorder="1" applyAlignment="1">
      <alignment horizontal="center" vertical="top" wrapText="1"/>
    </xf>
    <xf numFmtId="164" fontId="3" fillId="2" borderId="1" xfId="1" applyNumberFormat="1" applyFont="1" applyFill="1" applyBorder="1" applyAlignment="1">
      <alignment horizontal="justify" vertical="top" wrapText="1"/>
    </xf>
    <xf numFmtId="0" fontId="3" fillId="2" borderId="1" xfId="0" applyFont="1" applyFill="1" applyBorder="1" applyAlignment="1">
      <alignment horizontal="center" vertical="top" wrapText="1"/>
    </xf>
    <xf numFmtId="0" fontId="2" fillId="2" borderId="1" xfId="0" applyFont="1" applyFill="1" applyBorder="1" applyAlignment="1">
      <alignment wrapText="1"/>
    </xf>
    <xf numFmtId="14" fontId="2" fillId="2" borderId="1" xfId="0" applyNumberFormat="1" applyFont="1" applyFill="1" applyBorder="1" applyAlignment="1">
      <alignment horizontal="justify" vertical="top" wrapText="1"/>
    </xf>
    <xf numFmtId="164" fontId="2" fillId="2" borderId="1" xfId="1" applyNumberFormat="1" applyFont="1" applyFill="1" applyBorder="1" applyAlignment="1">
      <alignment horizontal="center" vertical="top" wrapText="1"/>
    </xf>
    <xf numFmtId="0" fontId="2" fillId="2" borderId="1" xfId="0" applyFont="1" applyFill="1" applyBorder="1" applyAlignment="1">
      <alignment horizontal="justify" vertical="top"/>
    </xf>
    <xf numFmtId="164" fontId="10" fillId="2" borderId="1" xfId="1" applyNumberFormat="1" applyFont="1" applyFill="1" applyBorder="1" applyAlignment="1">
      <alignment horizontal="justify" vertical="top" wrapText="1"/>
    </xf>
    <xf numFmtId="0" fontId="3" fillId="2" borderId="1" xfId="0" applyFont="1" applyFill="1" applyBorder="1" applyAlignment="1">
      <alignment horizontal="justify" vertical="top" wrapText="1"/>
    </xf>
    <xf numFmtId="0" fontId="10" fillId="2" borderId="1" xfId="0" applyFont="1" applyFill="1" applyBorder="1" applyAlignment="1">
      <alignment vertical="top"/>
    </xf>
    <xf numFmtId="164" fontId="11" fillId="2" borderId="1" xfId="1" applyNumberFormat="1" applyFont="1" applyFill="1" applyBorder="1" applyAlignment="1">
      <alignment horizontal="center" vertical="top" wrapText="1"/>
    </xf>
    <xf numFmtId="0" fontId="6" fillId="2" borderId="0" xfId="0" applyFont="1" applyFill="1" applyAlignment="1">
      <alignment horizontal="justify"/>
    </xf>
    <xf numFmtId="165" fontId="11" fillId="2" borderId="8" xfId="0" applyNumberFormat="1" applyFont="1" applyFill="1" applyBorder="1" applyAlignment="1">
      <alignment horizontal="center"/>
    </xf>
    <xf numFmtId="170" fontId="11" fillId="2" borderId="8" xfId="0" applyNumberFormat="1"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wrapText="1"/>
    </xf>
    <xf numFmtId="165" fontId="1" fillId="2" borderId="1" xfId="0" applyNumberFormat="1" applyFont="1" applyFill="1" applyBorder="1"/>
    <xf numFmtId="164" fontId="10" fillId="2" borderId="1" xfId="1" applyNumberFormat="1" applyFont="1" applyFill="1" applyBorder="1" applyAlignment="1">
      <alignment horizontal="justify" vertical="top"/>
    </xf>
    <xf numFmtId="0" fontId="2" fillId="2" borderId="1" xfId="0" applyNumberFormat="1" applyFont="1" applyFill="1" applyBorder="1" applyAlignment="1">
      <alignment horizontal="left" vertical="top" wrapText="1"/>
    </xf>
    <xf numFmtId="164" fontId="1" fillId="2" borderId="0" xfId="0" applyNumberFormat="1" applyFont="1" applyFill="1"/>
    <xf numFmtId="43" fontId="3" fillId="2" borderId="1" xfId="1" applyFont="1" applyFill="1" applyBorder="1" applyAlignment="1">
      <alignment horizontal="center" vertical="top" wrapText="1"/>
    </xf>
    <xf numFmtId="169" fontId="3" fillId="2" borderId="1" xfId="1" applyNumberFormat="1" applyFont="1" applyFill="1" applyBorder="1" applyAlignment="1">
      <alignment horizontal="center" vertical="top" wrapText="1"/>
    </xf>
    <xf numFmtId="0" fontId="2" fillId="2" borderId="4" xfId="0" applyFont="1" applyFill="1" applyBorder="1" applyAlignment="1">
      <alignment vertical="top" wrapText="1"/>
    </xf>
    <xf numFmtId="0" fontId="1" fillId="2" borderId="0" xfId="0" applyFont="1" applyFill="1" applyBorder="1"/>
    <xf numFmtId="166" fontId="6" fillId="2" borderId="0" xfId="1" applyNumberFormat="1" applyFont="1" applyFill="1" applyAlignment="1"/>
    <xf numFmtId="166" fontId="6" fillId="2" borderId="8" xfId="1" applyNumberFormat="1" applyFont="1" applyFill="1" applyBorder="1" applyAlignment="1">
      <alignment horizontal="left"/>
    </xf>
    <xf numFmtId="0" fontId="6" fillId="2" borderId="8" xfId="0" applyFont="1" applyFill="1" applyBorder="1" applyAlignment="1"/>
    <xf numFmtId="166" fontId="6" fillId="2" borderId="8" xfId="0" applyNumberFormat="1" applyFont="1" applyFill="1" applyBorder="1" applyAlignment="1">
      <alignment horizontal="left"/>
    </xf>
    <xf numFmtId="166" fontId="6" fillId="2" borderId="0" xfId="0" applyNumberFormat="1" applyFont="1" applyFill="1" applyBorder="1" applyAlignment="1">
      <alignment horizontal="left"/>
    </xf>
    <xf numFmtId="166" fontId="6" fillId="2" borderId="0" xfId="1" applyNumberFormat="1" applyFont="1" applyFill="1" applyAlignment="1">
      <alignment horizontal="left"/>
    </xf>
    <xf numFmtId="166" fontId="6" fillId="2" borderId="0" xfId="1" applyNumberFormat="1" applyFont="1" applyFill="1" applyBorder="1" applyAlignment="1">
      <alignment horizontal="left"/>
    </xf>
    <xf numFmtId="0" fontId="6" fillId="2" borderId="0" xfId="0" applyFont="1" applyFill="1" applyBorder="1" applyAlignment="1"/>
    <xf numFmtId="166" fontId="6" fillId="2" borderId="0" xfId="1" applyNumberFormat="1" applyFont="1" applyFill="1" applyBorder="1" applyAlignment="1"/>
    <xf numFmtId="166" fontId="6" fillId="2" borderId="0" xfId="1" applyNumberFormat="1" applyFont="1" applyFill="1" applyAlignment="1">
      <alignment horizontal="right"/>
    </xf>
    <xf numFmtId="0" fontId="6" fillId="2" borderId="0" xfId="0" applyFont="1" applyFill="1"/>
    <xf numFmtId="0" fontId="6" fillId="2" borderId="0" xfId="0" applyFont="1" applyFill="1" applyAlignment="1">
      <alignment horizontal="right"/>
    </xf>
    <xf numFmtId="166" fontId="6" fillId="2" borderId="8" xfId="1" applyNumberFormat="1" applyFont="1" applyFill="1" applyBorder="1" applyAlignment="1">
      <alignment horizontal="left" vertical="center"/>
    </xf>
    <xf numFmtId="0" fontId="6" fillId="2" borderId="8" xfId="0" applyFont="1" applyFill="1" applyBorder="1" applyAlignment="1">
      <alignment vertical="center"/>
    </xf>
    <xf numFmtId="166" fontId="5" fillId="2" borderId="8" xfId="1" applyNumberFormat="1" applyFont="1" applyFill="1" applyBorder="1" applyAlignment="1">
      <alignment horizontal="left" vertical="center" wrapText="1"/>
    </xf>
    <xf numFmtId="170" fontId="3" fillId="2" borderId="1" xfId="1" applyNumberFormat="1" applyFont="1" applyFill="1" applyBorder="1" applyAlignment="1">
      <alignment horizontal="center" vertical="top" wrapText="1"/>
    </xf>
    <xf numFmtId="0" fontId="6" fillId="2" borderId="0" xfId="0" applyFont="1" applyFill="1" applyBorder="1"/>
    <xf numFmtId="166" fontId="6" fillId="2" borderId="0" xfId="1" applyNumberFormat="1" applyFont="1" applyFill="1" applyAlignment="1">
      <alignment wrapText="1"/>
    </xf>
    <xf numFmtId="0" fontId="2" fillId="2" borderId="1" xfId="0" applyFont="1" applyFill="1" applyBorder="1" applyAlignment="1">
      <alignment vertical="top" wrapText="1"/>
    </xf>
    <xf numFmtId="165" fontId="12" fillId="2" borderId="0" xfId="0" applyNumberFormat="1" applyFont="1" applyFill="1" applyBorder="1" applyAlignment="1">
      <alignment horizontal="center"/>
    </xf>
    <xf numFmtId="164" fontId="12" fillId="2" borderId="0" xfId="0" applyNumberFormat="1" applyFont="1" applyFill="1" applyBorder="1" applyAlignment="1">
      <alignment horizontal="center"/>
    </xf>
    <xf numFmtId="165" fontId="11" fillId="2" borderId="0" xfId="0" applyNumberFormat="1" applyFont="1" applyFill="1" applyBorder="1" applyAlignment="1">
      <alignment horizontal="center"/>
    </xf>
    <xf numFmtId="164" fontId="10" fillId="2" borderId="8" xfId="0" applyNumberFormat="1" applyFont="1" applyFill="1" applyBorder="1" applyAlignment="1">
      <alignment horizontal="center"/>
    </xf>
    <xf numFmtId="165" fontId="10" fillId="2" borderId="8" xfId="0" applyNumberFormat="1" applyFont="1" applyFill="1" applyBorder="1" applyAlignment="1">
      <alignment horizontal="center"/>
    </xf>
    <xf numFmtId="0" fontId="14" fillId="2" borderId="1" xfId="0" applyFont="1" applyFill="1" applyBorder="1" applyAlignment="1">
      <alignment vertical="top" wrapText="1"/>
    </xf>
    <xf numFmtId="0" fontId="10" fillId="2" borderId="1" xfId="0" applyFont="1" applyFill="1" applyBorder="1" applyAlignment="1">
      <alignment vertical="top" wrapText="1"/>
    </xf>
    <xf numFmtId="165" fontId="10" fillId="2" borderId="0" xfId="0" applyNumberFormat="1" applyFont="1" applyFill="1" applyBorder="1" applyAlignment="1">
      <alignment horizontal="center"/>
    </xf>
    <xf numFmtId="0" fontId="2" fillId="2" borderId="4"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166" fontId="2" fillId="2" borderId="0" xfId="1" applyNumberFormat="1" applyFont="1" applyFill="1" applyBorder="1" applyAlignment="1">
      <alignment horizontal="left" vertical="center" wrapText="1"/>
    </xf>
    <xf numFmtId="0" fontId="12" fillId="2" borderId="0" xfId="0" applyFont="1" applyFill="1" applyBorder="1" applyAlignment="1">
      <alignment horizontal="center"/>
    </xf>
    <xf numFmtId="0" fontId="2" fillId="2" borderId="1" xfId="0" applyFont="1" applyFill="1" applyBorder="1" applyAlignment="1">
      <alignment horizontal="left" vertical="top" wrapText="1"/>
    </xf>
    <xf numFmtId="0" fontId="6" fillId="2" borderId="0" xfId="0" applyFont="1" applyFill="1" applyAlignment="1">
      <alignment horizontal="center"/>
    </xf>
    <xf numFmtId="0" fontId="6" fillId="2" borderId="1" xfId="0" applyFont="1" applyFill="1" applyBorder="1" applyAlignment="1">
      <alignment horizontal="center" vertical="top" wrapText="1"/>
    </xf>
    <xf numFmtId="0" fontId="5" fillId="2" borderId="1" xfId="0" applyFont="1" applyFill="1" applyBorder="1" applyAlignment="1">
      <alignment horizontal="center" vertical="top" wrapText="1"/>
    </xf>
    <xf numFmtId="0" fontId="6" fillId="2" borderId="2" xfId="0" applyFont="1" applyFill="1" applyBorder="1" applyAlignment="1">
      <alignment horizontal="center" vertical="top"/>
    </xf>
    <xf numFmtId="0" fontId="6" fillId="2" borderId="1" xfId="0" applyFont="1" applyFill="1" applyBorder="1" applyAlignment="1">
      <alignment horizontal="justify" vertical="top" wrapText="1"/>
    </xf>
    <xf numFmtId="171" fontId="6" fillId="2" borderId="1" xfId="0" applyNumberFormat="1" applyFont="1" applyFill="1" applyBorder="1" applyAlignment="1">
      <alignment horizontal="center" vertical="top" wrapText="1"/>
    </xf>
    <xf numFmtId="0" fontId="6" fillId="2" borderId="1" xfId="0" applyFont="1" applyFill="1" applyBorder="1" applyAlignment="1">
      <alignment vertical="top" wrapText="1"/>
    </xf>
    <xf numFmtId="0" fontId="6" fillId="2" borderId="2" xfId="0" applyFont="1" applyFill="1" applyBorder="1" applyAlignment="1">
      <alignment horizontal="justify" vertical="top" wrapText="1"/>
    </xf>
    <xf numFmtId="0" fontId="6" fillId="2" borderId="2" xfId="0" applyFont="1" applyFill="1" applyBorder="1" applyAlignment="1">
      <alignment horizontal="center" vertical="top" wrapText="1"/>
    </xf>
    <xf numFmtId="171" fontId="6" fillId="2" borderId="2" xfId="0" applyNumberFormat="1" applyFont="1" applyFill="1" applyBorder="1" applyAlignment="1">
      <alignment horizontal="center" vertical="top" wrapText="1"/>
    </xf>
    <xf numFmtId="0" fontId="6" fillId="2" borderId="1" xfId="0" applyFont="1" applyFill="1" applyBorder="1" applyAlignment="1">
      <alignment horizontal="center" vertical="top"/>
    </xf>
    <xf numFmtId="171" fontId="6" fillId="2" borderId="1" xfId="0" applyNumberFormat="1" applyFont="1" applyFill="1" applyBorder="1" applyAlignment="1">
      <alignment horizontal="center" vertical="top"/>
    </xf>
    <xf numFmtId="0" fontId="6" fillId="2" borderId="0" xfId="0" applyFont="1" applyFill="1" applyAlignment="1">
      <alignment horizontal="left"/>
    </xf>
    <xf numFmtId="0" fontId="6" fillId="2" borderId="0" xfId="0" applyFont="1" applyFill="1" applyAlignment="1">
      <alignment horizontal="left" vertical="top"/>
    </xf>
    <xf numFmtId="0" fontId="7" fillId="2" borderId="0" xfId="0" applyFont="1" applyFill="1" applyAlignment="1">
      <alignment horizontal="justify"/>
    </xf>
    <xf numFmtId="0" fontId="7" fillId="2" borderId="0" xfId="0" applyFont="1" applyFill="1" applyAlignment="1">
      <alignment horizontal="left"/>
    </xf>
    <xf numFmtId="0" fontId="6" fillId="2" borderId="5" xfId="0" applyFont="1" applyFill="1" applyBorder="1" applyAlignment="1">
      <alignment horizontal="center" vertical="top"/>
    </xf>
    <xf numFmtId="0" fontId="1" fillId="2" borderId="1" xfId="0" applyFont="1" applyFill="1" applyBorder="1" applyAlignment="1">
      <alignment horizontal="center" vertical="center"/>
    </xf>
    <xf numFmtId="0" fontId="6" fillId="2" borderId="1" xfId="0" applyFont="1" applyFill="1" applyBorder="1" applyAlignment="1">
      <alignment horizontal="left" vertical="top" wrapText="1"/>
    </xf>
    <xf numFmtId="0" fontId="17" fillId="2" borderId="1" xfId="0" applyFont="1" applyFill="1" applyBorder="1"/>
    <xf numFmtId="0" fontId="6" fillId="2" borderId="2" xfId="0" applyFont="1" applyFill="1" applyBorder="1" applyAlignment="1">
      <alignment horizontal="center" vertical="top" wrapText="1"/>
    </xf>
    <xf numFmtId="0" fontId="6" fillId="2" borderId="1" xfId="0" applyFont="1" applyFill="1" applyBorder="1" applyAlignment="1">
      <alignment horizontal="center" vertical="top" wrapText="1"/>
    </xf>
    <xf numFmtId="0" fontId="2" fillId="2" borderId="2"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3" xfId="0" applyFont="1" applyFill="1" applyBorder="1" applyAlignment="1">
      <alignment horizontal="left" vertical="top" wrapText="1"/>
    </xf>
    <xf numFmtId="0" fontId="12" fillId="2" borderId="0" xfId="0" applyFont="1" applyFill="1" applyBorder="1" applyAlignment="1">
      <alignment horizont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left" vertical="top" wrapText="1"/>
    </xf>
    <xf numFmtId="16" fontId="2" fillId="2" borderId="1" xfId="0" applyNumberFormat="1" applyFont="1" applyFill="1" applyBorder="1" applyAlignment="1">
      <alignment horizontal="left" vertical="top" wrapText="1"/>
    </xf>
    <xf numFmtId="14" fontId="2" fillId="2" borderId="1" xfId="0" applyNumberFormat="1"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9"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11" xfId="0" applyFont="1" applyFill="1" applyBorder="1" applyAlignment="1">
      <alignment horizontal="left" vertical="top" wrapText="1"/>
    </xf>
    <xf numFmtId="0" fontId="11" fillId="2" borderId="12"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13"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8" xfId="0" applyFont="1" applyFill="1" applyBorder="1" applyAlignment="1">
      <alignment horizontal="left" vertical="top" wrapText="1"/>
    </xf>
    <xf numFmtId="0" fontId="11" fillId="2" borderId="15" xfId="0" applyFont="1" applyFill="1" applyBorder="1" applyAlignment="1">
      <alignment horizontal="left" vertical="top" wrapText="1"/>
    </xf>
    <xf numFmtId="0" fontId="11" fillId="2" borderId="4" xfId="0" applyFont="1" applyFill="1" applyBorder="1" applyAlignment="1">
      <alignment horizontal="left" vertical="top" wrapText="1"/>
    </xf>
    <xf numFmtId="166" fontId="2" fillId="2" borderId="0" xfId="1" applyNumberFormat="1" applyFont="1" applyFill="1" applyBorder="1" applyAlignment="1">
      <alignment horizontal="left" vertical="center" wrapText="1"/>
    </xf>
    <xf numFmtId="0" fontId="3" fillId="2" borderId="1" xfId="0" applyFont="1" applyFill="1" applyBorder="1" applyAlignment="1">
      <alignment horizontal="left" vertical="top" wrapText="1"/>
    </xf>
    <xf numFmtId="0" fontId="10" fillId="2" borderId="1"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10" xfId="0" applyFont="1" applyFill="1" applyBorder="1" applyAlignment="1">
      <alignment horizontal="left" vertical="top" wrapText="1"/>
    </xf>
    <xf numFmtId="0" fontId="10" fillId="2" borderId="11" xfId="0" applyFont="1" applyFill="1" applyBorder="1" applyAlignment="1">
      <alignment horizontal="left" vertical="top" wrapText="1"/>
    </xf>
    <xf numFmtId="0" fontId="10" fillId="2" borderId="12"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13" xfId="0" applyFont="1" applyFill="1" applyBorder="1" applyAlignment="1">
      <alignment horizontal="left" vertical="top" wrapText="1"/>
    </xf>
    <xf numFmtId="0" fontId="10" fillId="2" borderId="14"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2" borderId="15"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7"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15" xfId="0" applyFont="1" applyFill="1" applyBorder="1" applyAlignment="1">
      <alignment horizontal="left" vertical="top" wrapText="1"/>
    </xf>
    <xf numFmtId="0" fontId="2" fillId="2" borderId="1" xfId="0" applyFont="1" applyFill="1" applyBorder="1" applyAlignment="1">
      <alignment horizontal="center" vertical="top"/>
    </xf>
    <xf numFmtId="14" fontId="3" fillId="2" borderId="1" xfId="0" applyNumberFormat="1" applyFont="1" applyFill="1" applyBorder="1" applyAlignment="1">
      <alignment horizontal="left" vertical="top" wrapText="1"/>
    </xf>
    <xf numFmtId="0" fontId="11" fillId="2" borderId="1" xfId="0" applyFont="1" applyFill="1" applyBorder="1" applyAlignment="1">
      <alignment horizontal="left" vertical="top"/>
    </xf>
    <xf numFmtId="0" fontId="2" fillId="2" borderId="1" xfId="0" applyFont="1" applyFill="1" applyBorder="1" applyAlignment="1">
      <alignment horizontal="left" vertical="top"/>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6" fillId="2" borderId="0" xfId="0" applyFont="1" applyFill="1" applyAlignment="1">
      <alignment horizontal="right" vertical="top"/>
    </xf>
    <xf numFmtId="0" fontId="6" fillId="2" borderId="0" xfId="0" applyFont="1" applyFill="1" applyAlignment="1">
      <alignment horizontal="center"/>
    </xf>
    <xf numFmtId="0" fontId="6" fillId="2" borderId="2"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1" xfId="0" applyFont="1" applyFill="1" applyBorder="1" applyAlignment="1">
      <alignment horizontal="center" vertical="top" wrapText="1"/>
    </xf>
  </cellXfs>
  <cellStyles count="4">
    <cellStyle name="Обычный" xfId="0" builtinId="0"/>
    <cellStyle name="Процентный" xfId="3" builtinId="5"/>
    <cellStyle name="Финансовый" xfId="1" builtinId="3"/>
    <cellStyle name="Финансовый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BO334"/>
  <sheetViews>
    <sheetView tabSelected="1" zoomScaleNormal="100" zoomScaleSheetLayoutView="80" workbookViewId="0">
      <pane xSplit="4" ySplit="8" topLeftCell="E9" activePane="bottomRight" state="frozen"/>
      <selection pane="topRight" activeCell="E1" sqref="E1"/>
      <selection pane="bottomLeft" activeCell="A9" sqref="A9"/>
      <selection pane="bottomRight" activeCell="Q3" sqref="Q3"/>
    </sheetView>
  </sheetViews>
  <sheetFormatPr defaultColWidth="9.140625" defaultRowHeight="15" x14ac:dyDescent="0.25"/>
  <cols>
    <col min="1" max="1" width="4.5703125" style="26" customWidth="1"/>
    <col min="2" max="2" width="42.7109375" style="26" customWidth="1"/>
    <col min="3" max="3" width="25.140625" style="26" customWidth="1"/>
    <col min="4" max="4" width="23.28515625" style="26" customWidth="1"/>
    <col min="5" max="6" width="10.5703125" style="26" customWidth="1"/>
    <col min="7" max="7" width="6.7109375" style="26" customWidth="1"/>
    <col min="8" max="8" width="9.42578125" style="26" customWidth="1"/>
    <col min="9" max="9" width="9.140625" style="26" customWidth="1"/>
    <col min="10" max="10" width="6.7109375" style="26" customWidth="1"/>
    <col min="11" max="11" width="9.28515625" style="26" customWidth="1"/>
    <col min="12" max="12" width="9.5703125" style="26" customWidth="1"/>
    <col min="13" max="13" width="6.85546875" style="26" customWidth="1"/>
    <col min="14" max="14" width="9.5703125" style="26" customWidth="1"/>
    <col min="15" max="15" width="9.85546875" style="26" customWidth="1"/>
    <col min="16" max="16" width="6.85546875" style="26" customWidth="1"/>
    <col min="17" max="18" width="9.85546875" style="26" customWidth="1"/>
    <col min="19" max="19" width="6.7109375" style="26" customWidth="1"/>
    <col min="20" max="21" width="10.140625" style="26" customWidth="1"/>
    <col min="22" max="22" width="7.140625" style="26" customWidth="1"/>
    <col min="23" max="23" width="9.42578125" style="26" customWidth="1"/>
    <col min="24" max="24" width="9.85546875" style="26" customWidth="1"/>
    <col min="25" max="25" width="7" style="26" customWidth="1"/>
    <col min="26" max="26" width="9.5703125" style="26" customWidth="1"/>
    <col min="27" max="27" width="10.140625" style="26" customWidth="1"/>
    <col min="28" max="28" width="6.85546875" style="26" customWidth="1"/>
    <col min="29" max="29" width="8.7109375" style="26" customWidth="1"/>
    <col min="30" max="30" width="9" style="26" customWidth="1"/>
    <col min="31" max="31" width="7" style="26" customWidth="1"/>
    <col min="32" max="33" width="8.7109375" style="26" customWidth="1"/>
    <col min="34" max="34" width="8.140625" style="26" customWidth="1"/>
    <col min="35" max="36" width="9.42578125" style="26" customWidth="1"/>
    <col min="37" max="37" width="6.7109375" style="26" customWidth="1"/>
    <col min="38" max="38" width="9.85546875" style="26" customWidth="1"/>
    <col min="39" max="39" width="10.140625" style="26" customWidth="1"/>
    <col min="40" max="40" width="6.7109375" style="26" customWidth="1"/>
    <col min="41" max="41" width="10.140625" style="26" customWidth="1"/>
    <col min="42" max="42" width="10.28515625" style="26" customWidth="1"/>
    <col min="43" max="43" width="6.7109375" style="26" customWidth="1"/>
    <col min="44" max="44" width="39.85546875" style="26" customWidth="1"/>
    <col min="45" max="45" width="30.85546875" style="26" customWidth="1"/>
    <col min="46" max="16384" width="9.140625" style="26"/>
  </cols>
  <sheetData>
    <row r="1" spans="1:45" ht="15.75" x14ac:dyDescent="0.25">
      <c r="AS1" s="72" t="s">
        <v>211</v>
      </c>
    </row>
    <row r="2" spans="1:45" x14ac:dyDescent="0.25">
      <c r="A2" s="119" t="s">
        <v>203</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row>
    <row r="3" spans="1:45" x14ac:dyDescent="0.25">
      <c r="A3" s="92"/>
      <c r="B3" s="92"/>
      <c r="C3" s="80"/>
      <c r="D3" s="81"/>
      <c r="E3" s="80"/>
      <c r="F3" s="92"/>
      <c r="G3" s="92"/>
      <c r="H3" s="92"/>
      <c r="I3" s="92"/>
      <c r="J3" s="92"/>
      <c r="K3" s="92"/>
      <c r="L3" s="92"/>
      <c r="M3" s="92"/>
      <c r="N3" s="92"/>
      <c r="O3" s="92"/>
      <c r="P3" s="92"/>
      <c r="Q3" s="92"/>
      <c r="R3" s="92"/>
      <c r="S3" s="92"/>
      <c r="T3" s="92"/>
      <c r="U3" s="82">
        <f>U28-T28</f>
        <v>0</v>
      </c>
      <c r="V3" s="92"/>
      <c r="W3" s="92"/>
      <c r="X3" s="92"/>
      <c r="Y3" s="92"/>
      <c r="Z3" s="92"/>
      <c r="AA3" s="92"/>
      <c r="AB3" s="92"/>
      <c r="AC3" s="92"/>
      <c r="AD3" s="92"/>
      <c r="AE3" s="92"/>
      <c r="AF3" s="92"/>
      <c r="AG3" s="92"/>
      <c r="AH3" s="92"/>
      <c r="AI3" s="87"/>
      <c r="AJ3" s="87"/>
      <c r="AK3" s="92"/>
      <c r="AL3" s="92"/>
      <c r="AM3" s="92"/>
      <c r="AN3" s="92"/>
      <c r="AO3" s="92"/>
      <c r="AP3" s="92"/>
      <c r="AQ3" s="92"/>
      <c r="AR3" s="92"/>
      <c r="AS3" s="92"/>
    </row>
    <row r="4" spans="1:45" x14ac:dyDescent="0.25">
      <c r="A4" s="119" t="s">
        <v>168</v>
      </c>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row>
    <row r="5" spans="1:45" x14ac:dyDescent="0.25">
      <c r="A5" s="27"/>
      <c r="B5" s="27"/>
      <c r="C5" s="27"/>
      <c r="D5" s="27"/>
      <c r="E5" s="28"/>
      <c r="F5" s="50"/>
      <c r="G5" s="28"/>
      <c r="H5" s="29"/>
      <c r="I5" s="29"/>
      <c r="J5" s="29"/>
      <c r="K5" s="83"/>
      <c r="L5" s="83"/>
      <c r="M5" s="30"/>
      <c r="N5" s="27"/>
      <c r="O5" s="27"/>
      <c r="P5" s="27"/>
      <c r="Q5" s="28"/>
      <c r="R5" s="28"/>
      <c r="S5" s="84">
        <f>R28-Q28</f>
        <v>0</v>
      </c>
      <c r="T5" s="27"/>
      <c r="U5" s="27"/>
      <c r="V5" s="27"/>
      <c r="W5" s="49"/>
      <c r="X5" s="27"/>
      <c r="Y5" s="27"/>
      <c r="Z5" s="27"/>
      <c r="AA5" s="84"/>
      <c r="AB5" s="27"/>
      <c r="AC5" s="27"/>
      <c r="AD5" s="27"/>
      <c r="AE5" s="27"/>
      <c r="AF5" s="27"/>
      <c r="AG5" s="27"/>
      <c r="AH5" s="27"/>
      <c r="AI5" s="27"/>
      <c r="AJ5" s="27"/>
      <c r="AK5" s="27"/>
      <c r="AL5" s="27"/>
      <c r="AM5" s="27"/>
      <c r="AN5" s="27"/>
      <c r="AO5" s="31"/>
      <c r="AP5" s="32"/>
      <c r="AQ5" s="32"/>
    </row>
    <row r="6" spans="1:45" ht="15" customHeight="1" x14ac:dyDescent="0.25">
      <c r="A6" s="120" t="s">
        <v>112</v>
      </c>
      <c r="B6" s="120" t="s">
        <v>141</v>
      </c>
      <c r="C6" s="120" t="s">
        <v>142</v>
      </c>
      <c r="D6" s="120" t="s">
        <v>0</v>
      </c>
      <c r="E6" s="120" t="s">
        <v>143</v>
      </c>
      <c r="F6" s="120"/>
      <c r="G6" s="120"/>
      <c r="H6" s="121" t="s">
        <v>34</v>
      </c>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3"/>
      <c r="AR6" s="124" t="s">
        <v>35</v>
      </c>
      <c r="AS6" s="124" t="s">
        <v>36</v>
      </c>
    </row>
    <row r="7" spans="1:45" ht="15" customHeight="1" x14ac:dyDescent="0.25">
      <c r="A7" s="120"/>
      <c r="B7" s="120"/>
      <c r="C7" s="120"/>
      <c r="D7" s="120"/>
      <c r="E7" s="120"/>
      <c r="F7" s="120"/>
      <c r="G7" s="120"/>
      <c r="H7" s="120" t="s">
        <v>22</v>
      </c>
      <c r="I7" s="120"/>
      <c r="J7" s="120"/>
      <c r="K7" s="120" t="s">
        <v>23</v>
      </c>
      <c r="L7" s="120"/>
      <c r="M7" s="120"/>
      <c r="N7" s="120" t="s">
        <v>24</v>
      </c>
      <c r="O7" s="120"/>
      <c r="P7" s="120"/>
      <c r="Q7" s="120" t="s">
        <v>25</v>
      </c>
      <c r="R7" s="120"/>
      <c r="S7" s="120"/>
      <c r="T7" s="120" t="s">
        <v>26</v>
      </c>
      <c r="U7" s="120"/>
      <c r="V7" s="120"/>
      <c r="W7" s="120" t="s">
        <v>27</v>
      </c>
      <c r="X7" s="120"/>
      <c r="Y7" s="120"/>
      <c r="Z7" s="120" t="s">
        <v>28</v>
      </c>
      <c r="AA7" s="120"/>
      <c r="AB7" s="120"/>
      <c r="AC7" s="120" t="s">
        <v>29</v>
      </c>
      <c r="AD7" s="120"/>
      <c r="AE7" s="120"/>
      <c r="AF7" s="120" t="s">
        <v>30</v>
      </c>
      <c r="AG7" s="120"/>
      <c r="AH7" s="120"/>
      <c r="AI7" s="120" t="s">
        <v>31</v>
      </c>
      <c r="AJ7" s="120"/>
      <c r="AK7" s="120"/>
      <c r="AL7" s="120" t="s">
        <v>32</v>
      </c>
      <c r="AM7" s="120"/>
      <c r="AN7" s="120"/>
      <c r="AO7" s="120" t="s">
        <v>33</v>
      </c>
      <c r="AP7" s="120"/>
      <c r="AQ7" s="120"/>
      <c r="AR7" s="125"/>
      <c r="AS7" s="125"/>
    </row>
    <row r="8" spans="1:45" ht="21.6" customHeight="1" x14ac:dyDescent="0.25">
      <c r="A8" s="120"/>
      <c r="B8" s="120"/>
      <c r="C8" s="120"/>
      <c r="D8" s="120"/>
      <c r="E8" s="51" t="s">
        <v>41</v>
      </c>
      <c r="F8" s="51" t="s">
        <v>42</v>
      </c>
      <c r="G8" s="52" t="s">
        <v>40</v>
      </c>
      <c r="H8" s="51" t="s">
        <v>41</v>
      </c>
      <c r="I8" s="51" t="s">
        <v>42</v>
      </c>
      <c r="J8" s="52" t="s">
        <v>40</v>
      </c>
      <c r="K8" s="51" t="s">
        <v>41</v>
      </c>
      <c r="L8" s="51" t="s">
        <v>42</v>
      </c>
      <c r="M8" s="52" t="s">
        <v>40</v>
      </c>
      <c r="N8" s="51" t="s">
        <v>41</v>
      </c>
      <c r="O8" s="51" t="s">
        <v>42</v>
      </c>
      <c r="P8" s="52" t="s">
        <v>40</v>
      </c>
      <c r="Q8" s="51" t="s">
        <v>41</v>
      </c>
      <c r="R8" s="51" t="s">
        <v>42</v>
      </c>
      <c r="S8" s="52" t="s">
        <v>40</v>
      </c>
      <c r="T8" s="51" t="s">
        <v>41</v>
      </c>
      <c r="U8" s="51" t="s">
        <v>42</v>
      </c>
      <c r="V8" s="52" t="s">
        <v>40</v>
      </c>
      <c r="W8" s="51" t="s">
        <v>41</v>
      </c>
      <c r="X8" s="51" t="s">
        <v>42</v>
      </c>
      <c r="Y8" s="52" t="s">
        <v>40</v>
      </c>
      <c r="Z8" s="51" t="s">
        <v>41</v>
      </c>
      <c r="AA8" s="51" t="s">
        <v>42</v>
      </c>
      <c r="AB8" s="52" t="s">
        <v>40</v>
      </c>
      <c r="AC8" s="51" t="s">
        <v>41</v>
      </c>
      <c r="AD8" s="51" t="s">
        <v>42</v>
      </c>
      <c r="AE8" s="52" t="s">
        <v>40</v>
      </c>
      <c r="AF8" s="51" t="s">
        <v>41</v>
      </c>
      <c r="AG8" s="51" t="s">
        <v>42</v>
      </c>
      <c r="AH8" s="52" t="s">
        <v>40</v>
      </c>
      <c r="AI8" s="51" t="s">
        <v>41</v>
      </c>
      <c r="AJ8" s="51" t="s">
        <v>42</v>
      </c>
      <c r="AK8" s="52" t="s">
        <v>40</v>
      </c>
      <c r="AL8" s="51" t="s">
        <v>41</v>
      </c>
      <c r="AM8" s="51" t="s">
        <v>42</v>
      </c>
      <c r="AN8" s="52" t="s">
        <v>40</v>
      </c>
      <c r="AO8" s="51" t="s">
        <v>41</v>
      </c>
      <c r="AP8" s="51" t="s">
        <v>42</v>
      </c>
      <c r="AQ8" s="52" t="s">
        <v>40</v>
      </c>
      <c r="AR8" s="126"/>
      <c r="AS8" s="126"/>
    </row>
    <row r="9" spans="1:45" ht="13.15" customHeight="1" x14ac:dyDescent="0.25">
      <c r="A9" s="89" t="s">
        <v>44</v>
      </c>
      <c r="B9" s="34" t="s">
        <v>2</v>
      </c>
      <c r="C9" s="34"/>
      <c r="D9" s="34"/>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34"/>
      <c r="AQ9" s="34"/>
      <c r="AR9" s="33"/>
      <c r="AS9" s="33"/>
    </row>
    <row r="10" spans="1:45" ht="13.15" customHeight="1" x14ac:dyDescent="0.25">
      <c r="A10" s="127" t="s">
        <v>1</v>
      </c>
      <c r="B10" s="127" t="s">
        <v>157</v>
      </c>
      <c r="C10" s="127" t="s">
        <v>168</v>
      </c>
      <c r="D10" s="35" t="s">
        <v>3</v>
      </c>
      <c r="E10" s="23">
        <f>H10+K10+N10+Q10+T10+W10+Z10+AC10+AF10+AI10+AL10+AO10</f>
        <v>166.3</v>
      </c>
      <c r="F10" s="23">
        <f>I10+L10+O10+R10+U10+X10+AA10+AD10+AG10+AJ10+AM10+AP10</f>
        <v>166.3</v>
      </c>
      <c r="G10" s="23">
        <f>F10/E10*100</f>
        <v>100</v>
      </c>
      <c r="H10" s="23">
        <f>H11+H12+H13+H14</f>
        <v>0</v>
      </c>
      <c r="I10" s="23"/>
      <c r="J10" s="23"/>
      <c r="K10" s="23">
        <f t="shared" ref="K10:AO10" si="0">K11+K12+K13+K14</f>
        <v>0</v>
      </c>
      <c r="L10" s="23"/>
      <c r="M10" s="23"/>
      <c r="N10" s="23">
        <f t="shared" si="0"/>
        <v>0</v>
      </c>
      <c r="O10" s="23"/>
      <c r="P10" s="23"/>
      <c r="Q10" s="23">
        <f t="shared" si="0"/>
        <v>0</v>
      </c>
      <c r="R10" s="23">
        <f t="shared" si="0"/>
        <v>0</v>
      </c>
      <c r="S10" s="23"/>
      <c r="T10" s="23">
        <f t="shared" si="0"/>
        <v>0</v>
      </c>
      <c r="U10" s="23"/>
      <c r="V10" s="23"/>
      <c r="W10" s="23">
        <f t="shared" si="0"/>
        <v>0</v>
      </c>
      <c r="X10" s="23">
        <f t="shared" si="0"/>
        <v>0</v>
      </c>
      <c r="Y10" s="23"/>
      <c r="Z10" s="23">
        <f t="shared" si="0"/>
        <v>0</v>
      </c>
      <c r="AA10" s="23">
        <f t="shared" si="0"/>
        <v>0</v>
      </c>
      <c r="AB10" s="23"/>
      <c r="AC10" s="23">
        <f t="shared" si="0"/>
        <v>166.3</v>
      </c>
      <c r="AD10" s="23">
        <f t="shared" si="0"/>
        <v>0</v>
      </c>
      <c r="AE10" s="23">
        <f>AD10/AC10*100</f>
        <v>0</v>
      </c>
      <c r="AF10" s="23">
        <f t="shared" si="0"/>
        <v>0</v>
      </c>
      <c r="AG10" s="23">
        <f t="shared" si="0"/>
        <v>0</v>
      </c>
      <c r="AH10" s="23"/>
      <c r="AI10" s="23">
        <f t="shared" si="0"/>
        <v>0</v>
      </c>
      <c r="AJ10" s="23"/>
      <c r="AK10" s="23"/>
      <c r="AL10" s="23">
        <f t="shared" si="0"/>
        <v>0</v>
      </c>
      <c r="AM10" s="23">
        <f t="shared" si="0"/>
        <v>166.3</v>
      </c>
      <c r="AN10" s="23"/>
      <c r="AO10" s="23">
        <f t="shared" si="0"/>
        <v>0</v>
      </c>
      <c r="AP10" s="23"/>
      <c r="AQ10" s="23"/>
      <c r="AR10" s="33"/>
      <c r="AS10" s="33"/>
    </row>
    <row r="11" spans="1:45" x14ac:dyDescent="0.25">
      <c r="A11" s="127"/>
      <c r="B11" s="127"/>
      <c r="C11" s="127"/>
      <c r="D11" s="35" t="s">
        <v>20</v>
      </c>
      <c r="E11" s="23">
        <f t="shared" ref="E11:F34" si="1">H11+K11+N11+Q11+T11+W11+Z11+AC11+AF11+AI11+AL11+AO11</f>
        <v>0</v>
      </c>
      <c r="F11" s="23">
        <f t="shared" si="1"/>
        <v>0</v>
      </c>
      <c r="G11" s="21"/>
      <c r="H11" s="23"/>
      <c r="I11" s="23"/>
      <c r="J11" s="23"/>
      <c r="K11" s="23"/>
      <c r="L11" s="23"/>
      <c r="M11" s="23"/>
      <c r="N11" s="23"/>
      <c r="O11" s="23"/>
      <c r="P11" s="23"/>
      <c r="Q11" s="23"/>
      <c r="R11" s="23"/>
      <c r="S11" s="21"/>
      <c r="T11" s="23"/>
      <c r="U11" s="23"/>
      <c r="V11" s="23"/>
      <c r="W11" s="23"/>
      <c r="X11" s="23"/>
      <c r="Y11" s="21"/>
      <c r="Z11" s="23"/>
      <c r="AA11" s="23"/>
      <c r="AB11" s="23"/>
      <c r="AC11" s="23"/>
      <c r="AD11" s="23"/>
      <c r="AE11" s="21"/>
      <c r="AF11" s="23"/>
      <c r="AG11" s="23"/>
      <c r="AH11" s="23"/>
      <c r="AI11" s="23"/>
      <c r="AJ11" s="23"/>
      <c r="AK11" s="23"/>
      <c r="AL11" s="23"/>
      <c r="AM11" s="23"/>
      <c r="AN11" s="23"/>
      <c r="AO11" s="23"/>
      <c r="AP11" s="23"/>
      <c r="AQ11" s="23"/>
      <c r="AR11" s="33"/>
      <c r="AS11" s="33"/>
    </row>
    <row r="12" spans="1:45" ht="43.15" customHeight="1" x14ac:dyDescent="0.25">
      <c r="A12" s="127"/>
      <c r="B12" s="127"/>
      <c r="C12" s="127"/>
      <c r="D12" s="35" t="s">
        <v>4</v>
      </c>
      <c r="E12" s="23">
        <f t="shared" si="1"/>
        <v>116.4</v>
      </c>
      <c r="F12" s="23">
        <f t="shared" si="1"/>
        <v>116.4</v>
      </c>
      <c r="G12" s="23">
        <f>F12/E12*100</f>
        <v>100</v>
      </c>
      <c r="H12" s="23"/>
      <c r="I12" s="23"/>
      <c r="J12" s="23"/>
      <c r="K12" s="23"/>
      <c r="L12" s="23"/>
      <c r="M12" s="23"/>
      <c r="N12" s="23"/>
      <c r="O12" s="23"/>
      <c r="P12" s="23"/>
      <c r="Q12" s="23"/>
      <c r="R12" s="23"/>
      <c r="S12" s="23"/>
      <c r="T12" s="23"/>
      <c r="U12" s="23"/>
      <c r="V12" s="23"/>
      <c r="W12" s="23"/>
      <c r="X12" s="23"/>
      <c r="Y12" s="23"/>
      <c r="Z12" s="23"/>
      <c r="AA12" s="23"/>
      <c r="AB12" s="23"/>
      <c r="AC12" s="23">
        <v>116.4</v>
      </c>
      <c r="AD12" s="23"/>
      <c r="AE12" s="23">
        <f>AD12/AC12*100</f>
        <v>0</v>
      </c>
      <c r="AF12" s="23"/>
      <c r="AG12" s="23"/>
      <c r="AH12" s="23"/>
      <c r="AI12" s="23"/>
      <c r="AJ12" s="23"/>
      <c r="AK12" s="23"/>
      <c r="AL12" s="23"/>
      <c r="AM12" s="23">
        <v>116.4</v>
      </c>
      <c r="AN12" s="23"/>
      <c r="AO12" s="23"/>
      <c r="AP12" s="23"/>
      <c r="AQ12" s="23"/>
      <c r="AR12" s="116" t="s">
        <v>190</v>
      </c>
      <c r="AS12" s="116" t="s">
        <v>210</v>
      </c>
    </row>
    <row r="13" spans="1:45" ht="43.15" customHeight="1" x14ac:dyDescent="0.25">
      <c r="A13" s="127"/>
      <c r="B13" s="127"/>
      <c r="C13" s="127"/>
      <c r="D13" s="35" t="s">
        <v>43</v>
      </c>
      <c r="E13" s="23">
        <f t="shared" si="1"/>
        <v>49.9</v>
      </c>
      <c r="F13" s="23">
        <f t="shared" si="1"/>
        <v>49.9</v>
      </c>
      <c r="G13" s="23">
        <f>F13/E13*100</f>
        <v>100</v>
      </c>
      <c r="H13" s="23"/>
      <c r="I13" s="23"/>
      <c r="J13" s="23"/>
      <c r="K13" s="23"/>
      <c r="L13" s="23"/>
      <c r="M13" s="23"/>
      <c r="N13" s="23"/>
      <c r="O13" s="23"/>
      <c r="P13" s="23"/>
      <c r="Q13" s="23"/>
      <c r="R13" s="23"/>
      <c r="S13" s="23"/>
      <c r="T13" s="23"/>
      <c r="U13" s="23"/>
      <c r="V13" s="23"/>
      <c r="W13" s="23"/>
      <c r="X13" s="23"/>
      <c r="Y13" s="23"/>
      <c r="Z13" s="23"/>
      <c r="AA13" s="23"/>
      <c r="AB13" s="23"/>
      <c r="AC13" s="23">
        <v>49.9</v>
      </c>
      <c r="AD13" s="23"/>
      <c r="AE13" s="23">
        <f>AD13/AC13*100</f>
        <v>0</v>
      </c>
      <c r="AF13" s="23"/>
      <c r="AG13" s="23"/>
      <c r="AH13" s="23"/>
      <c r="AI13" s="23"/>
      <c r="AJ13" s="23"/>
      <c r="AK13" s="23"/>
      <c r="AL13" s="23"/>
      <c r="AM13" s="23">
        <v>49.9</v>
      </c>
      <c r="AN13" s="23"/>
      <c r="AO13" s="23"/>
      <c r="AP13" s="23"/>
      <c r="AQ13" s="23"/>
      <c r="AR13" s="117"/>
      <c r="AS13" s="117"/>
    </row>
    <row r="14" spans="1:45" x14ac:dyDescent="0.25">
      <c r="A14" s="127"/>
      <c r="B14" s="127"/>
      <c r="C14" s="127"/>
      <c r="D14" s="35" t="s">
        <v>21</v>
      </c>
      <c r="E14" s="23">
        <f t="shared" si="1"/>
        <v>0</v>
      </c>
      <c r="F14" s="23">
        <f t="shared" si="1"/>
        <v>0</v>
      </c>
      <c r="G14" s="21"/>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33"/>
      <c r="AS14" s="33"/>
    </row>
    <row r="15" spans="1:45" ht="13.15" customHeight="1" x14ac:dyDescent="0.25">
      <c r="A15" s="129" t="s">
        <v>156</v>
      </c>
      <c r="B15" s="127" t="s">
        <v>158</v>
      </c>
      <c r="C15" s="127" t="s">
        <v>168</v>
      </c>
      <c r="D15" s="35" t="s">
        <v>3</v>
      </c>
      <c r="E15" s="23">
        <f>H15+K15+N15+Q15+T15+W15+Z15+AC15+AF15+AI15+AL15+AO15</f>
        <v>166.3</v>
      </c>
      <c r="F15" s="23">
        <f>I15+L15+O15+R15+U15+X15+AA15+AD15+AG15+AJ15+AM15+AP15</f>
        <v>166.3</v>
      </c>
      <c r="G15" s="23">
        <f>F15/E15*100</f>
        <v>100</v>
      </c>
      <c r="H15" s="23">
        <f>H16+H17+H18+H19</f>
        <v>0</v>
      </c>
      <c r="I15" s="23"/>
      <c r="J15" s="23"/>
      <c r="K15" s="23">
        <f t="shared" ref="K15" si="2">K16+K17+K18+K19</f>
        <v>0</v>
      </c>
      <c r="L15" s="23"/>
      <c r="M15" s="23"/>
      <c r="N15" s="23">
        <f t="shared" ref="N15" si="3">N16+N17+N18+N19</f>
        <v>0</v>
      </c>
      <c r="O15" s="23"/>
      <c r="P15" s="23"/>
      <c r="Q15" s="23">
        <f t="shared" ref="Q15:R15" si="4">Q16+Q17+Q18+Q19</f>
        <v>0</v>
      </c>
      <c r="R15" s="23">
        <f t="shared" si="4"/>
        <v>0</v>
      </c>
      <c r="S15" s="23"/>
      <c r="T15" s="23">
        <f t="shared" ref="T15" si="5">T16+T17+T18+T19</f>
        <v>0</v>
      </c>
      <c r="U15" s="23"/>
      <c r="V15" s="23"/>
      <c r="W15" s="23">
        <f t="shared" ref="W15:X15" si="6">W16+W17+W18+W19</f>
        <v>0</v>
      </c>
      <c r="X15" s="23">
        <f t="shared" si="6"/>
        <v>0</v>
      </c>
      <c r="Y15" s="23"/>
      <c r="Z15" s="23">
        <f t="shared" ref="Z15:AA15" si="7">Z16+Z17+Z18+Z19</f>
        <v>0</v>
      </c>
      <c r="AA15" s="23">
        <f t="shared" si="7"/>
        <v>0</v>
      </c>
      <c r="AB15" s="23"/>
      <c r="AC15" s="23">
        <f t="shared" ref="AC15:AD15" si="8">AC16+AC17+AC18+AC19</f>
        <v>166.3</v>
      </c>
      <c r="AD15" s="23">
        <f t="shared" si="8"/>
        <v>0</v>
      </c>
      <c r="AE15" s="23">
        <f>AD15/AC15*100</f>
        <v>0</v>
      </c>
      <c r="AF15" s="23">
        <f t="shared" ref="AF15" si="9">AF16+AF17+AF18+AF19</f>
        <v>0</v>
      </c>
      <c r="AG15" s="23"/>
      <c r="AH15" s="23"/>
      <c r="AI15" s="23">
        <f t="shared" ref="AI15" si="10">AI16+AI17+AI18+AI19</f>
        <v>0</v>
      </c>
      <c r="AJ15" s="23"/>
      <c r="AK15" s="23"/>
      <c r="AL15" s="23">
        <f t="shared" ref="AL15:AM15" si="11">AL16+AL17+AL18+AL19</f>
        <v>0</v>
      </c>
      <c r="AM15" s="23">
        <f t="shared" si="11"/>
        <v>166.3</v>
      </c>
      <c r="AN15" s="23"/>
      <c r="AO15" s="23">
        <f t="shared" ref="AO15" si="12">AO16+AO17+AO18+AO19</f>
        <v>0</v>
      </c>
      <c r="AP15" s="23"/>
      <c r="AQ15" s="23"/>
      <c r="AR15" s="33"/>
      <c r="AS15" s="33"/>
    </row>
    <row r="16" spans="1:45" x14ac:dyDescent="0.25">
      <c r="A16" s="127"/>
      <c r="B16" s="127"/>
      <c r="C16" s="127"/>
      <c r="D16" s="35" t="s">
        <v>20</v>
      </c>
      <c r="E16" s="23">
        <f t="shared" ref="E16:E19" si="13">H16+K16+N16+Q16+T16+W16+Z16+AC16+AF16+AI16+AL16+AO16</f>
        <v>0</v>
      </c>
      <c r="F16" s="23">
        <f t="shared" ref="F16:F19" si="14">I16+L16+O16+R16+U16+X16+AA16+AD16+AG16+AJ16+AM16+AP16</f>
        <v>0</v>
      </c>
      <c r="G16" s="21"/>
      <c r="H16" s="23"/>
      <c r="I16" s="23"/>
      <c r="J16" s="23"/>
      <c r="K16" s="23"/>
      <c r="L16" s="23"/>
      <c r="M16" s="23"/>
      <c r="N16" s="23"/>
      <c r="O16" s="23"/>
      <c r="P16" s="23"/>
      <c r="Q16" s="23"/>
      <c r="R16" s="23"/>
      <c r="S16" s="21"/>
      <c r="T16" s="23"/>
      <c r="U16" s="23"/>
      <c r="V16" s="23"/>
      <c r="W16" s="23"/>
      <c r="X16" s="23"/>
      <c r="Y16" s="21"/>
      <c r="Z16" s="23"/>
      <c r="AA16" s="23"/>
      <c r="AB16" s="23"/>
      <c r="AC16" s="23"/>
      <c r="AD16" s="23"/>
      <c r="AE16" s="21"/>
      <c r="AF16" s="23"/>
      <c r="AG16" s="23"/>
      <c r="AH16" s="23"/>
      <c r="AI16" s="23"/>
      <c r="AJ16" s="23"/>
      <c r="AK16" s="23"/>
      <c r="AL16" s="23"/>
      <c r="AM16" s="23"/>
      <c r="AN16" s="23"/>
      <c r="AO16" s="23"/>
      <c r="AP16" s="23"/>
      <c r="AQ16" s="23"/>
      <c r="AR16" s="33"/>
      <c r="AS16" s="33"/>
    </row>
    <row r="17" spans="1:45" ht="42.6" customHeight="1" x14ac:dyDescent="0.25">
      <c r="A17" s="127"/>
      <c r="B17" s="127"/>
      <c r="C17" s="127"/>
      <c r="D17" s="35" t="s">
        <v>4</v>
      </c>
      <c r="E17" s="23">
        <f t="shared" si="13"/>
        <v>116.4</v>
      </c>
      <c r="F17" s="23">
        <f t="shared" si="14"/>
        <v>116.4</v>
      </c>
      <c r="G17" s="23">
        <f>F17/E17*100</f>
        <v>100</v>
      </c>
      <c r="H17" s="23"/>
      <c r="I17" s="23"/>
      <c r="J17" s="23"/>
      <c r="K17" s="23"/>
      <c r="L17" s="23"/>
      <c r="M17" s="23"/>
      <c r="N17" s="23"/>
      <c r="O17" s="23"/>
      <c r="P17" s="23"/>
      <c r="Q17" s="23"/>
      <c r="R17" s="23"/>
      <c r="S17" s="23"/>
      <c r="T17" s="23"/>
      <c r="U17" s="23"/>
      <c r="V17" s="23"/>
      <c r="W17" s="23"/>
      <c r="X17" s="23"/>
      <c r="Y17" s="23"/>
      <c r="Z17" s="23"/>
      <c r="AA17" s="23"/>
      <c r="AB17" s="23"/>
      <c r="AC17" s="23">
        <v>116.4</v>
      </c>
      <c r="AD17" s="23"/>
      <c r="AE17" s="23">
        <f>AD17/AC17*100</f>
        <v>0</v>
      </c>
      <c r="AF17" s="23"/>
      <c r="AG17" s="23"/>
      <c r="AH17" s="23"/>
      <c r="AI17" s="23"/>
      <c r="AJ17" s="23"/>
      <c r="AK17" s="23"/>
      <c r="AL17" s="23"/>
      <c r="AM17" s="23">
        <v>116.4</v>
      </c>
      <c r="AN17" s="23"/>
      <c r="AO17" s="23"/>
      <c r="AP17" s="23"/>
      <c r="AQ17" s="23"/>
      <c r="AR17" s="116" t="s">
        <v>190</v>
      </c>
      <c r="AS17" s="116" t="s">
        <v>210</v>
      </c>
    </row>
    <row r="18" spans="1:45" ht="42.6" customHeight="1" x14ac:dyDescent="0.25">
      <c r="A18" s="127"/>
      <c r="B18" s="127"/>
      <c r="C18" s="127"/>
      <c r="D18" s="35" t="s">
        <v>43</v>
      </c>
      <c r="E18" s="23">
        <f t="shared" si="13"/>
        <v>49.9</v>
      </c>
      <c r="F18" s="23">
        <f t="shared" si="14"/>
        <v>49.9</v>
      </c>
      <c r="G18" s="23">
        <f>F18/E18*100</f>
        <v>100</v>
      </c>
      <c r="H18" s="23"/>
      <c r="I18" s="23"/>
      <c r="J18" s="23"/>
      <c r="K18" s="23"/>
      <c r="L18" s="23"/>
      <c r="M18" s="23"/>
      <c r="N18" s="23"/>
      <c r="O18" s="23"/>
      <c r="P18" s="23"/>
      <c r="Q18" s="23"/>
      <c r="R18" s="23"/>
      <c r="S18" s="23"/>
      <c r="T18" s="23"/>
      <c r="U18" s="23"/>
      <c r="V18" s="23"/>
      <c r="W18" s="23"/>
      <c r="X18" s="23"/>
      <c r="Y18" s="23"/>
      <c r="Z18" s="23"/>
      <c r="AA18" s="23"/>
      <c r="AB18" s="23"/>
      <c r="AC18" s="23">
        <v>49.9</v>
      </c>
      <c r="AD18" s="23"/>
      <c r="AE18" s="23">
        <f>AD18/AC18*100</f>
        <v>0</v>
      </c>
      <c r="AF18" s="23"/>
      <c r="AG18" s="23"/>
      <c r="AH18" s="23"/>
      <c r="AI18" s="23"/>
      <c r="AJ18" s="23"/>
      <c r="AK18" s="23"/>
      <c r="AL18" s="23"/>
      <c r="AM18" s="23">
        <v>49.9</v>
      </c>
      <c r="AN18" s="23"/>
      <c r="AO18" s="23"/>
      <c r="AP18" s="23"/>
      <c r="AQ18" s="23"/>
      <c r="AR18" s="117"/>
      <c r="AS18" s="117"/>
    </row>
    <row r="19" spans="1:45" x14ac:dyDescent="0.25">
      <c r="A19" s="127"/>
      <c r="B19" s="127"/>
      <c r="C19" s="127"/>
      <c r="D19" s="35" t="s">
        <v>21</v>
      </c>
      <c r="E19" s="23">
        <f t="shared" si="13"/>
        <v>0</v>
      </c>
      <c r="F19" s="23">
        <f t="shared" si="14"/>
        <v>0</v>
      </c>
      <c r="G19" s="21"/>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33"/>
      <c r="AS19" s="33"/>
    </row>
    <row r="20" spans="1:45" ht="13.15" customHeight="1" x14ac:dyDescent="0.25">
      <c r="A20" s="127" t="s">
        <v>19</v>
      </c>
      <c r="B20" s="127" t="s">
        <v>82</v>
      </c>
      <c r="C20" s="127" t="s">
        <v>168</v>
      </c>
      <c r="D20" s="35" t="s">
        <v>3</v>
      </c>
      <c r="E20" s="23">
        <f t="shared" si="1"/>
        <v>0</v>
      </c>
      <c r="F20" s="23">
        <f t="shared" si="1"/>
        <v>0</v>
      </c>
      <c r="G20" s="21"/>
      <c r="H20" s="23">
        <f>H21+H22+H23+H24</f>
        <v>0</v>
      </c>
      <c r="I20" s="23"/>
      <c r="J20" s="23"/>
      <c r="K20" s="23">
        <f t="shared" ref="K20:AO20" si="15">K21+K22+K23+K24</f>
        <v>0</v>
      </c>
      <c r="L20" s="23"/>
      <c r="M20" s="23"/>
      <c r="N20" s="23">
        <f t="shared" si="15"/>
        <v>0</v>
      </c>
      <c r="O20" s="23"/>
      <c r="P20" s="23"/>
      <c r="Q20" s="23">
        <f t="shared" si="15"/>
        <v>0</v>
      </c>
      <c r="R20" s="23"/>
      <c r="S20" s="23"/>
      <c r="T20" s="23">
        <f t="shared" si="15"/>
        <v>0</v>
      </c>
      <c r="U20" s="23"/>
      <c r="V20" s="23"/>
      <c r="W20" s="23">
        <f t="shared" si="15"/>
        <v>0</v>
      </c>
      <c r="X20" s="23"/>
      <c r="Y20" s="23"/>
      <c r="Z20" s="23">
        <f t="shared" si="15"/>
        <v>0</v>
      </c>
      <c r="AA20" s="23"/>
      <c r="AB20" s="23"/>
      <c r="AC20" s="23">
        <f t="shared" si="15"/>
        <v>0</v>
      </c>
      <c r="AD20" s="23">
        <f t="shared" si="15"/>
        <v>0</v>
      </c>
      <c r="AE20" s="23"/>
      <c r="AF20" s="23">
        <f t="shared" si="15"/>
        <v>0</v>
      </c>
      <c r="AG20" s="23"/>
      <c r="AH20" s="23"/>
      <c r="AI20" s="23">
        <f t="shared" si="15"/>
        <v>0</v>
      </c>
      <c r="AJ20" s="23"/>
      <c r="AK20" s="23"/>
      <c r="AL20" s="23">
        <f t="shared" si="15"/>
        <v>0</v>
      </c>
      <c r="AM20" s="23"/>
      <c r="AN20" s="23"/>
      <c r="AO20" s="23">
        <f t="shared" si="15"/>
        <v>0</v>
      </c>
      <c r="AP20" s="23"/>
      <c r="AQ20" s="23"/>
      <c r="AR20" s="33"/>
      <c r="AS20" s="33"/>
    </row>
    <row r="21" spans="1:45" x14ac:dyDescent="0.25">
      <c r="A21" s="127"/>
      <c r="B21" s="127"/>
      <c r="C21" s="127"/>
      <c r="D21" s="35" t="s">
        <v>20</v>
      </c>
      <c r="E21" s="23">
        <f t="shared" si="1"/>
        <v>0</v>
      </c>
      <c r="F21" s="23">
        <f t="shared" si="1"/>
        <v>0</v>
      </c>
      <c r="G21" s="21"/>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33"/>
      <c r="AS21" s="33"/>
    </row>
    <row r="22" spans="1:45" ht="24" x14ac:dyDescent="0.25">
      <c r="A22" s="127"/>
      <c r="B22" s="127"/>
      <c r="C22" s="127"/>
      <c r="D22" s="35" t="s">
        <v>4</v>
      </c>
      <c r="E22" s="23">
        <f t="shared" si="1"/>
        <v>0</v>
      </c>
      <c r="F22" s="23">
        <f t="shared" si="1"/>
        <v>0</v>
      </c>
      <c r="G22" s="21"/>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33"/>
      <c r="AS22" s="33"/>
    </row>
    <row r="23" spans="1:45" x14ac:dyDescent="0.25">
      <c r="A23" s="127"/>
      <c r="B23" s="127"/>
      <c r="C23" s="127"/>
      <c r="D23" s="35" t="s">
        <v>43</v>
      </c>
      <c r="E23" s="23">
        <f t="shared" si="1"/>
        <v>0</v>
      </c>
      <c r="F23" s="23">
        <f t="shared" si="1"/>
        <v>0</v>
      </c>
      <c r="G23" s="21"/>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33"/>
      <c r="AS23" s="33"/>
    </row>
    <row r="24" spans="1:45" x14ac:dyDescent="0.25">
      <c r="A24" s="127"/>
      <c r="B24" s="127"/>
      <c r="C24" s="127"/>
      <c r="D24" s="35" t="s">
        <v>21</v>
      </c>
      <c r="E24" s="23">
        <f t="shared" si="1"/>
        <v>0</v>
      </c>
      <c r="F24" s="23">
        <f t="shared" si="1"/>
        <v>0</v>
      </c>
      <c r="G24" s="21"/>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33"/>
      <c r="AS24" s="33"/>
    </row>
    <row r="25" spans="1:45" ht="13.15" customHeight="1" x14ac:dyDescent="0.25">
      <c r="A25" s="127" t="s">
        <v>133</v>
      </c>
      <c r="B25" s="127" t="s">
        <v>110</v>
      </c>
      <c r="C25" s="127" t="s">
        <v>168</v>
      </c>
      <c r="D25" s="35" t="s">
        <v>3</v>
      </c>
      <c r="E25" s="23">
        <f>H25+K25+N25+Q25+T25+W25+Z25+AC25+AF25+AI25+AL25+AO25</f>
        <v>741879.2</v>
      </c>
      <c r="F25" s="23">
        <f>I25+L25+O25+R25+U25+X25+AA25+AD25+AG25+AJ25+AM25+AP25</f>
        <v>741879.2</v>
      </c>
      <c r="G25" s="23">
        <f>F25/E25*100</f>
        <v>100</v>
      </c>
      <c r="H25" s="23">
        <f>H26+H27+H28+H29</f>
        <v>13638</v>
      </c>
      <c r="I25" s="23">
        <f>I26+I27+I28+I29</f>
        <v>13638</v>
      </c>
      <c r="J25" s="23">
        <f>I25/H25*100</f>
        <v>100</v>
      </c>
      <c r="K25" s="23">
        <f t="shared" ref="K25:AP25" si="16">K26+K27+K28+K29</f>
        <v>55010.9</v>
      </c>
      <c r="L25" s="23">
        <f t="shared" si="16"/>
        <v>55060.9</v>
      </c>
      <c r="M25" s="23">
        <f>L25/K25*100</f>
        <v>100.09089107795002</v>
      </c>
      <c r="N25" s="23">
        <f t="shared" si="16"/>
        <v>51751</v>
      </c>
      <c r="O25" s="23">
        <f t="shared" si="16"/>
        <v>51701</v>
      </c>
      <c r="P25" s="23">
        <f>O25/N25*100</f>
        <v>99.903383509497402</v>
      </c>
      <c r="Q25" s="23">
        <f t="shared" si="16"/>
        <v>58618.8</v>
      </c>
      <c r="R25" s="23">
        <f t="shared" si="16"/>
        <v>58618.8</v>
      </c>
      <c r="S25" s="23">
        <f>R25/Q25*100</f>
        <v>100</v>
      </c>
      <c r="T25" s="23">
        <f t="shared" si="16"/>
        <v>78952.399999999994</v>
      </c>
      <c r="U25" s="23">
        <f t="shared" si="16"/>
        <v>78952.399999999994</v>
      </c>
      <c r="V25" s="23">
        <f>U25/T25*100</f>
        <v>100</v>
      </c>
      <c r="W25" s="23">
        <f t="shared" si="16"/>
        <v>84142.5</v>
      </c>
      <c r="X25" s="23">
        <f t="shared" si="16"/>
        <v>84142.400000000009</v>
      </c>
      <c r="Y25" s="23">
        <f>X25/W25*100</f>
        <v>99.999881153994721</v>
      </c>
      <c r="Z25" s="23">
        <f t="shared" si="16"/>
        <v>75219.5</v>
      </c>
      <c r="AA25" s="23">
        <f t="shared" si="16"/>
        <v>75663.3</v>
      </c>
      <c r="AB25" s="23">
        <f>AA25/Z25*100</f>
        <v>100.59000658074038</v>
      </c>
      <c r="AC25" s="23">
        <f t="shared" si="16"/>
        <v>47076</v>
      </c>
      <c r="AD25" s="23">
        <f t="shared" si="16"/>
        <v>47806</v>
      </c>
      <c r="AE25" s="23">
        <f>AD25/AC25*100</f>
        <v>101.55068400033988</v>
      </c>
      <c r="AF25" s="23">
        <f t="shared" si="16"/>
        <v>47561.1</v>
      </c>
      <c r="AG25" s="23">
        <f t="shared" si="16"/>
        <v>44431.7</v>
      </c>
      <c r="AH25" s="23">
        <f>AG25/AF25*100</f>
        <v>93.420253106004694</v>
      </c>
      <c r="AI25" s="23">
        <f t="shared" si="16"/>
        <v>57754.400000000001</v>
      </c>
      <c r="AJ25" s="23">
        <f t="shared" si="16"/>
        <v>57163.5</v>
      </c>
      <c r="AK25" s="23">
        <f>AJ25/AI25*100</f>
        <v>98.976874489216399</v>
      </c>
      <c r="AL25" s="23">
        <f>AL26+AL27+AL28+AL29</f>
        <v>57933</v>
      </c>
      <c r="AM25" s="23">
        <f>AM26+AM27+AM28+AM29</f>
        <v>53961.1</v>
      </c>
      <c r="AN25" s="23">
        <f>AM25/AL25*100</f>
        <v>93.143976662696559</v>
      </c>
      <c r="AO25" s="23">
        <f t="shared" si="16"/>
        <v>114221.6</v>
      </c>
      <c r="AP25" s="23">
        <f t="shared" si="16"/>
        <v>120740.09999999995</v>
      </c>
      <c r="AQ25" s="23">
        <f>AP25/AO25*100</f>
        <v>105.70688906476529</v>
      </c>
      <c r="AR25" s="33"/>
      <c r="AS25" s="33"/>
    </row>
    <row r="26" spans="1:45" ht="12" customHeight="1" x14ac:dyDescent="0.25">
      <c r="A26" s="127"/>
      <c r="B26" s="127"/>
      <c r="C26" s="127"/>
      <c r="D26" s="35" t="s">
        <v>20</v>
      </c>
      <c r="E26" s="23">
        <f t="shared" si="1"/>
        <v>0</v>
      </c>
      <c r="F26" s="23">
        <f t="shared" si="1"/>
        <v>0</v>
      </c>
      <c r="G26" s="21"/>
      <c r="H26" s="23"/>
      <c r="I26" s="23"/>
      <c r="J26" s="21"/>
      <c r="K26" s="23"/>
      <c r="L26" s="23"/>
      <c r="M26" s="21"/>
      <c r="N26" s="23"/>
      <c r="O26" s="23"/>
      <c r="P26" s="21"/>
      <c r="Q26" s="23"/>
      <c r="R26" s="23"/>
      <c r="S26" s="21"/>
      <c r="T26" s="23"/>
      <c r="U26" s="23"/>
      <c r="V26" s="21"/>
      <c r="W26" s="23"/>
      <c r="X26" s="23"/>
      <c r="Y26" s="21"/>
      <c r="Z26" s="23"/>
      <c r="AA26" s="23"/>
      <c r="AB26" s="21"/>
      <c r="AC26" s="23"/>
      <c r="AD26" s="23"/>
      <c r="AE26" s="21"/>
      <c r="AF26" s="23"/>
      <c r="AG26" s="23"/>
      <c r="AH26" s="21"/>
      <c r="AI26" s="23"/>
      <c r="AJ26" s="23"/>
      <c r="AK26" s="21"/>
      <c r="AL26" s="23"/>
      <c r="AM26" s="23"/>
      <c r="AN26" s="21"/>
      <c r="AO26" s="23"/>
      <c r="AP26" s="23"/>
      <c r="AQ26" s="21"/>
      <c r="AR26" s="33"/>
      <c r="AS26" s="33"/>
    </row>
    <row r="27" spans="1:45" ht="48.6" customHeight="1" x14ac:dyDescent="0.25">
      <c r="A27" s="127"/>
      <c r="B27" s="127"/>
      <c r="C27" s="127"/>
      <c r="D27" s="35" t="s">
        <v>4</v>
      </c>
      <c r="E27" s="23">
        <f t="shared" si="1"/>
        <v>620346.10000000009</v>
      </c>
      <c r="F27" s="23">
        <f t="shared" si="1"/>
        <v>620346.1</v>
      </c>
      <c r="G27" s="23">
        <f>F27/E27*100</f>
        <v>99.999999999999972</v>
      </c>
      <c r="H27" s="23">
        <v>11991</v>
      </c>
      <c r="I27" s="23">
        <v>11991</v>
      </c>
      <c r="J27" s="23">
        <f>I27/H27*100</f>
        <v>100</v>
      </c>
      <c r="K27" s="23">
        <v>43999</v>
      </c>
      <c r="L27" s="23">
        <v>43999</v>
      </c>
      <c r="M27" s="23">
        <f>L27/K27*100</f>
        <v>100</v>
      </c>
      <c r="N27" s="23">
        <v>43313</v>
      </c>
      <c r="O27" s="23">
        <v>43313</v>
      </c>
      <c r="P27" s="23">
        <f>O27/N27*100</f>
        <v>100</v>
      </c>
      <c r="Q27" s="23">
        <v>45140</v>
      </c>
      <c r="R27" s="23">
        <v>45140</v>
      </c>
      <c r="S27" s="23">
        <f>R27/Q27*100</f>
        <v>100</v>
      </c>
      <c r="T27" s="23">
        <v>69880.2</v>
      </c>
      <c r="U27" s="23">
        <v>69880.2</v>
      </c>
      <c r="V27" s="23">
        <f>U27/T27*100</f>
        <v>100</v>
      </c>
      <c r="W27" s="23">
        <f>74407.6</f>
        <v>74407.600000000006</v>
      </c>
      <c r="X27" s="23">
        <v>74407.600000000006</v>
      </c>
      <c r="Y27" s="23">
        <f>X27/W27*100</f>
        <v>100</v>
      </c>
      <c r="Z27" s="23">
        <f>51271.9+8294.5</f>
        <v>59566.400000000001</v>
      </c>
      <c r="AA27" s="23">
        <v>63376.9</v>
      </c>
      <c r="AB27" s="23">
        <f>AA27/Z27*100</f>
        <v>106.39706277364421</v>
      </c>
      <c r="AC27" s="23">
        <f>38082.1</f>
        <v>38082.1</v>
      </c>
      <c r="AD27" s="23">
        <v>39686.1</v>
      </c>
      <c r="AE27" s="23">
        <f>AD27/AC27*100</f>
        <v>104.21195259715195</v>
      </c>
      <c r="AF27" s="23">
        <f>36858.5+4867.7</f>
        <v>41726.199999999997</v>
      </c>
      <c r="AG27" s="23">
        <v>36311.699999999997</v>
      </c>
      <c r="AH27" s="23">
        <f>AG27/AF27*100</f>
        <v>87.023740479602736</v>
      </c>
      <c r="AI27" s="23">
        <f>42650.8+4711</f>
        <v>47361.8</v>
      </c>
      <c r="AJ27" s="23">
        <v>47361.8</v>
      </c>
      <c r="AK27" s="23">
        <f>AJ27/AI27*100</f>
        <v>100</v>
      </c>
      <c r="AL27" s="23">
        <f>43645.6+5000</f>
        <v>48645.599999999999</v>
      </c>
      <c r="AM27" s="23">
        <v>44860.6</v>
      </c>
      <c r="AN27" s="23">
        <f>AM27/AL27*100</f>
        <v>92.219234627592215</v>
      </c>
      <c r="AO27" s="23">
        <f>66584.2+8357.8+6765-8818.2-4867.7+18806+9406.1</f>
        <v>96233.200000000012</v>
      </c>
      <c r="AP27" s="23">
        <v>100018.19999999995</v>
      </c>
      <c r="AQ27" s="23">
        <f>AP27/AO27*100</f>
        <v>103.93315404662833</v>
      </c>
      <c r="AR27" s="89" t="s">
        <v>179</v>
      </c>
      <c r="AS27" s="116" t="s">
        <v>210</v>
      </c>
    </row>
    <row r="28" spans="1:45" ht="49.9" customHeight="1" x14ac:dyDescent="0.25">
      <c r="A28" s="127"/>
      <c r="B28" s="127"/>
      <c r="C28" s="127"/>
      <c r="D28" s="35" t="s">
        <v>43</v>
      </c>
      <c r="E28" s="23">
        <f t="shared" si="1"/>
        <v>121533.09999999998</v>
      </c>
      <c r="F28" s="23">
        <f t="shared" si="1"/>
        <v>121533.09999999998</v>
      </c>
      <c r="G28" s="23">
        <f>F28/E28*100</f>
        <v>100</v>
      </c>
      <c r="H28" s="23">
        <v>1647</v>
      </c>
      <c r="I28" s="23">
        <v>1647</v>
      </c>
      <c r="J28" s="23">
        <f>I28/H28*100</f>
        <v>100</v>
      </c>
      <c r="K28" s="23">
        <v>11011.9</v>
      </c>
      <c r="L28" s="23">
        <v>11061.9</v>
      </c>
      <c r="M28" s="23">
        <f>L28/K28*100</f>
        <v>100.45405425040184</v>
      </c>
      <c r="N28" s="23">
        <f>10135.2-1697.2</f>
        <v>8438</v>
      </c>
      <c r="O28" s="23">
        <v>8388</v>
      </c>
      <c r="P28" s="23">
        <f>O28/N28*100</f>
        <v>99.407442521924622</v>
      </c>
      <c r="Q28" s="23">
        <f>13159.3+319.5</f>
        <v>13478.8</v>
      </c>
      <c r="R28" s="23">
        <v>13478.8</v>
      </c>
      <c r="S28" s="23">
        <f>R28/Q28*100</f>
        <v>100</v>
      </c>
      <c r="T28" s="23">
        <v>9072.2000000000007</v>
      </c>
      <c r="U28" s="23">
        <v>9072.2000000000007</v>
      </c>
      <c r="V28" s="23">
        <f>U28/T28*100</f>
        <v>100</v>
      </c>
      <c r="W28" s="23">
        <v>9734.9</v>
      </c>
      <c r="X28" s="23">
        <v>9734.7999999999993</v>
      </c>
      <c r="Y28" s="23">
        <f>X28/W28*100</f>
        <v>99.998972768081856</v>
      </c>
      <c r="Z28" s="23">
        <f>15653.2-0.1</f>
        <v>15653.1</v>
      </c>
      <c r="AA28" s="23">
        <v>12286.4</v>
      </c>
      <c r="AB28" s="23">
        <f>AA28/Z28*100</f>
        <v>78.491800346257293</v>
      </c>
      <c r="AC28" s="23">
        <f>8993.8+0.1</f>
        <v>8993.9</v>
      </c>
      <c r="AD28" s="23">
        <v>8119.9</v>
      </c>
      <c r="AE28" s="23">
        <f>AD28/AC28*100</f>
        <v>90.282302449437964</v>
      </c>
      <c r="AF28" s="23">
        <f>6140.5-305.6</f>
        <v>5834.9</v>
      </c>
      <c r="AG28" s="23">
        <v>8120</v>
      </c>
      <c r="AH28" s="23">
        <f>AG28/AF28*100</f>
        <v>139.16262489502819</v>
      </c>
      <c r="AI28" s="23">
        <v>10392.6</v>
      </c>
      <c r="AJ28" s="23">
        <v>9801.7000000000007</v>
      </c>
      <c r="AK28" s="23">
        <f>AJ28/AI28*100</f>
        <v>94.314223582164232</v>
      </c>
      <c r="AL28" s="23">
        <v>9287.4</v>
      </c>
      <c r="AM28" s="23">
        <v>9100.5</v>
      </c>
      <c r="AN28" s="23">
        <f>AM28/AL28*100</f>
        <v>97.987596097939146</v>
      </c>
      <c r="AO28" s="23">
        <f>17552.3+686-189.9-60</f>
        <v>17988.399999999998</v>
      </c>
      <c r="AP28" s="23">
        <v>20721.900000000001</v>
      </c>
      <c r="AQ28" s="23">
        <f>AP28/AO28*100</f>
        <v>115.19590402703967</v>
      </c>
      <c r="AR28" s="89" t="s">
        <v>178</v>
      </c>
      <c r="AS28" s="117"/>
    </row>
    <row r="29" spans="1:45" x14ac:dyDescent="0.25">
      <c r="A29" s="127"/>
      <c r="B29" s="127"/>
      <c r="C29" s="127"/>
      <c r="D29" s="35" t="s">
        <v>21</v>
      </c>
      <c r="E29" s="23">
        <f t="shared" si="1"/>
        <v>0</v>
      </c>
      <c r="F29" s="23">
        <f t="shared" si="1"/>
        <v>0</v>
      </c>
      <c r="G29" s="21"/>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1"/>
      <c r="AI29" s="23"/>
      <c r="AJ29" s="23"/>
      <c r="AK29" s="21"/>
      <c r="AL29" s="23"/>
      <c r="AM29" s="23"/>
      <c r="AN29" s="23"/>
      <c r="AO29" s="23"/>
      <c r="AP29" s="23"/>
      <c r="AQ29" s="21"/>
      <c r="AR29" s="33"/>
      <c r="AS29" s="33"/>
    </row>
    <row r="30" spans="1:45" ht="12.6" customHeight="1" x14ac:dyDescent="0.25">
      <c r="A30" s="128" t="s">
        <v>132</v>
      </c>
      <c r="B30" s="127" t="s">
        <v>83</v>
      </c>
      <c r="C30" s="127" t="s">
        <v>168</v>
      </c>
      <c r="D30" s="35" t="s">
        <v>3</v>
      </c>
      <c r="E30" s="23">
        <f t="shared" si="1"/>
        <v>28059</v>
      </c>
      <c r="F30" s="23">
        <f t="shared" si="1"/>
        <v>27753.5</v>
      </c>
      <c r="G30" s="23">
        <f>F30/E30*100</f>
        <v>98.911222780569517</v>
      </c>
      <c r="H30" s="23">
        <f>H31+H32+H33+H34</f>
        <v>0</v>
      </c>
      <c r="I30" s="23"/>
      <c r="J30" s="23"/>
      <c r="K30" s="23">
        <f t="shared" ref="K30:AP30" si="17">K31+K32+K33+K34</f>
        <v>2182.8000000000002</v>
      </c>
      <c r="L30" s="23">
        <f t="shared" si="17"/>
        <v>2182.8000000000002</v>
      </c>
      <c r="M30" s="23">
        <f t="shared" ref="M30" si="18">L30/K30*100</f>
        <v>100</v>
      </c>
      <c r="N30" s="23">
        <f t="shared" si="17"/>
        <v>2192.1</v>
      </c>
      <c r="O30" s="23">
        <f t="shared" si="17"/>
        <v>2192.1</v>
      </c>
      <c r="P30" s="23">
        <f t="shared" ref="P30:P32" si="19">O30/N30*100</f>
        <v>100</v>
      </c>
      <c r="Q30" s="23">
        <f t="shared" si="17"/>
        <v>3013.5</v>
      </c>
      <c r="R30" s="23">
        <f t="shared" si="17"/>
        <v>3013.5</v>
      </c>
      <c r="S30" s="23">
        <f>R30/Q30*100</f>
        <v>100</v>
      </c>
      <c r="T30" s="23">
        <f t="shared" si="17"/>
        <v>3300</v>
      </c>
      <c r="U30" s="23">
        <f t="shared" si="17"/>
        <v>2972.5</v>
      </c>
      <c r="V30" s="23">
        <f>U30/T30*100</f>
        <v>90.075757575757578</v>
      </c>
      <c r="W30" s="23">
        <f t="shared" si="17"/>
        <v>2686.5</v>
      </c>
      <c r="X30" s="23">
        <f t="shared" si="17"/>
        <v>2630.2</v>
      </c>
      <c r="Y30" s="23">
        <f>X30/W30*100</f>
        <v>97.904336497301315</v>
      </c>
      <c r="Z30" s="23">
        <f t="shared" si="17"/>
        <v>1900</v>
      </c>
      <c r="AA30" s="23">
        <f t="shared" si="17"/>
        <v>1935.1</v>
      </c>
      <c r="AB30" s="23">
        <f>AA30/Z30*100</f>
        <v>101.84736842105262</v>
      </c>
      <c r="AC30" s="23">
        <f t="shared" si="17"/>
        <v>1700</v>
      </c>
      <c r="AD30" s="23">
        <f t="shared" si="17"/>
        <v>1348.7</v>
      </c>
      <c r="AE30" s="23">
        <f>AD30/AC30*100</f>
        <v>79.335294117647067</v>
      </c>
      <c r="AF30" s="23">
        <f t="shared" si="17"/>
        <v>1700</v>
      </c>
      <c r="AG30" s="23">
        <f t="shared" si="17"/>
        <v>1437.1</v>
      </c>
      <c r="AH30" s="23">
        <f>AG30/AF30*100</f>
        <v>84.535294117647055</v>
      </c>
      <c r="AI30" s="23">
        <f t="shared" si="17"/>
        <v>2600</v>
      </c>
      <c r="AJ30" s="23">
        <f t="shared" si="17"/>
        <v>2216.1999999999998</v>
      </c>
      <c r="AK30" s="23">
        <f>AJ30/AI30*100</f>
        <v>85.238461538461536</v>
      </c>
      <c r="AL30" s="23">
        <f t="shared" si="17"/>
        <v>3000</v>
      </c>
      <c r="AM30" s="23">
        <f t="shared" si="17"/>
        <v>2635.6</v>
      </c>
      <c r="AN30" s="23">
        <f>AM30/AL30*100</f>
        <v>87.853333333333325</v>
      </c>
      <c r="AO30" s="23">
        <f t="shared" si="17"/>
        <v>3784.1000000000004</v>
      </c>
      <c r="AP30" s="23">
        <f t="shared" si="17"/>
        <v>5189.7</v>
      </c>
      <c r="AQ30" s="23">
        <f>AP30/AO30*100</f>
        <v>137.14489574799816</v>
      </c>
      <c r="AR30" s="33"/>
      <c r="AS30" s="33"/>
    </row>
    <row r="31" spans="1:45" x14ac:dyDescent="0.25">
      <c r="A31" s="127"/>
      <c r="B31" s="127"/>
      <c r="C31" s="127"/>
      <c r="D31" s="35" t="s">
        <v>20</v>
      </c>
      <c r="E31" s="23">
        <f t="shared" si="1"/>
        <v>0</v>
      </c>
      <c r="F31" s="23">
        <f t="shared" si="1"/>
        <v>0</v>
      </c>
      <c r="G31" s="21"/>
      <c r="H31" s="23"/>
      <c r="I31" s="23"/>
      <c r="J31" s="23"/>
      <c r="K31" s="23"/>
      <c r="L31" s="23"/>
      <c r="M31" s="23"/>
      <c r="N31" s="23"/>
      <c r="O31" s="23"/>
      <c r="P31" s="23"/>
      <c r="Q31" s="23"/>
      <c r="R31" s="23"/>
      <c r="S31" s="21"/>
      <c r="T31" s="23"/>
      <c r="U31" s="23"/>
      <c r="V31" s="21"/>
      <c r="W31" s="23"/>
      <c r="X31" s="23"/>
      <c r="Y31" s="21"/>
      <c r="Z31" s="23"/>
      <c r="AA31" s="23"/>
      <c r="AB31" s="21"/>
      <c r="AC31" s="23"/>
      <c r="AD31" s="23"/>
      <c r="AE31" s="21"/>
      <c r="AF31" s="23"/>
      <c r="AG31" s="23"/>
      <c r="AH31" s="21"/>
      <c r="AI31" s="23"/>
      <c r="AJ31" s="23"/>
      <c r="AK31" s="21"/>
      <c r="AL31" s="23"/>
      <c r="AM31" s="23"/>
      <c r="AN31" s="21"/>
      <c r="AO31" s="23"/>
      <c r="AP31" s="23"/>
      <c r="AQ31" s="21"/>
      <c r="AR31" s="33"/>
      <c r="AS31" s="33"/>
    </row>
    <row r="32" spans="1:45" ht="132" x14ac:dyDescent="0.25">
      <c r="A32" s="127"/>
      <c r="B32" s="127"/>
      <c r="C32" s="127"/>
      <c r="D32" s="35" t="s">
        <v>4</v>
      </c>
      <c r="E32" s="23">
        <f t="shared" si="1"/>
        <v>28059</v>
      </c>
      <c r="F32" s="23">
        <f t="shared" si="1"/>
        <v>27753.5</v>
      </c>
      <c r="G32" s="23">
        <f>F32/E32*100</f>
        <v>98.911222780569517</v>
      </c>
      <c r="H32" s="23"/>
      <c r="I32" s="23"/>
      <c r="J32" s="23"/>
      <c r="K32" s="23">
        <v>2182.8000000000002</v>
      </c>
      <c r="L32" s="23">
        <v>2182.8000000000002</v>
      </c>
      <c r="M32" s="23">
        <f t="shared" ref="M32" si="20">L32/K32*100</f>
        <v>100</v>
      </c>
      <c r="N32" s="23">
        <v>2192.1</v>
      </c>
      <c r="O32" s="23">
        <v>2192.1</v>
      </c>
      <c r="P32" s="23">
        <f t="shared" si="19"/>
        <v>100</v>
      </c>
      <c r="Q32" s="23">
        <v>3013.5</v>
      </c>
      <c r="R32" s="23">
        <v>3013.5</v>
      </c>
      <c r="S32" s="23">
        <f>R32/Q32*100</f>
        <v>100</v>
      </c>
      <c r="T32" s="23">
        <f>3300</f>
        <v>3300</v>
      </c>
      <c r="U32" s="23">
        <v>2972.5</v>
      </c>
      <c r="V32" s="23">
        <f>U32/T32*100</f>
        <v>90.075757575757578</v>
      </c>
      <c r="W32" s="23">
        <f>2700-13.5</f>
        <v>2686.5</v>
      </c>
      <c r="X32" s="23">
        <v>2630.2</v>
      </c>
      <c r="Y32" s="23">
        <f>X32/W32*100</f>
        <v>97.904336497301315</v>
      </c>
      <c r="Z32" s="23">
        <v>1900</v>
      </c>
      <c r="AA32" s="23">
        <v>1935.1</v>
      </c>
      <c r="AB32" s="23">
        <f>AA32/Z32*100</f>
        <v>101.84736842105262</v>
      </c>
      <c r="AC32" s="23">
        <v>1700</v>
      </c>
      <c r="AD32" s="23">
        <v>1348.7</v>
      </c>
      <c r="AE32" s="23">
        <f>AD32/AC32*100</f>
        <v>79.335294117647067</v>
      </c>
      <c r="AF32" s="23">
        <v>1700</v>
      </c>
      <c r="AG32" s="23">
        <v>1437.1</v>
      </c>
      <c r="AH32" s="23">
        <f>AG32/AF32*100</f>
        <v>84.535294117647055</v>
      </c>
      <c r="AI32" s="23">
        <v>2600</v>
      </c>
      <c r="AJ32" s="23">
        <v>2216.1999999999998</v>
      </c>
      <c r="AK32" s="23">
        <f>AJ32/AI32*100</f>
        <v>85.238461538461536</v>
      </c>
      <c r="AL32" s="23">
        <v>3000</v>
      </c>
      <c r="AM32" s="23">
        <v>2635.6</v>
      </c>
      <c r="AN32" s="23">
        <f>AM32/AL32*100</f>
        <v>87.853333333333325</v>
      </c>
      <c r="AO32" s="23">
        <f>5159+1625.1-3000</f>
        <v>3784.1000000000004</v>
      </c>
      <c r="AP32" s="23">
        <v>5189.7</v>
      </c>
      <c r="AQ32" s="23">
        <f>AP32/AO32*100</f>
        <v>137.14489574799816</v>
      </c>
      <c r="AR32" s="89" t="s">
        <v>180</v>
      </c>
      <c r="AS32" s="89" t="s">
        <v>299</v>
      </c>
    </row>
    <row r="33" spans="1:45" x14ac:dyDescent="0.25">
      <c r="A33" s="127"/>
      <c r="B33" s="127"/>
      <c r="C33" s="127"/>
      <c r="D33" s="35" t="s">
        <v>43</v>
      </c>
      <c r="E33" s="23">
        <f t="shared" si="1"/>
        <v>0</v>
      </c>
      <c r="F33" s="23">
        <f t="shared" si="1"/>
        <v>0</v>
      </c>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33"/>
      <c r="AS33" s="33"/>
    </row>
    <row r="34" spans="1:45" x14ac:dyDescent="0.25">
      <c r="A34" s="127"/>
      <c r="B34" s="127"/>
      <c r="C34" s="127"/>
      <c r="D34" s="35" t="s">
        <v>21</v>
      </c>
      <c r="E34" s="23">
        <f t="shared" si="1"/>
        <v>0</v>
      </c>
      <c r="F34" s="23">
        <f t="shared" si="1"/>
        <v>0</v>
      </c>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33"/>
      <c r="AS34" s="33"/>
    </row>
    <row r="35" spans="1:45" ht="12" customHeight="1" x14ac:dyDescent="0.25">
      <c r="A35" s="130" t="s">
        <v>5</v>
      </c>
      <c r="B35" s="130"/>
      <c r="C35" s="130"/>
      <c r="D35" s="36" t="s">
        <v>3</v>
      </c>
      <c r="E35" s="37">
        <f t="shared" ref="E35:F39" si="21">H35+K35+N35+Q35+T35+W35+Z35+AC35+AF35+AI35+AL35+AO35</f>
        <v>770104.5</v>
      </c>
      <c r="F35" s="37">
        <f t="shared" si="21"/>
        <v>769798.99999999988</v>
      </c>
      <c r="G35" s="37">
        <f>F35/E35*100</f>
        <v>99.960330059102347</v>
      </c>
      <c r="H35" s="37">
        <f>H37+H36+H38+H39</f>
        <v>13638</v>
      </c>
      <c r="I35" s="37">
        <f>I37+I36+I38+I39</f>
        <v>13638</v>
      </c>
      <c r="J35" s="37">
        <f>I35/H35*100</f>
        <v>100</v>
      </c>
      <c r="K35" s="37">
        <f t="shared" ref="K35:AO35" si="22">K37+K36+K38+K39</f>
        <v>57193.700000000004</v>
      </c>
      <c r="L35" s="37">
        <f t="shared" si="22"/>
        <v>57243.700000000004</v>
      </c>
      <c r="M35" s="37">
        <f>L35/K35*100</f>
        <v>100.08742221608324</v>
      </c>
      <c r="N35" s="37">
        <f t="shared" si="22"/>
        <v>53943.1</v>
      </c>
      <c r="O35" s="37">
        <f t="shared" si="22"/>
        <v>53893.1</v>
      </c>
      <c r="P35" s="37">
        <f>O35/N35*100</f>
        <v>99.907309739336441</v>
      </c>
      <c r="Q35" s="37">
        <f t="shared" si="22"/>
        <v>61632.3</v>
      </c>
      <c r="R35" s="37">
        <f t="shared" si="22"/>
        <v>61632.3</v>
      </c>
      <c r="S35" s="37">
        <f>R35/Q35*100</f>
        <v>100</v>
      </c>
      <c r="T35" s="37">
        <f t="shared" si="22"/>
        <v>82252.399999999994</v>
      </c>
      <c r="U35" s="37">
        <f t="shared" si="22"/>
        <v>81924.899999999994</v>
      </c>
      <c r="V35" s="37">
        <f>U35/T35*100</f>
        <v>99.601835326385611</v>
      </c>
      <c r="W35" s="37">
        <f t="shared" si="22"/>
        <v>86829</v>
      </c>
      <c r="X35" s="37">
        <f t="shared" si="22"/>
        <v>86772.6</v>
      </c>
      <c r="Y35" s="37">
        <f>X35/W35*100</f>
        <v>99.935044743115782</v>
      </c>
      <c r="Z35" s="37">
        <f t="shared" si="22"/>
        <v>77119.5</v>
      </c>
      <c r="AA35" s="37">
        <f t="shared" si="22"/>
        <v>77598.399999999994</v>
      </c>
      <c r="AB35" s="37">
        <f>AA35/Z35*100</f>
        <v>100.62098431654769</v>
      </c>
      <c r="AC35" s="37">
        <f t="shared" si="22"/>
        <v>48942.3</v>
      </c>
      <c r="AD35" s="37">
        <f t="shared" si="22"/>
        <v>49154.7</v>
      </c>
      <c r="AE35" s="37">
        <f>AD35/AC35*100</f>
        <v>100.43398042184366</v>
      </c>
      <c r="AF35" s="37">
        <f t="shared" si="22"/>
        <v>49261.1</v>
      </c>
      <c r="AG35" s="37">
        <f t="shared" si="22"/>
        <v>45868.799999999996</v>
      </c>
      <c r="AH35" s="37">
        <f>AG35/AF35*100</f>
        <v>93.113633272501019</v>
      </c>
      <c r="AI35" s="37">
        <f t="shared" si="22"/>
        <v>60354.400000000001</v>
      </c>
      <c r="AJ35" s="37">
        <f t="shared" si="22"/>
        <v>59379.7</v>
      </c>
      <c r="AK35" s="37">
        <f>AJ35/AI35*100</f>
        <v>98.385039036093474</v>
      </c>
      <c r="AL35" s="37">
        <f t="shared" si="22"/>
        <v>60933</v>
      </c>
      <c r="AM35" s="37">
        <f t="shared" si="22"/>
        <v>56763</v>
      </c>
      <c r="AN35" s="37">
        <f>AM35/AL35*100</f>
        <v>93.156417704692046</v>
      </c>
      <c r="AO35" s="37">
        <f t="shared" si="22"/>
        <v>118005.70000000001</v>
      </c>
      <c r="AP35" s="37">
        <f t="shared" ref="AP35" si="23">AP37+AP36+AP38+AP39</f>
        <v>125929.79999999996</v>
      </c>
      <c r="AQ35" s="37">
        <f>AP35/AO35*100</f>
        <v>106.71501461370082</v>
      </c>
      <c r="AR35" s="33"/>
      <c r="AS35" s="33"/>
    </row>
    <row r="36" spans="1:45" ht="13.5" customHeight="1" x14ac:dyDescent="0.25">
      <c r="A36" s="130"/>
      <c r="B36" s="130"/>
      <c r="C36" s="130"/>
      <c r="D36" s="36" t="s">
        <v>20</v>
      </c>
      <c r="E36" s="37">
        <f t="shared" si="21"/>
        <v>0</v>
      </c>
      <c r="F36" s="37">
        <f t="shared" si="21"/>
        <v>0</v>
      </c>
      <c r="G36" s="22"/>
      <c r="H36" s="37">
        <f t="shared" ref="H36:I39" si="24">H11+H21+H26+H31</f>
        <v>0</v>
      </c>
      <c r="I36" s="37">
        <f t="shared" si="24"/>
        <v>0</v>
      </c>
      <c r="J36" s="22"/>
      <c r="K36" s="37">
        <f t="shared" ref="K36:L39" si="25">K11+K21+K26+K31</f>
        <v>0</v>
      </c>
      <c r="L36" s="37">
        <f t="shared" si="25"/>
        <v>0</v>
      </c>
      <c r="M36" s="22"/>
      <c r="N36" s="37">
        <f t="shared" ref="N36:O39" si="26">N11+N21+N26+N31</f>
        <v>0</v>
      </c>
      <c r="O36" s="37">
        <f t="shared" si="26"/>
        <v>0</v>
      </c>
      <c r="P36" s="22"/>
      <c r="Q36" s="37">
        <f t="shared" ref="Q36:R39" si="27">Q11+Q21+Q26+Q31</f>
        <v>0</v>
      </c>
      <c r="R36" s="37">
        <f t="shared" si="27"/>
        <v>0</v>
      </c>
      <c r="S36" s="22"/>
      <c r="T36" s="37">
        <f t="shared" ref="T36:U39" si="28">T11+T21+T26+T31</f>
        <v>0</v>
      </c>
      <c r="U36" s="37">
        <f t="shared" si="28"/>
        <v>0</v>
      </c>
      <c r="V36" s="22"/>
      <c r="W36" s="37">
        <f t="shared" ref="W36:X39" si="29">W11+W21+W26+W31</f>
        <v>0</v>
      </c>
      <c r="X36" s="37">
        <f t="shared" si="29"/>
        <v>0</v>
      </c>
      <c r="Y36" s="22"/>
      <c r="Z36" s="37">
        <f t="shared" ref="Z36:AA39" si="30">Z11+Z21+Z26+Z31</f>
        <v>0</v>
      </c>
      <c r="AA36" s="37">
        <f t="shared" si="30"/>
        <v>0</v>
      </c>
      <c r="AB36" s="22"/>
      <c r="AC36" s="37">
        <f t="shared" ref="AC36:AD39" si="31">AC11+AC21+AC26+AC31</f>
        <v>0</v>
      </c>
      <c r="AD36" s="37">
        <f t="shared" si="31"/>
        <v>0</v>
      </c>
      <c r="AE36" s="22"/>
      <c r="AF36" s="37">
        <f t="shared" ref="AF36:AG38" si="32">AF11+AF21+AF26+AF31</f>
        <v>0</v>
      </c>
      <c r="AG36" s="37">
        <f t="shared" si="32"/>
        <v>0</v>
      </c>
      <c r="AH36" s="22"/>
      <c r="AI36" s="37">
        <f t="shared" ref="AI36:AJ38" si="33">AI11+AI21+AI26+AI31</f>
        <v>0</v>
      </c>
      <c r="AJ36" s="37">
        <f t="shared" si="33"/>
        <v>0</v>
      </c>
      <c r="AK36" s="22"/>
      <c r="AL36" s="37">
        <f t="shared" ref="AL36:AM38" si="34">AL11+AL21+AL26+AL31</f>
        <v>0</v>
      </c>
      <c r="AM36" s="37">
        <f t="shared" si="34"/>
        <v>0</v>
      </c>
      <c r="AN36" s="22"/>
      <c r="AO36" s="37">
        <f t="shared" ref="AO36:AP38" si="35">AO11+AO21+AO26+AO31</f>
        <v>0</v>
      </c>
      <c r="AP36" s="37">
        <f t="shared" si="35"/>
        <v>0</v>
      </c>
      <c r="AQ36" s="22"/>
      <c r="AR36" s="33"/>
      <c r="AS36" s="33"/>
    </row>
    <row r="37" spans="1:45" ht="23.25" customHeight="1" x14ac:dyDescent="0.25">
      <c r="A37" s="130"/>
      <c r="B37" s="130"/>
      <c r="C37" s="130"/>
      <c r="D37" s="36" t="s">
        <v>4</v>
      </c>
      <c r="E37" s="37">
        <f t="shared" si="21"/>
        <v>648521.5</v>
      </c>
      <c r="F37" s="37">
        <f t="shared" si="21"/>
        <v>648215.99999999988</v>
      </c>
      <c r="G37" s="37">
        <f>F37/E37*100</f>
        <v>99.952892849350391</v>
      </c>
      <c r="H37" s="37">
        <f t="shared" si="24"/>
        <v>11991</v>
      </c>
      <c r="I37" s="37">
        <f t="shared" si="24"/>
        <v>11991</v>
      </c>
      <c r="J37" s="37">
        <f>I37/H37*100</f>
        <v>100</v>
      </c>
      <c r="K37" s="37">
        <f t="shared" si="25"/>
        <v>46181.8</v>
      </c>
      <c r="L37" s="37">
        <f t="shared" si="25"/>
        <v>46181.8</v>
      </c>
      <c r="M37" s="37">
        <f>L37/K37*100</f>
        <v>100</v>
      </c>
      <c r="N37" s="37">
        <f t="shared" si="26"/>
        <v>45505.1</v>
      </c>
      <c r="O37" s="37">
        <f t="shared" si="26"/>
        <v>45505.1</v>
      </c>
      <c r="P37" s="37">
        <f>O37/N37*100</f>
        <v>100</v>
      </c>
      <c r="Q37" s="37">
        <f t="shared" si="27"/>
        <v>48153.5</v>
      </c>
      <c r="R37" s="37">
        <f t="shared" si="27"/>
        <v>48153.5</v>
      </c>
      <c r="S37" s="37">
        <f>R37/Q37*100</f>
        <v>100</v>
      </c>
      <c r="T37" s="37">
        <f t="shared" si="28"/>
        <v>73180.2</v>
      </c>
      <c r="U37" s="37">
        <f t="shared" si="28"/>
        <v>72852.7</v>
      </c>
      <c r="V37" s="37">
        <f>U37/T37*100</f>
        <v>99.552474576456476</v>
      </c>
      <c r="W37" s="37">
        <f t="shared" si="29"/>
        <v>77094.100000000006</v>
      </c>
      <c r="X37" s="37">
        <f t="shared" si="29"/>
        <v>77037.8</v>
      </c>
      <c r="Y37" s="37">
        <f>X37/W37*100</f>
        <v>99.926972362346788</v>
      </c>
      <c r="Z37" s="37">
        <f t="shared" si="30"/>
        <v>61466.400000000001</v>
      </c>
      <c r="AA37" s="37">
        <f t="shared" si="30"/>
        <v>65312</v>
      </c>
      <c r="AB37" s="37">
        <f>AA37/Z37*100</f>
        <v>106.25642627516822</v>
      </c>
      <c r="AC37" s="37">
        <f t="shared" si="31"/>
        <v>39898.5</v>
      </c>
      <c r="AD37" s="37">
        <f t="shared" si="31"/>
        <v>41034.799999999996</v>
      </c>
      <c r="AE37" s="37">
        <f>AD37/AC37*100</f>
        <v>102.84797674098023</v>
      </c>
      <c r="AF37" s="37">
        <f t="shared" si="32"/>
        <v>43426.2</v>
      </c>
      <c r="AG37" s="37">
        <f t="shared" si="32"/>
        <v>37748.799999999996</v>
      </c>
      <c r="AH37" s="37">
        <f>AG37/AF37*100</f>
        <v>86.92632558225219</v>
      </c>
      <c r="AI37" s="37">
        <f t="shared" si="33"/>
        <v>49961.8</v>
      </c>
      <c r="AJ37" s="37">
        <f t="shared" si="33"/>
        <v>49578</v>
      </c>
      <c r="AK37" s="37">
        <f>AJ37/AI37*100</f>
        <v>99.231813105212368</v>
      </c>
      <c r="AL37" s="37">
        <f t="shared" si="34"/>
        <v>51645.599999999999</v>
      </c>
      <c r="AM37" s="37">
        <f t="shared" si="34"/>
        <v>47612.6</v>
      </c>
      <c r="AN37" s="37">
        <f>AM37/AL37*100</f>
        <v>92.191009495484607</v>
      </c>
      <c r="AO37" s="37">
        <f t="shared" si="35"/>
        <v>100017.30000000002</v>
      </c>
      <c r="AP37" s="37">
        <f t="shared" si="35"/>
        <v>105207.89999999995</v>
      </c>
      <c r="AQ37" s="37">
        <f>AP37/AO37*100</f>
        <v>105.18970218152252</v>
      </c>
      <c r="AR37" s="33"/>
      <c r="AS37" s="33"/>
    </row>
    <row r="38" spans="1:45" ht="13.5" customHeight="1" x14ac:dyDescent="0.25">
      <c r="A38" s="130"/>
      <c r="B38" s="130"/>
      <c r="C38" s="130"/>
      <c r="D38" s="36" t="s">
        <v>43</v>
      </c>
      <c r="E38" s="37">
        <f t="shared" si="21"/>
        <v>121582.99999999999</v>
      </c>
      <c r="F38" s="37">
        <f t="shared" si="21"/>
        <v>121582.99999999997</v>
      </c>
      <c r="G38" s="37">
        <f>F38/E38*100</f>
        <v>99.999999999999986</v>
      </c>
      <c r="H38" s="37">
        <f t="shared" si="24"/>
        <v>1647</v>
      </c>
      <c r="I38" s="37">
        <f t="shared" si="24"/>
        <v>1647</v>
      </c>
      <c r="J38" s="37">
        <f>I38/H38*100</f>
        <v>100</v>
      </c>
      <c r="K38" s="37">
        <f t="shared" si="25"/>
        <v>11011.9</v>
      </c>
      <c r="L38" s="37">
        <f t="shared" si="25"/>
        <v>11061.9</v>
      </c>
      <c r="M38" s="37">
        <f>L38/K38*100</f>
        <v>100.45405425040184</v>
      </c>
      <c r="N38" s="37">
        <f t="shared" si="26"/>
        <v>8438</v>
      </c>
      <c r="O38" s="37">
        <f t="shared" si="26"/>
        <v>8388</v>
      </c>
      <c r="P38" s="37">
        <f>O38/N38*100</f>
        <v>99.407442521924622</v>
      </c>
      <c r="Q38" s="37">
        <f t="shared" si="27"/>
        <v>13478.8</v>
      </c>
      <c r="R38" s="37">
        <f t="shared" si="27"/>
        <v>13478.8</v>
      </c>
      <c r="S38" s="37">
        <f>R38/Q38*100</f>
        <v>100</v>
      </c>
      <c r="T38" s="37">
        <f t="shared" si="28"/>
        <v>9072.2000000000007</v>
      </c>
      <c r="U38" s="37">
        <f t="shared" si="28"/>
        <v>9072.2000000000007</v>
      </c>
      <c r="V38" s="37">
        <f>U38/T38*100</f>
        <v>100</v>
      </c>
      <c r="W38" s="37">
        <f t="shared" si="29"/>
        <v>9734.9</v>
      </c>
      <c r="X38" s="37">
        <f t="shared" si="29"/>
        <v>9734.7999999999993</v>
      </c>
      <c r="Y38" s="37">
        <f>X38/W38*100</f>
        <v>99.998972768081856</v>
      </c>
      <c r="Z38" s="37">
        <f t="shared" si="30"/>
        <v>15653.1</v>
      </c>
      <c r="AA38" s="37">
        <f t="shared" si="30"/>
        <v>12286.4</v>
      </c>
      <c r="AB38" s="37">
        <f>AA38/Z38*100</f>
        <v>78.491800346257293</v>
      </c>
      <c r="AC38" s="37">
        <f t="shared" si="31"/>
        <v>9043.7999999999993</v>
      </c>
      <c r="AD38" s="37">
        <f t="shared" si="31"/>
        <v>8119.9</v>
      </c>
      <c r="AE38" s="37">
        <f>AD38/AC38*100</f>
        <v>89.784161525022668</v>
      </c>
      <c r="AF38" s="37">
        <f t="shared" si="32"/>
        <v>5834.9</v>
      </c>
      <c r="AG38" s="37">
        <f t="shared" si="32"/>
        <v>8120</v>
      </c>
      <c r="AH38" s="37">
        <f>AG38/AF38*100</f>
        <v>139.16262489502819</v>
      </c>
      <c r="AI38" s="37">
        <f t="shared" si="33"/>
        <v>10392.6</v>
      </c>
      <c r="AJ38" s="37">
        <f t="shared" si="33"/>
        <v>9801.7000000000007</v>
      </c>
      <c r="AK38" s="37">
        <f>AJ38/AI38*100</f>
        <v>94.314223582164232</v>
      </c>
      <c r="AL38" s="37">
        <f t="shared" si="34"/>
        <v>9287.4</v>
      </c>
      <c r="AM38" s="37">
        <f t="shared" si="34"/>
        <v>9150.4</v>
      </c>
      <c r="AN38" s="37">
        <f>AM38/AL38*100</f>
        <v>98.524883175054384</v>
      </c>
      <c r="AO38" s="37">
        <f t="shared" si="35"/>
        <v>17988.399999999998</v>
      </c>
      <c r="AP38" s="37">
        <f t="shared" si="35"/>
        <v>20721.900000000001</v>
      </c>
      <c r="AQ38" s="37">
        <f>AP38/AO38*100</f>
        <v>115.19590402703967</v>
      </c>
      <c r="AR38" s="33"/>
      <c r="AS38" s="33"/>
    </row>
    <row r="39" spans="1:45" x14ac:dyDescent="0.25">
      <c r="A39" s="130"/>
      <c r="B39" s="130"/>
      <c r="C39" s="130"/>
      <c r="D39" s="36" t="s">
        <v>21</v>
      </c>
      <c r="E39" s="37">
        <f t="shared" si="21"/>
        <v>0</v>
      </c>
      <c r="F39" s="37">
        <f t="shared" si="21"/>
        <v>0</v>
      </c>
      <c r="G39" s="22"/>
      <c r="H39" s="37">
        <f t="shared" si="24"/>
        <v>0</v>
      </c>
      <c r="I39" s="37">
        <f t="shared" si="24"/>
        <v>0</v>
      </c>
      <c r="J39" s="37"/>
      <c r="K39" s="37">
        <f t="shared" si="25"/>
        <v>0</v>
      </c>
      <c r="L39" s="37">
        <f t="shared" si="25"/>
        <v>0</v>
      </c>
      <c r="M39" s="37"/>
      <c r="N39" s="37">
        <f t="shared" si="26"/>
        <v>0</v>
      </c>
      <c r="O39" s="37">
        <f t="shared" si="26"/>
        <v>0</v>
      </c>
      <c r="P39" s="37"/>
      <c r="Q39" s="37">
        <f t="shared" si="27"/>
        <v>0</v>
      </c>
      <c r="R39" s="37">
        <f t="shared" si="27"/>
        <v>0</v>
      </c>
      <c r="S39" s="37"/>
      <c r="T39" s="37">
        <f t="shared" si="28"/>
        <v>0</v>
      </c>
      <c r="U39" s="37">
        <f t="shared" si="28"/>
        <v>0</v>
      </c>
      <c r="V39" s="37"/>
      <c r="W39" s="37">
        <f t="shared" si="29"/>
        <v>0</v>
      </c>
      <c r="X39" s="37">
        <f t="shared" si="29"/>
        <v>0</v>
      </c>
      <c r="Y39" s="37"/>
      <c r="Z39" s="37">
        <f t="shared" si="30"/>
        <v>0</v>
      </c>
      <c r="AA39" s="37">
        <f t="shared" si="30"/>
        <v>0</v>
      </c>
      <c r="AB39" s="37"/>
      <c r="AC39" s="37">
        <f t="shared" si="31"/>
        <v>0</v>
      </c>
      <c r="AD39" s="37">
        <f t="shared" si="31"/>
        <v>0</v>
      </c>
      <c r="AE39" s="37"/>
      <c r="AF39" s="37">
        <f>AF14+AF24+AF29+AF34</f>
        <v>0</v>
      </c>
      <c r="AG39" s="37"/>
      <c r="AH39" s="37"/>
      <c r="AI39" s="37">
        <f>AI14+AI24+AI29+AI34</f>
        <v>0</v>
      </c>
      <c r="AJ39" s="37"/>
      <c r="AK39" s="37"/>
      <c r="AL39" s="37">
        <f>AL14+AL24+AL29+AL34</f>
        <v>0</v>
      </c>
      <c r="AM39" s="37"/>
      <c r="AN39" s="37"/>
      <c r="AO39" s="37">
        <f>AO14+AO24+AO29+AO34</f>
        <v>0</v>
      </c>
      <c r="AP39" s="23"/>
      <c r="AQ39" s="23"/>
      <c r="AR39" s="33"/>
      <c r="AS39" s="33"/>
    </row>
    <row r="40" spans="1:45" ht="15.75" x14ac:dyDescent="0.25">
      <c r="A40" s="89" t="s">
        <v>46</v>
      </c>
      <c r="B40" s="34" t="s">
        <v>6</v>
      </c>
      <c r="C40" s="34"/>
      <c r="D40" s="3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34"/>
      <c r="AQ40" s="34"/>
      <c r="AR40" s="33"/>
      <c r="AS40" s="33"/>
    </row>
    <row r="41" spans="1:45" ht="14.45" customHeight="1" x14ac:dyDescent="0.25">
      <c r="A41" s="127" t="s">
        <v>45</v>
      </c>
      <c r="B41" s="127" t="s">
        <v>84</v>
      </c>
      <c r="C41" s="127" t="s">
        <v>168</v>
      </c>
      <c r="D41" s="35" t="s">
        <v>3</v>
      </c>
      <c r="E41" s="23">
        <f t="shared" ref="E41:F57" si="36">H41+K41+N41+Q41+T41+W41+Z41+AC41+AF41+AI41+AL41+AO41</f>
        <v>0</v>
      </c>
      <c r="F41" s="23">
        <f t="shared" si="36"/>
        <v>0</v>
      </c>
      <c r="G41" s="23"/>
      <c r="H41" s="23">
        <f>H42+H43+H44+H45</f>
        <v>0</v>
      </c>
      <c r="I41" s="23"/>
      <c r="J41" s="23"/>
      <c r="K41" s="23">
        <f t="shared" ref="K41:AO41" si="37">K42+K43+K44+K45</f>
        <v>0</v>
      </c>
      <c r="L41" s="23"/>
      <c r="M41" s="23"/>
      <c r="N41" s="23">
        <f t="shared" si="37"/>
        <v>0</v>
      </c>
      <c r="O41" s="23"/>
      <c r="P41" s="23"/>
      <c r="Q41" s="23">
        <f t="shared" si="37"/>
        <v>0</v>
      </c>
      <c r="R41" s="23"/>
      <c r="S41" s="23"/>
      <c r="T41" s="23">
        <f t="shared" si="37"/>
        <v>0</v>
      </c>
      <c r="U41" s="23"/>
      <c r="V41" s="23"/>
      <c r="W41" s="23">
        <f t="shared" si="37"/>
        <v>0</v>
      </c>
      <c r="X41" s="23"/>
      <c r="Y41" s="23"/>
      <c r="Z41" s="23">
        <f t="shared" si="37"/>
        <v>0</v>
      </c>
      <c r="AA41" s="23"/>
      <c r="AB41" s="23"/>
      <c r="AC41" s="23">
        <f t="shared" si="37"/>
        <v>0</v>
      </c>
      <c r="AD41" s="23">
        <f t="shared" si="37"/>
        <v>0</v>
      </c>
      <c r="AE41" s="23"/>
      <c r="AF41" s="23">
        <f t="shared" si="37"/>
        <v>0</v>
      </c>
      <c r="AG41" s="23"/>
      <c r="AH41" s="23"/>
      <c r="AI41" s="23">
        <f t="shared" si="37"/>
        <v>0</v>
      </c>
      <c r="AJ41" s="23"/>
      <c r="AK41" s="23"/>
      <c r="AL41" s="23">
        <f t="shared" si="37"/>
        <v>0</v>
      </c>
      <c r="AM41" s="23"/>
      <c r="AN41" s="23"/>
      <c r="AO41" s="23">
        <f t="shared" si="37"/>
        <v>0</v>
      </c>
      <c r="AP41" s="23"/>
      <c r="AQ41" s="23"/>
      <c r="AR41" s="33"/>
      <c r="AS41" s="33"/>
    </row>
    <row r="42" spans="1:45" x14ac:dyDescent="0.25">
      <c r="A42" s="127"/>
      <c r="B42" s="127"/>
      <c r="C42" s="127"/>
      <c r="D42" s="35" t="s">
        <v>20</v>
      </c>
      <c r="E42" s="23">
        <f t="shared" si="36"/>
        <v>0</v>
      </c>
      <c r="F42" s="23">
        <f t="shared" si="36"/>
        <v>0</v>
      </c>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33"/>
      <c r="AS42" s="33"/>
    </row>
    <row r="43" spans="1:45" ht="24" x14ac:dyDescent="0.25">
      <c r="A43" s="127"/>
      <c r="B43" s="127"/>
      <c r="C43" s="127"/>
      <c r="D43" s="35" t="s">
        <v>4</v>
      </c>
      <c r="E43" s="23">
        <f t="shared" si="36"/>
        <v>0</v>
      </c>
      <c r="F43" s="23">
        <f t="shared" si="36"/>
        <v>0</v>
      </c>
      <c r="G43" s="23"/>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3"/>
      <c r="AS43" s="33"/>
    </row>
    <row r="44" spans="1:45" x14ac:dyDescent="0.25">
      <c r="A44" s="127"/>
      <c r="B44" s="127"/>
      <c r="C44" s="127"/>
      <c r="D44" s="35" t="s">
        <v>43</v>
      </c>
      <c r="E44" s="23">
        <f t="shared" si="36"/>
        <v>0</v>
      </c>
      <c r="F44" s="23">
        <f t="shared" si="36"/>
        <v>0</v>
      </c>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33"/>
      <c r="AS44" s="33"/>
    </row>
    <row r="45" spans="1:45" x14ac:dyDescent="0.25">
      <c r="A45" s="127"/>
      <c r="B45" s="127"/>
      <c r="C45" s="127"/>
      <c r="D45" s="35" t="s">
        <v>21</v>
      </c>
      <c r="E45" s="23">
        <f t="shared" si="36"/>
        <v>0</v>
      </c>
      <c r="F45" s="23">
        <f t="shared" si="36"/>
        <v>0</v>
      </c>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33"/>
      <c r="AS45" s="33"/>
    </row>
    <row r="46" spans="1:45" ht="14.45" customHeight="1" x14ac:dyDescent="0.25">
      <c r="A46" s="116" t="s">
        <v>47</v>
      </c>
      <c r="B46" s="116" t="s">
        <v>85</v>
      </c>
      <c r="C46" s="116" t="s">
        <v>117</v>
      </c>
      <c r="D46" s="35" t="s">
        <v>3</v>
      </c>
      <c r="E46" s="23">
        <f>H46+K46+N46+Q46+T46+W46+Z46+AC46+AF46+AI46+AL46+AO46</f>
        <v>209363.9</v>
      </c>
      <c r="F46" s="23">
        <f>I46+L46+O46+R46+U46+X46+AA46+AD46+AG46+AJ46+AM46+AP46</f>
        <v>209103.3</v>
      </c>
      <c r="G46" s="23">
        <f>F46/E46*100</f>
        <v>99.875527729470065</v>
      </c>
      <c r="H46" s="23">
        <f>H47+H48+H49+H50</f>
        <v>0</v>
      </c>
      <c r="I46" s="23"/>
      <c r="J46" s="23"/>
      <c r="K46" s="23">
        <f t="shared" ref="K46:AP46" si="38">K47+K48+K49+K50</f>
        <v>0</v>
      </c>
      <c r="L46" s="23"/>
      <c r="M46" s="23"/>
      <c r="N46" s="23">
        <f t="shared" si="38"/>
        <v>0</v>
      </c>
      <c r="O46" s="23">
        <f t="shared" si="38"/>
        <v>0</v>
      </c>
      <c r="P46" s="23"/>
      <c r="Q46" s="23">
        <f t="shared" si="38"/>
        <v>22013.7</v>
      </c>
      <c r="R46" s="23">
        <f t="shared" si="38"/>
        <v>22013.7</v>
      </c>
      <c r="S46" s="23">
        <f>R46/Q46*100</f>
        <v>100</v>
      </c>
      <c r="T46" s="23">
        <f t="shared" si="38"/>
        <v>39999.800000000003</v>
      </c>
      <c r="U46" s="23">
        <f t="shared" si="38"/>
        <v>39999.800000000003</v>
      </c>
      <c r="V46" s="23">
        <f>U46/T46*100</f>
        <v>100</v>
      </c>
      <c r="W46" s="23">
        <f t="shared" si="38"/>
        <v>54899.9</v>
      </c>
      <c r="X46" s="23">
        <f t="shared" si="38"/>
        <v>54899.9</v>
      </c>
      <c r="Y46" s="23">
        <f>X46/W46*100</f>
        <v>100</v>
      </c>
      <c r="Z46" s="23">
        <f t="shared" si="38"/>
        <v>54133</v>
      </c>
      <c r="AA46" s="23">
        <f t="shared" si="38"/>
        <v>11793.4</v>
      </c>
      <c r="AB46" s="23">
        <f>AA46/Z46*100</f>
        <v>21.785971588495002</v>
      </c>
      <c r="AC46" s="23">
        <f t="shared" si="38"/>
        <v>1553.4</v>
      </c>
      <c r="AD46" s="23">
        <f t="shared" si="38"/>
        <v>895.3</v>
      </c>
      <c r="AE46" s="23">
        <f>AD46/AC46*100</f>
        <v>57.634865456418169</v>
      </c>
      <c r="AF46" s="23">
        <f t="shared" si="38"/>
        <v>0</v>
      </c>
      <c r="AG46" s="23">
        <f t="shared" si="38"/>
        <v>33428.300000000003</v>
      </c>
      <c r="AH46" s="23"/>
      <c r="AI46" s="23">
        <f t="shared" si="38"/>
        <v>464</v>
      </c>
      <c r="AJ46" s="23">
        <f t="shared" si="38"/>
        <v>779.8</v>
      </c>
      <c r="AK46" s="23">
        <f>AJ46/AI46*100</f>
        <v>168.06034482758619</v>
      </c>
      <c r="AL46" s="23">
        <f t="shared" si="38"/>
        <v>36300.100000000006</v>
      </c>
      <c r="AM46" s="23">
        <f t="shared" si="38"/>
        <v>40400.9</v>
      </c>
      <c r="AN46" s="23">
        <f>AM46/AL46*100</f>
        <v>111.29693857592677</v>
      </c>
      <c r="AO46" s="23">
        <f t="shared" si="38"/>
        <v>0</v>
      </c>
      <c r="AP46" s="23">
        <f t="shared" si="38"/>
        <v>4892.2</v>
      </c>
      <c r="AQ46" s="23"/>
      <c r="AR46" s="53"/>
      <c r="AS46" s="53"/>
    </row>
    <row r="47" spans="1:45" ht="40.9" customHeight="1" x14ac:dyDescent="0.25">
      <c r="A47" s="118"/>
      <c r="B47" s="118"/>
      <c r="C47" s="118"/>
      <c r="D47" s="35" t="s">
        <v>20</v>
      </c>
      <c r="E47" s="23">
        <f t="shared" si="36"/>
        <v>56413.8</v>
      </c>
      <c r="F47" s="23">
        <f t="shared" si="36"/>
        <v>56296.500000000007</v>
      </c>
      <c r="G47" s="23">
        <f>F47/E47*100</f>
        <v>99.792072152558418</v>
      </c>
      <c r="H47" s="23"/>
      <c r="I47" s="23"/>
      <c r="J47" s="23"/>
      <c r="K47" s="23"/>
      <c r="L47" s="23"/>
      <c r="M47" s="23"/>
      <c r="N47" s="23"/>
      <c r="O47" s="23"/>
      <c r="P47" s="21"/>
      <c r="Q47" s="23">
        <v>8915.5</v>
      </c>
      <c r="R47" s="23">
        <v>8915.5</v>
      </c>
      <c r="S47" s="23">
        <f>R47/Q47*100</f>
        <v>100</v>
      </c>
      <c r="T47" s="23">
        <v>11340</v>
      </c>
      <c r="U47" s="23">
        <v>11340</v>
      </c>
      <c r="V47" s="23">
        <f>U47/T47*100</f>
        <v>100</v>
      </c>
      <c r="W47" s="23">
        <v>16490.5</v>
      </c>
      <c r="X47" s="23">
        <v>16490.5</v>
      </c>
      <c r="Y47" s="23">
        <f>X47/W47*100</f>
        <v>100</v>
      </c>
      <c r="Z47" s="23">
        <f>4972.7+14695.1</f>
        <v>19667.8</v>
      </c>
      <c r="AA47" s="23">
        <v>4776.3</v>
      </c>
      <c r="AB47" s="23">
        <f>AA47/Z47*100</f>
        <v>24.284871719256859</v>
      </c>
      <c r="AC47" s="23"/>
      <c r="AD47" s="23">
        <v>362.6</v>
      </c>
      <c r="AE47" s="23"/>
      <c r="AF47" s="23"/>
      <c r="AG47" s="23">
        <v>10878.5</v>
      </c>
      <c r="AH47" s="21"/>
      <c r="AI47" s="23"/>
      <c r="AJ47" s="23">
        <v>315.8</v>
      </c>
      <c r="AK47" s="23"/>
      <c r="AL47" s="23"/>
      <c r="AM47" s="23">
        <v>1236</v>
      </c>
      <c r="AN47" s="23"/>
      <c r="AO47" s="23"/>
      <c r="AP47" s="23">
        <v>1981.3</v>
      </c>
      <c r="AQ47" s="23"/>
      <c r="AR47" s="116" t="s">
        <v>164</v>
      </c>
      <c r="AS47" s="116" t="s">
        <v>300</v>
      </c>
    </row>
    <row r="48" spans="1:45" ht="40.9" customHeight="1" x14ac:dyDescent="0.25">
      <c r="A48" s="118"/>
      <c r="B48" s="118"/>
      <c r="C48" s="118"/>
      <c r="D48" s="35" t="s">
        <v>4</v>
      </c>
      <c r="E48" s="23">
        <f t="shared" si="36"/>
        <v>127265.3</v>
      </c>
      <c r="F48" s="23">
        <f t="shared" si="36"/>
        <v>127121.99999999999</v>
      </c>
      <c r="G48" s="23">
        <f>F48/E48*100</f>
        <v>99.887400571876213</v>
      </c>
      <c r="H48" s="23"/>
      <c r="I48" s="23"/>
      <c r="J48" s="23"/>
      <c r="K48" s="23"/>
      <c r="L48" s="23"/>
      <c r="M48" s="23"/>
      <c r="N48" s="23"/>
      <c r="O48" s="23"/>
      <c r="P48" s="23"/>
      <c r="Q48" s="23">
        <v>10896.8</v>
      </c>
      <c r="R48" s="23">
        <v>10896.8</v>
      </c>
      <c r="S48" s="23">
        <f>R48/Q48*100</f>
        <v>100</v>
      </c>
      <c r="T48" s="23">
        <v>24659.8</v>
      </c>
      <c r="U48" s="23">
        <v>24659.8</v>
      </c>
      <c r="V48" s="23">
        <f>U48/T48*100</f>
        <v>100</v>
      </c>
      <c r="W48" s="23">
        <v>32919.5</v>
      </c>
      <c r="X48" s="23">
        <v>32919.5</v>
      </c>
      <c r="Y48" s="23">
        <f>X48/W48*100</f>
        <v>100</v>
      </c>
      <c r="Z48" s="23">
        <f>6077.8+17960.6</f>
        <v>24038.399999999998</v>
      </c>
      <c r="AA48" s="23">
        <v>5837.7</v>
      </c>
      <c r="AB48" s="23">
        <f>AA48/Z48*100</f>
        <v>24.284894169329075</v>
      </c>
      <c r="AC48" s="23"/>
      <c r="AD48" s="23">
        <v>443.2</v>
      </c>
      <c r="AE48" s="23"/>
      <c r="AF48" s="23"/>
      <c r="AG48" s="23">
        <v>13295.9</v>
      </c>
      <c r="AH48" s="23"/>
      <c r="AI48" s="23">
        <v>386</v>
      </c>
      <c r="AJ48" s="23">
        <v>386</v>
      </c>
      <c r="AK48" s="23">
        <f>AJ48/AI48*100</f>
        <v>100</v>
      </c>
      <c r="AL48" s="23">
        <f>34750.8-386</f>
        <v>34364.800000000003</v>
      </c>
      <c r="AM48" s="23">
        <v>36261.4</v>
      </c>
      <c r="AN48" s="23">
        <f>AM48/AL48*100</f>
        <v>105.51901946177485</v>
      </c>
      <c r="AO48" s="23"/>
      <c r="AP48" s="23">
        <v>2421.6999999999998</v>
      </c>
      <c r="AQ48" s="23"/>
      <c r="AR48" s="118"/>
      <c r="AS48" s="118"/>
    </row>
    <row r="49" spans="1:45" ht="40.9" customHeight="1" x14ac:dyDescent="0.25">
      <c r="A49" s="118"/>
      <c r="B49" s="118"/>
      <c r="C49" s="118"/>
      <c r="D49" s="35" t="s">
        <v>43</v>
      </c>
      <c r="E49" s="23">
        <f t="shared" si="36"/>
        <v>25684.799999999999</v>
      </c>
      <c r="F49" s="23">
        <f t="shared" si="36"/>
        <v>25684.799999999999</v>
      </c>
      <c r="G49" s="23">
        <f>F49/E49*100</f>
        <v>100</v>
      </c>
      <c r="H49" s="23"/>
      <c r="I49" s="23"/>
      <c r="J49" s="23"/>
      <c r="K49" s="23"/>
      <c r="L49" s="23"/>
      <c r="M49" s="23"/>
      <c r="N49" s="23"/>
      <c r="O49" s="23"/>
      <c r="P49" s="23"/>
      <c r="Q49" s="23">
        <v>2201.4</v>
      </c>
      <c r="R49" s="23">
        <v>2201.4</v>
      </c>
      <c r="S49" s="23">
        <f>R49/Q49*100</f>
        <v>100</v>
      </c>
      <c r="T49" s="23">
        <v>4000</v>
      </c>
      <c r="U49" s="23">
        <v>4000</v>
      </c>
      <c r="V49" s="23">
        <f>U49/T49*100</f>
        <v>100</v>
      </c>
      <c r="W49" s="23">
        <v>5489.9</v>
      </c>
      <c r="X49" s="23">
        <v>5489.9</v>
      </c>
      <c r="Y49" s="23">
        <f>X49/W49*100</f>
        <v>100</v>
      </c>
      <c r="Z49" s="23">
        <f>2395+2461.3+8429-2858.5</f>
        <v>10426.799999999999</v>
      </c>
      <c r="AA49" s="23">
        <v>1179.4000000000001</v>
      </c>
      <c r="AB49" s="23">
        <f>AA49/Z49*100</f>
        <v>11.311236429201674</v>
      </c>
      <c r="AC49" s="23">
        <v>1553.4</v>
      </c>
      <c r="AD49" s="23">
        <v>89.5</v>
      </c>
      <c r="AE49" s="23">
        <f>AD49/AC49*100</f>
        <v>5.7615552980558773</v>
      </c>
      <c r="AF49" s="23"/>
      <c r="AG49" s="23">
        <f>9253.9</f>
        <v>9253.9</v>
      </c>
      <c r="AH49" s="23"/>
      <c r="AI49" s="23">
        <v>78</v>
      </c>
      <c r="AJ49" s="23">
        <v>78</v>
      </c>
      <c r="AK49" s="23">
        <f>AJ49/AI49*100</f>
        <v>100</v>
      </c>
      <c r="AL49" s="23">
        <f>915.8-77.5+2858.5-1761.5</f>
        <v>1935.3000000000002</v>
      </c>
      <c r="AM49" s="23">
        <v>2903.5</v>
      </c>
      <c r="AN49" s="23">
        <f>AM49/AL49*100</f>
        <v>150.02841936650645</v>
      </c>
      <c r="AO49" s="23"/>
      <c r="AP49" s="23">
        <v>489.2</v>
      </c>
      <c r="AQ49" s="23"/>
      <c r="AR49" s="117"/>
      <c r="AS49" s="117"/>
    </row>
    <row r="50" spans="1:45" ht="15" customHeight="1" x14ac:dyDescent="0.25">
      <c r="A50" s="118"/>
      <c r="B50" s="118"/>
      <c r="C50" s="118"/>
      <c r="D50" s="35" t="s">
        <v>21</v>
      </c>
      <c r="E50" s="23">
        <f t="shared" si="36"/>
        <v>0</v>
      </c>
      <c r="F50" s="23">
        <f t="shared" si="36"/>
        <v>0</v>
      </c>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53"/>
      <c r="AS50" s="55"/>
    </row>
    <row r="51" spans="1:45" ht="160.15" customHeight="1" x14ac:dyDescent="0.25">
      <c r="A51" s="117"/>
      <c r="B51" s="117"/>
      <c r="C51" s="117"/>
      <c r="D51" s="36" t="s">
        <v>120</v>
      </c>
      <c r="E51" s="23"/>
      <c r="F51" s="23">
        <f t="shared" si="36"/>
        <v>21446</v>
      </c>
      <c r="G51" s="23"/>
      <c r="H51" s="23"/>
      <c r="I51" s="23"/>
      <c r="J51" s="23"/>
      <c r="K51" s="23"/>
      <c r="L51" s="23"/>
      <c r="M51" s="23"/>
      <c r="N51" s="23"/>
      <c r="O51" s="23">
        <v>3766.1</v>
      </c>
      <c r="P51" s="23"/>
      <c r="Q51" s="23"/>
      <c r="R51" s="23">
        <v>835.4</v>
      </c>
      <c r="S51" s="23"/>
      <c r="T51" s="23"/>
      <c r="U51" s="23">
        <v>3742.8</v>
      </c>
      <c r="V51" s="23"/>
      <c r="W51" s="23"/>
      <c r="X51" s="23"/>
      <c r="Y51" s="23"/>
      <c r="Z51" s="23"/>
      <c r="AA51" s="23"/>
      <c r="AB51" s="23"/>
      <c r="AC51" s="23"/>
      <c r="AD51" s="23"/>
      <c r="AE51" s="23"/>
      <c r="AF51" s="23"/>
      <c r="AG51" s="23">
        <v>11236.7</v>
      </c>
      <c r="AH51" s="23"/>
      <c r="AI51" s="23"/>
      <c r="AJ51" s="23"/>
      <c r="AK51" s="23"/>
      <c r="AL51" s="23"/>
      <c r="AM51" s="23"/>
      <c r="AN51" s="23"/>
      <c r="AO51" s="23"/>
      <c r="AP51" s="23">
        <v>1865</v>
      </c>
      <c r="AQ51" s="23"/>
      <c r="AR51" s="55" t="s">
        <v>165</v>
      </c>
      <c r="AS51" s="55" t="s">
        <v>208</v>
      </c>
    </row>
    <row r="52" spans="1:45" ht="12" customHeight="1" x14ac:dyDescent="0.25">
      <c r="A52" s="127" t="s">
        <v>48</v>
      </c>
      <c r="B52" s="127" t="s">
        <v>124</v>
      </c>
      <c r="C52" s="127" t="s">
        <v>169</v>
      </c>
      <c r="D52" s="35" t="s">
        <v>3</v>
      </c>
      <c r="E52" s="23">
        <f t="shared" si="36"/>
        <v>0</v>
      </c>
      <c r="F52" s="23">
        <f t="shared" si="36"/>
        <v>0</v>
      </c>
      <c r="G52" s="23"/>
      <c r="H52" s="23">
        <f>H53+H54+H55+H56</f>
        <v>0</v>
      </c>
      <c r="I52" s="23">
        <f>I53+I54+I55+I56</f>
        <v>0</v>
      </c>
      <c r="J52" s="23"/>
      <c r="K52" s="23">
        <f>K53+K54+K55+K56</f>
        <v>0</v>
      </c>
      <c r="L52" s="23">
        <f>L53+L54+L55+L56</f>
        <v>0</v>
      </c>
      <c r="M52" s="23"/>
      <c r="N52" s="23">
        <f>N53+N54+N55+N56</f>
        <v>0</v>
      </c>
      <c r="O52" s="23">
        <f>O53+O54+O55+O56</f>
        <v>0</v>
      </c>
      <c r="P52" s="23"/>
      <c r="Q52" s="23">
        <f>Q53+Q54+Q55+Q56</f>
        <v>0</v>
      </c>
      <c r="R52" s="23">
        <f>R53+R54+R55+R56</f>
        <v>0</v>
      </c>
      <c r="S52" s="23"/>
      <c r="T52" s="23">
        <f>T53+T54+T55+T56</f>
        <v>0</v>
      </c>
      <c r="U52" s="23">
        <f>U53+U54+U55+U56</f>
        <v>0</v>
      </c>
      <c r="V52" s="23"/>
      <c r="W52" s="23">
        <f>W53+W54+W55+W56</f>
        <v>0</v>
      </c>
      <c r="X52" s="23">
        <f>X53+X54+X55+X56</f>
        <v>0</v>
      </c>
      <c r="Y52" s="23"/>
      <c r="Z52" s="23">
        <f t="shared" ref="Z52:AO52" si="39">Z53+Z54+Z55+Z56</f>
        <v>0</v>
      </c>
      <c r="AA52" s="23"/>
      <c r="AB52" s="23"/>
      <c r="AC52" s="23">
        <f t="shared" si="39"/>
        <v>0</v>
      </c>
      <c r="AD52" s="23"/>
      <c r="AE52" s="23"/>
      <c r="AF52" s="23">
        <f t="shared" si="39"/>
        <v>0</v>
      </c>
      <c r="AG52" s="23">
        <f t="shared" si="39"/>
        <v>0</v>
      </c>
      <c r="AH52" s="23"/>
      <c r="AI52" s="23">
        <f t="shared" si="39"/>
        <v>0</v>
      </c>
      <c r="AJ52" s="23">
        <f t="shared" si="39"/>
        <v>0</v>
      </c>
      <c r="AK52" s="23"/>
      <c r="AL52" s="23">
        <f t="shared" si="39"/>
        <v>0</v>
      </c>
      <c r="AM52" s="23"/>
      <c r="AN52" s="23"/>
      <c r="AO52" s="23">
        <f t="shared" si="39"/>
        <v>0</v>
      </c>
      <c r="AP52" s="23"/>
      <c r="AQ52" s="23"/>
      <c r="AR52" s="33"/>
      <c r="AS52" s="33"/>
    </row>
    <row r="53" spans="1:45" ht="13.5" customHeight="1" x14ac:dyDescent="0.25">
      <c r="A53" s="127"/>
      <c r="B53" s="127"/>
      <c r="C53" s="127"/>
      <c r="D53" s="35" t="s">
        <v>20</v>
      </c>
      <c r="E53" s="23">
        <f t="shared" si="36"/>
        <v>0</v>
      </c>
      <c r="F53" s="23">
        <f t="shared" si="36"/>
        <v>0</v>
      </c>
      <c r="G53" s="21"/>
      <c r="H53" s="23">
        <f>H58+H63+H68</f>
        <v>0</v>
      </c>
      <c r="I53" s="23">
        <f>I58+I63+I68</f>
        <v>0</v>
      </c>
      <c r="J53" s="23"/>
      <c r="K53" s="23">
        <f>K58+K63+K68</f>
        <v>0</v>
      </c>
      <c r="L53" s="23">
        <f>L58+L63+L68</f>
        <v>0</v>
      </c>
      <c r="M53" s="23"/>
      <c r="N53" s="23">
        <f>N58+N63+N68</f>
        <v>0</v>
      </c>
      <c r="O53" s="23">
        <f>O58+O63+O68</f>
        <v>0</v>
      </c>
      <c r="P53" s="23"/>
      <c r="Q53" s="23">
        <f>Q58+Q63+Q68</f>
        <v>0</v>
      </c>
      <c r="R53" s="23">
        <f>R58+R63+R68</f>
        <v>0</v>
      </c>
      <c r="S53" s="23"/>
      <c r="T53" s="23">
        <f>T58+T63+T68</f>
        <v>0</v>
      </c>
      <c r="U53" s="23">
        <f>U58+U63+U68</f>
        <v>0</v>
      </c>
      <c r="V53" s="23"/>
      <c r="W53" s="23">
        <f>W58+W63+W68</f>
        <v>0</v>
      </c>
      <c r="X53" s="23">
        <f>X58+X63+X68</f>
        <v>0</v>
      </c>
      <c r="Y53" s="23"/>
      <c r="Z53" s="23">
        <f>Z58+Z63+Z68</f>
        <v>0</v>
      </c>
      <c r="AA53" s="23"/>
      <c r="AB53" s="23"/>
      <c r="AC53" s="23">
        <f>AC58+AC63+AC68</f>
        <v>0</v>
      </c>
      <c r="AD53" s="23"/>
      <c r="AE53" s="23"/>
      <c r="AF53" s="23">
        <f>AF58+AF63+AF68</f>
        <v>0</v>
      </c>
      <c r="AG53" s="23"/>
      <c r="AH53" s="23"/>
      <c r="AI53" s="23">
        <f>AI58+AI63+AI68</f>
        <v>0</v>
      </c>
      <c r="AJ53" s="23"/>
      <c r="AK53" s="23"/>
      <c r="AL53" s="23">
        <f>AL58+AL63+AL68</f>
        <v>0</v>
      </c>
      <c r="AM53" s="23"/>
      <c r="AN53" s="23"/>
      <c r="AO53" s="23">
        <f>AO58+AO63+AO68</f>
        <v>0</v>
      </c>
      <c r="AP53" s="23"/>
      <c r="AQ53" s="23"/>
      <c r="AR53" s="33"/>
      <c r="AS53" s="33"/>
    </row>
    <row r="54" spans="1:45" ht="24" x14ac:dyDescent="0.25">
      <c r="A54" s="127"/>
      <c r="B54" s="127"/>
      <c r="C54" s="127"/>
      <c r="D54" s="35" t="s">
        <v>4</v>
      </c>
      <c r="E54" s="23">
        <f t="shared" si="36"/>
        <v>0</v>
      </c>
      <c r="F54" s="23">
        <f t="shared" si="36"/>
        <v>0</v>
      </c>
      <c r="G54" s="23"/>
      <c r="H54" s="23">
        <f t="shared" ref="H54:I56" si="40">H59+H64+H69</f>
        <v>0</v>
      </c>
      <c r="I54" s="23">
        <f t="shared" si="40"/>
        <v>0</v>
      </c>
      <c r="J54" s="23"/>
      <c r="K54" s="23">
        <f t="shared" ref="K54:L55" si="41">K59+K64+K69</f>
        <v>0</v>
      </c>
      <c r="L54" s="23">
        <f t="shared" si="41"/>
        <v>0</v>
      </c>
      <c r="M54" s="23"/>
      <c r="N54" s="23">
        <f t="shared" ref="N54:O56" si="42">N59+N64+N69</f>
        <v>0</v>
      </c>
      <c r="O54" s="23">
        <f t="shared" si="42"/>
        <v>0</v>
      </c>
      <c r="P54" s="23"/>
      <c r="Q54" s="23">
        <f t="shared" ref="Q54:R56" si="43">Q59+Q64+Q69</f>
        <v>0</v>
      </c>
      <c r="R54" s="23">
        <f t="shared" si="43"/>
        <v>0</v>
      </c>
      <c r="S54" s="23"/>
      <c r="T54" s="23">
        <f t="shared" ref="T54:U56" si="44">T59+T64+T69</f>
        <v>0</v>
      </c>
      <c r="U54" s="23">
        <f t="shared" si="44"/>
        <v>0</v>
      </c>
      <c r="V54" s="23"/>
      <c r="W54" s="23">
        <f t="shared" ref="W54:X56" si="45">W59+W64+W69</f>
        <v>0</v>
      </c>
      <c r="X54" s="23">
        <f t="shared" si="45"/>
        <v>0</v>
      </c>
      <c r="Y54" s="23"/>
      <c r="Z54" s="23">
        <f t="shared" ref="Z54:Z56" si="46">Z59+Z64+Z69</f>
        <v>0</v>
      </c>
      <c r="AA54" s="23"/>
      <c r="AB54" s="23"/>
      <c r="AC54" s="23">
        <f t="shared" ref="AC54:AC56" si="47">AC59+AC64+AC69</f>
        <v>0</v>
      </c>
      <c r="AD54" s="23"/>
      <c r="AE54" s="23"/>
      <c r="AF54" s="23">
        <f t="shared" ref="AF54:AG56" si="48">AF59+AF64+AF69</f>
        <v>0</v>
      </c>
      <c r="AG54" s="23"/>
      <c r="AH54" s="23"/>
      <c r="AI54" s="23">
        <f t="shared" ref="AI54:AI56" si="49">AI59+AI64+AI69</f>
        <v>0</v>
      </c>
      <c r="AJ54" s="23"/>
      <c r="AK54" s="23"/>
      <c r="AL54" s="23">
        <f t="shared" ref="AL54:AL56" si="50">AL59+AL64+AL69</f>
        <v>0</v>
      </c>
      <c r="AM54" s="23"/>
      <c r="AN54" s="23"/>
      <c r="AO54" s="23">
        <f t="shared" ref="AO54:AO56" si="51">AO59+AO64+AO69</f>
        <v>0</v>
      </c>
      <c r="AP54" s="23"/>
      <c r="AQ54" s="23"/>
      <c r="AR54" s="33"/>
      <c r="AS54" s="33"/>
    </row>
    <row r="55" spans="1:45" ht="12.6" customHeight="1" x14ac:dyDescent="0.25">
      <c r="A55" s="127"/>
      <c r="B55" s="127"/>
      <c r="C55" s="127"/>
      <c r="D55" s="35" t="s">
        <v>43</v>
      </c>
      <c r="E55" s="23">
        <f t="shared" si="36"/>
        <v>0</v>
      </c>
      <c r="F55" s="23">
        <f t="shared" si="36"/>
        <v>0</v>
      </c>
      <c r="G55" s="23"/>
      <c r="H55" s="23">
        <f t="shared" si="40"/>
        <v>0</v>
      </c>
      <c r="I55" s="23">
        <f t="shared" si="40"/>
        <v>0</v>
      </c>
      <c r="J55" s="23"/>
      <c r="K55" s="23">
        <f t="shared" si="41"/>
        <v>0</v>
      </c>
      <c r="L55" s="23">
        <f t="shared" si="41"/>
        <v>0</v>
      </c>
      <c r="M55" s="23"/>
      <c r="N55" s="23">
        <f t="shared" si="42"/>
        <v>0</v>
      </c>
      <c r="O55" s="23">
        <f t="shared" si="42"/>
        <v>0</v>
      </c>
      <c r="P55" s="23"/>
      <c r="Q55" s="23">
        <f t="shared" si="43"/>
        <v>0</v>
      </c>
      <c r="R55" s="23">
        <f t="shared" si="43"/>
        <v>0</v>
      </c>
      <c r="S55" s="23"/>
      <c r="T55" s="23">
        <f t="shared" si="44"/>
        <v>0</v>
      </c>
      <c r="U55" s="23">
        <f t="shared" si="44"/>
        <v>0</v>
      </c>
      <c r="V55" s="23"/>
      <c r="W55" s="23">
        <f t="shared" si="45"/>
        <v>0</v>
      </c>
      <c r="X55" s="23">
        <f t="shared" si="45"/>
        <v>0</v>
      </c>
      <c r="Y55" s="23"/>
      <c r="Z55" s="23">
        <f t="shared" si="46"/>
        <v>0</v>
      </c>
      <c r="AA55" s="23"/>
      <c r="AB55" s="23"/>
      <c r="AC55" s="23">
        <f t="shared" si="47"/>
        <v>0</v>
      </c>
      <c r="AD55" s="23"/>
      <c r="AE55" s="23"/>
      <c r="AF55" s="23">
        <f t="shared" si="48"/>
        <v>0</v>
      </c>
      <c r="AG55" s="23">
        <f t="shared" si="48"/>
        <v>0</v>
      </c>
      <c r="AH55" s="23"/>
      <c r="AI55" s="23">
        <f t="shared" si="49"/>
        <v>0</v>
      </c>
      <c r="AJ55" s="23"/>
      <c r="AK55" s="23"/>
      <c r="AL55" s="23">
        <f t="shared" si="50"/>
        <v>0</v>
      </c>
      <c r="AM55" s="23"/>
      <c r="AN55" s="23"/>
      <c r="AO55" s="23">
        <f t="shared" si="51"/>
        <v>0</v>
      </c>
      <c r="AP55" s="23"/>
      <c r="AQ55" s="23"/>
      <c r="AR55" s="89"/>
      <c r="AS55" s="89"/>
    </row>
    <row r="56" spans="1:45" x14ac:dyDescent="0.25">
      <c r="A56" s="127"/>
      <c r="B56" s="127"/>
      <c r="C56" s="127"/>
      <c r="D56" s="35" t="s">
        <v>21</v>
      </c>
      <c r="E56" s="23">
        <f t="shared" si="36"/>
        <v>0</v>
      </c>
      <c r="F56" s="23">
        <f t="shared" si="36"/>
        <v>0</v>
      </c>
      <c r="G56" s="23"/>
      <c r="H56" s="23">
        <f t="shared" si="40"/>
        <v>0</v>
      </c>
      <c r="I56" s="23">
        <f t="shared" si="40"/>
        <v>0</v>
      </c>
      <c r="J56" s="23"/>
      <c r="K56" s="23"/>
      <c r="L56" s="23"/>
      <c r="M56" s="23"/>
      <c r="N56" s="23">
        <f t="shared" si="42"/>
        <v>0</v>
      </c>
      <c r="O56" s="23">
        <f t="shared" si="42"/>
        <v>0</v>
      </c>
      <c r="P56" s="23"/>
      <c r="Q56" s="23">
        <f t="shared" si="43"/>
        <v>0</v>
      </c>
      <c r="R56" s="23">
        <f t="shared" si="43"/>
        <v>0</v>
      </c>
      <c r="S56" s="23"/>
      <c r="T56" s="23">
        <f t="shared" si="44"/>
        <v>0</v>
      </c>
      <c r="U56" s="23">
        <f t="shared" si="44"/>
        <v>0</v>
      </c>
      <c r="V56" s="23"/>
      <c r="W56" s="23">
        <f t="shared" si="45"/>
        <v>0</v>
      </c>
      <c r="X56" s="23">
        <f t="shared" si="45"/>
        <v>0</v>
      </c>
      <c r="Y56" s="23"/>
      <c r="Z56" s="23">
        <f t="shared" si="46"/>
        <v>0</v>
      </c>
      <c r="AA56" s="23"/>
      <c r="AB56" s="23"/>
      <c r="AC56" s="23">
        <f t="shared" si="47"/>
        <v>0</v>
      </c>
      <c r="AD56" s="23"/>
      <c r="AE56" s="23"/>
      <c r="AF56" s="23">
        <f t="shared" si="48"/>
        <v>0</v>
      </c>
      <c r="AG56" s="23"/>
      <c r="AH56" s="23"/>
      <c r="AI56" s="23">
        <f t="shared" si="49"/>
        <v>0</v>
      </c>
      <c r="AJ56" s="23"/>
      <c r="AK56" s="23"/>
      <c r="AL56" s="23">
        <f t="shared" si="50"/>
        <v>0</v>
      </c>
      <c r="AM56" s="23"/>
      <c r="AN56" s="23"/>
      <c r="AO56" s="23">
        <f t="shared" si="51"/>
        <v>0</v>
      </c>
      <c r="AP56" s="23"/>
      <c r="AQ56" s="23"/>
      <c r="AR56" s="33"/>
      <c r="AS56" s="33"/>
    </row>
    <row r="57" spans="1:45" ht="15" customHeight="1" x14ac:dyDescent="0.25">
      <c r="A57" s="127" t="s">
        <v>121</v>
      </c>
      <c r="B57" s="127" t="s">
        <v>125</v>
      </c>
      <c r="C57" s="127" t="s">
        <v>170</v>
      </c>
      <c r="D57" s="35" t="s">
        <v>3</v>
      </c>
      <c r="E57" s="23">
        <f t="shared" si="36"/>
        <v>0</v>
      </c>
      <c r="F57" s="23">
        <f t="shared" si="36"/>
        <v>0</v>
      </c>
      <c r="G57" s="23"/>
      <c r="H57" s="23">
        <f>H58+H59+H60+H61</f>
        <v>0</v>
      </c>
      <c r="I57" s="23"/>
      <c r="J57" s="23"/>
      <c r="K57" s="23">
        <f t="shared" ref="K57:AO57" si="52">K58+K59+K60+K61</f>
        <v>0</v>
      </c>
      <c r="L57" s="23"/>
      <c r="M57" s="23"/>
      <c r="N57" s="23">
        <f t="shared" si="52"/>
        <v>0</v>
      </c>
      <c r="O57" s="23"/>
      <c r="P57" s="23"/>
      <c r="Q57" s="23">
        <f t="shared" si="52"/>
        <v>0</v>
      </c>
      <c r="R57" s="23"/>
      <c r="S57" s="23"/>
      <c r="T57" s="23">
        <f t="shared" si="52"/>
        <v>0</v>
      </c>
      <c r="U57" s="23"/>
      <c r="V57" s="23"/>
      <c r="W57" s="23">
        <f t="shared" si="52"/>
        <v>0</v>
      </c>
      <c r="X57" s="23"/>
      <c r="Y57" s="23"/>
      <c r="Z57" s="23">
        <f t="shared" si="52"/>
        <v>0</v>
      </c>
      <c r="AA57" s="23"/>
      <c r="AB57" s="23"/>
      <c r="AC57" s="23">
        <f t="shared" si="52"/>
        <v>0</v>
      </c>
      <c r="AD57" s="23"/>
      <c r="AE57" s="23"/>
      <c r="AF57" s="23">
        <f t="shared" si="52"/>
        <v>0</v>
      </c>
      <c r="AG57" s="23"/>
      <c r="AH57" s="23"/>
      <c r="AI57" s="23">
        <f t="shared" si="52"/>
        <v>0</v>
      </c>
      <c r="AJ57" s="23"/>
      <c r="AK57" s="23"/>
      <c r="AL57" s="23">
        <f t="shared" si="52"/>
        <v>0</v>
      </c>
      <c r="AM57" s="23"/>
      <c r="AN57" s="23"/>
      <c r="AO57" s="23">
        <f t="shared" si="52"/>
        <v>0</v>
      </c>
      <c r="AP57" s="23"/>
      <c r="AQ57" s="23"/>
      <c r="AR57" s="33"/>
      <c r="AS57" s="33"/>
    </row>
    <row r="58" spans="1:45" ht="15.75" customHeight="1" x14ac:dyDescent="0.25">
      <c r="A58" s="127"/>
      <c r="B58" s="127"/>
      <c r="C58" s="127"/>
      <c r="D58" s="35" t="s">
        <v>20</v>
      </c>
      <c r="E58" s="23">
        <f t="shared" ref="E58:F88" si="53">H58+K58+N58+Q58+T58+W58+Z58+AC58+AF58+AI58+AL58+AO58</f>
        <v>0</v>
      </c>
      <c r="F58" s="23">
        <f t="shared" si="53"/>
        <v>0</v>
      </c>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33"/>
      <c r="AS58" s="33"/>
    </row>
    <row r="59" spans="1:45" ht="24" x14ac:dyDescent="0.25">
      <c r="A59" s="127"/>
      <c r="B59" s="127"/>
      <c r="C59" s="127"/>
      <c r="D59" s="35" t="s">
        <v>4</v>
      </c>
      <c r="E59" s="23">
        <f t="shared" si="53"/>
        <v>0</v>
      </c>
      <c r="F59" s="23">
        <f t="shared" si="53"/>
        <v>0</v>
      </c>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33"/>
      <c r="AS59" s="33"/>
    </row>
    <row r="60" spans="1:45" x14ac:dyDescent="0.25">
      <c r="A60" s="127"/>
      <c r="B60" s="127"/>
      <c r="C60" s="127"/>
      <c r="D60" s="35" t="s">
        <v>43</v>
      </c>
      <c r="E60" s="23">
        <f t="shared" si="53"/>
        <v>0</v>
      </c>
      <c r="F60" s="23">
        <f t="shared" si="53"/>
        <v>0</v>
      </c>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33"/>
      <c r="AS60" s="33"/>
    </row>
    <row r="61" spans="1:45" x14ac:dyDescent="0.25">
      <c r="A61" s="127"/>
      <c r="B61" s="127"/>
      <c r="C61" s="127"/>
      <c r="D61" s="35" t="s">
        <v>21</v>
      </c>
      <c r="E61" s="23">
        <f t="shared" si="53"/>
        <v>0</v>
      </c>
      <c r="F61" s="23">
        <f t="shared" si="53"/>
        <v>0</v>
      </c>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33"/>
      <c r="AS61" s="33"/>
    </row>
    <row r="62" spans="1:45" ht="14.45" customHeight="1" x14ac:dyDescent="0.25">
      <c r="A62" s="127" t="s">
        <v>122</v>
      </c>
      <c r="B62" s="127" t="s">
        <v>126</v>
      </c>
      <c r="C62" s="127" t="s">
        <v>168</v>
      </c>
      <c r="D62" s="35" t="s">
        <v>3</v>
      </c>
      <c r="E62" s="23">
        <f t="shared" si="53"/>
        <v>0</v>
      </c>
      <c r="F62" s="23">
        <f t="shared" si="53"/>
        <v>0</v>
      </c>
      <c r="G62" s="23"/>
      <c r="H62" s="23">
        <f>H63+H64+H65+H66</f>
        <v>0</v>
      </c>
      <c r="I62" s="23"/>
      <c r="J62" s="23"/>
      <c r="K62" s="23">
        <f t="shared" ref="K62" si="54">K63+K64+K65+K66</f>
        <v>0</v>
      </c>
      <c r="L62" s="23"/>
      <c r="M62" s="23"/>
      <c r="N62" s="23">
        <f t="shared" ref="N62" si="55">N63+N64+N65+N66</f>
        <v>0</v>
      </c>
      <c r="O62" s="23"/>
      <c r="P62" s="23"/>
      <c r="Q62" s="23">
        <f t="shared" ref="Q62" si="56">Q63+Q64+Q65+Q66</f>
        <v>0</v>
      </c>
      <c r="R62" s="23"/>
      <c r="S62" s="23"/>
      <c r="T62" s="23">
        <f t="shared" ref="T62" si="57">T63+T64+T65+T66</f>
        <v>0</v>
      </c>
      <c r="U62" s="23"/>
      <c r="V62" s="23"/>
      <c r="W62" s="23">
        <f t="shared" ref="W62" si="58">W63+W64+W65+W66</f>
        <v>0</v>
      </c>
      <c r="X62" s="23"/>
      <c r="Y62" s="23"/>
      <c r="Z62" s="23">
        <f t="shared" ref="Z62" si="59">Z63+Z64+Z65+Z66</f>
        <v>0</v>
      </c>
      <c r="AA62" s="23"/>
      <c r="AB62" s="23"/>
      <c r="AC62" s="23">
        <f t="shared" ref="AC62" si="60">AC63+AC64+AC65+AC66</f>
        <v>0</v>
      </c>
      <c r="AD62" s="23"/>
      <c r="AE62" s="23"/>
      <c r="AF62" s="23">
        <f t="shared" ref="AF62" si="61">AF63+AF64+AF65+AF66</f>
        <v>0</v>
      </c>
      <c r="AG62" s="23"/>
      <c r="AH62" s="23"/>
      <c r="AI62" s="23">
        <f t="shared" ref="AI62" si="62">AI63+AI64+AI65+AI66</f>
        <v>0</v>
      </c>
      <c r="AJ62" s="23"/>
      <c r="AK62" s="23"/>
      <c r="AL62" s="23">
        <f t="shared" ref="AL62" si="63">AL63+AL64+AL65+AL66</f>
        <v>0</v>
      </c>
      <c r="AM62" s="23"/>
      <c r="AN62" s="23"/>
      <c r="AO62" s="23">
        <f t="shared" ref="AO62" si="64">AO63+AO64+AO65+AO66</f>
        <v>0</v>
      </c>
      <c r="AP62" s="23"/>
      <c r="AQ62" s="23"/>
      <c r="AR62" s="33"/>
      <c r="AS62" s="33"/>
    </row>
    <row r="63" spans="1:45" x14ac:dyDescent="0.25">
      <c r="A63" s="127"/>
      <c r="B63" s="127"/>
      <c r="C63" s="127"/>
      <c r="D63" s="35" t="s">
        <v>20</v>
      </c>
      <c r="E63" s="23">
        <f t="shared" si="53"/>
        <v>0</v>
      </c>
      <c r="F63" s="23">
        <f t="shared" si="53"/>
        <v>0</v>
      </c>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33"/>
      <c r="AS63" s="33"/>
    </row>
    <row r="64" spans="1:45" ht="24" x14ac:dyDescent="0.25">
      <c r="A64" s="127"/>
      <c r="B64" s="127"/>
      <c r="C64" s="127"/>
      <c r="D64" s="35" t="s">
        <v>4</v>
      </c>
      <c r="E64" s="23">
        <f t="shared" si="53"/>
        <v>0</v>
      </c>
      <c r="F64" s="23">
        <f t="shared" si="53"/>
        <v>0</v>
      </c>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33"/>
      <c r="AS64" s="33"/>
    </row>
    <row r="65" spans="1:45" x14ac:dyDescent="0.25">
      <c r="A65" s="127"/>
      <c r="B65" s="127"/>
      <c r="C65" s="127"/>
      <c r="D65" s="35" t="s">
        <v>43</v>
      </c>
      <c r="E65" s="23">
        <f t="shared" si="53"/>
        <v>0</v>
      </c>
      <c r="F65" s="23">
        <f t="shared" si="53"/>
        <v>0</v>
      </c>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33"/>
      <c r="AS65" s="33"/>
    </row>
    <row r="66" spans="1:45" x14ac:dyDescent="0.25">
      <c r="A66" s="127"/>
      <c r="B66" s="127"/>
      <c r="C66" s="127"/>
      <c r="D66" s="35" t="s">
        <v>21</v>
      </c>
      <c r="E66" s="23">
        <f t="shared" si="53"/>
        <v>0</v>
      </c>
      <c r="F66" s="23">
        <f t="shared" si="53"/>
        <v>0</v>
      </c>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33"/>
      <c r="AS66" s="33"/>
    </row>
    <row r="67" spans="1:45" ht="14.45" customHeight="1" x14ac:dyDescent="0.25">
      <c r="A67" s="127" t="s">
        <v>123</v>
      </c>
      <c r="B67" s="127" t="s">
        <v>127</v>
      </c>
      <c r="C67" s="127" t="s">
        <v>170</v>
      </c>
      <c r="D67" s="35" t="s">
        <v>3</v>
      </c>
      <c r="E67" s="23">
        <f t="shared" si="53"/>
        <v>0</v>
      </c>
      <c r="F67" s="23">
        <f t="shared" si="53"/>
        <v>0</v>
      </c>
      <c r="G67" s="23"/>
      <c r="H67" s="23">
        <f>H68+H69+H70+H71</f>
        <v>0</v>
      </c>
      <c r="I67" s="23"/>
      <c r="J67" s="23"/>
      <c r="K67" s="23">
        <f t="shared" ref="K67" si="65">K68+K69+K70+K71</f>
        <v>0</v>
      </c>
      <c r="L67" s="23"/>
      <c r="M67" s="23"/>
      <c r="N67" s="23">
        <f t="shared" ref="N67" si="66">N68+N69+N70+N71</f>
        <v>0</v>
      </c>
      <c r="O67" s="23"/>
      <c r="P67" s="23"/>
      <c r="Q67" s="23">
        <f t="shared" ref="Q67" si="67">Q68+Q69+Q70+Q71</f>
        <v>0</v>
      </c>
      <c r="R67" s="23"/>
      <c r="S67" s="23"/>
      <c r="T67" s="23">
        <f t="shared" ref="T67" si="68">T68+T69+T70+T71</f>
        <v>0</v>
      </c>
      <c r="U67" s="23"/>
      <c r="V67" s="23"/>
      <c r="W67" s="23">
        <f t="shared" ref="W67" si="69">W68+W69+W70+W71</f>
        <v>0</v>
      </c>
      <c r="X67" s="23"/>
      <c r="Y67" s="23"/>
      <c r="Z67" s="23">
        <f t="shared" ref="Z67" si="70">Z68+Z69+Z70+Z71</f>
        <v>0</v>
      </c>
      <c r="AA67" s="23"/>
      <c r="AB67" s="23"/>
      <c r="AC67" s="23">
        <f t="shared" ref="AC67" si="71">AC68+AC69+AC70+AC71</f>
        <v>0</v>
      </c>
      <c r="AD67" s="23"/>
      <c r="AE67" s="23"/>
      <c r="AF67" s="23">
        <f t="shared" ref="AF67" si="72">AF68+AF69+AF70+AF71</f>
        <v>0</v>
      </c>
      <c r="AG67" s="23"/>
      <c r="AH67" s="23"/>
      <c r="AI67" s="23">
        <f t="shared" ref="AI67:AJ67" si="73">AI68+AI69+AI70+AI71</f>
        <v>0</v>
      </c>
      <c r="AJ67" s="23">
        <f t="shared" si="73"/>
        <v>0</v>
      </c>
      <c r="AK67" s="23"/>
      <c r="AL67" s="23">
        <f t="shared" ref="AL67" si="74">AL68+AL69+AL70+AL71</f>
        <v>0</v>
      </c>
      <c r="AM67" s="23"/>
      <c r="AN67" s="23"/>
      <c r="AO67" s="23">
        <f t="shared" ref="AO67" si="75">AO68+AO69+AO70+AO71</f>
        <v>0</v>
      </c>
      <c r="AP67" s="23"/>
      <c r="AQ67" s="23"/>
      <c r="AR67" s="33"/>
      <c r="AS67" s="33"/>
    </row>
    <row r="68" spans="1:45" ht="15" customHeight="1" x14ac:dyDescent="0.25">
      <c r="A68" s="127"/>
      <c r="B68" s="127"/>
      <c r="C68" s="127"/>
      <c r="D68" s="35" t="s">
        <v>20</v>
      </c>
      <c r="E68" s="23">
        <f t="shared" si="53"/>
        <v>0</v>
      </c>
      <c r="F68" s="23">
        <f t="shared" si="53"/>
        <v>0</v>
      </c>
      <c r="G68" s="21"/>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33"/>
      <c r="AS68" s="33"/>
    </row>
    <row r="69" spans="1:45" ht="24" x14ac:dyDescent="0.25">
      <c r="A69" s="127"/>
      <c r="B69" s="127"/>
      <c r="C69" s="127"/>
      <c r="D69" s="35" t="s">
        <v>4</v>
      </c>
      <c r="E69" s="23">
        <f t="shared" si="53"/>
        <v>0</v>
      </c>
      <c r="F69" s="23">
        <f t="shared" si="53"/>
        <v>0</v>
      </c>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33"/>
      <c r="AS69" s="33"/>
    </row>
    <row r="70" spans="1:45" x14ac:dyDescent="0.25">
      <c r="A70" s="127"/>
      <c r="B70" s="127"/>
      <c r="C70" s="127"/>
      <c r="D70" s="35" t="s">
        <v>43</v>
      </c>
      <c r="E70" s="23">
        <f t="shared" si="53"/>
        <v>0</v>
      </c>
      <c r="F70" s="23">
        <f t="shared" si="53"/>
        <v>0</v>
      </c>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89"/>
      <c r="AS70" s="89"/>
    </row>
    <row r="71" spans="1:45" ht="15" customHeight="1" x14ac:dyDescent="0.25">
      <c r="A71" s="127"/>
      <c r="B71" s="127"/>
      <c r="C71" s="127"/>
      <c r="D71" s="35" t="s">
        <v>21</v>
      </c>
      <c r="E71" s="23">
        <f t="shared" si="53"/>
        <v>0</v>
      </c>
      <c r="F71" s="23">
        <f t="shared" si="53"/>
        <v>0</v>
      </c>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33"/>
      <c r="AS71" s="33"/>
    </row>
    <row r="72" spans="1:45" ht="13.15" customHeight="1" x14ac:dyDescent="0.25">
      <c r="A72" s="116" t="s">
        <v>49</v>
      </c>
      <c r="B72" s="116" t="s">
        <v>86</v>
      </c>
      <c r="C72" s="116" t="s">
        <v>168</v>
      </c>
      <c r="D72" s="35" t="s">
        <v>3</v>
      </c>
      <c r="E72" s="23">
        <f t="shared" si="53"/>
        <v>3127.5</v>
      </c>
      <c r="F72" s="23">
        <f t="shared" si="53"/>
        <v>3127.3</v>
      </c>
      <c r="G72" s="23">
        <f>F72/E72*100</f>
        <v>99.993605115907286</v>
      </c>
      <c r="H72" s="23">
        <f>H73+H74+H75+H76</f>
        <v>0</v>
      </c>
      <c r="I72" s="23"/>
      <c r="J72" s="23"/>
      <c r="K72" s="23">
        <f t="shared" ref="K72:AP72" si="76">K73+K74+K75+K76</f>
        <v>0</v>
      </c>
      <c r="L72" s="23">
        <f t="shared" si="76"/>
        <v>0</v>
      </c>
      <c r="M72" s="23"/>
      <c r="N72" s="23">
        <f t="shared" si="76"/>
        <v>0</v>
      </c>
      <c r="O72" s="23">
        <f t="shared" si="76"/>
        <v>0</v>
      </c>
      <c r="P72" s="23"/>
      <c r="Q72" s="23">
        <f t="shared" si="76"/>
        <v>260</v>
      </c>
      <c r="R72" s="23">
        <f t="shared" si="76"/>
        <v>260</v>
      </c>
      <c r="S72" s="23">
        <f>R72/Q72*100</f>
        <v>100</v>
      </c>
      <c r="T72" s="23">
        <f t="shared" si="76"/>
        <v>0</v>
      </c>
      <c r="U72" s="23">
        <f t="shared" si="76"/>
        <v>0</v>
      </c>
      <c r="V72" s="23"/>
      <c r="W72" s="23">
        <f t="shared" si="76"/>
        <v>0</v>
      </c>
      <c r="X72" s="23">
        <f t="shared" si="76"/>
        <v>0</v>
      </c>
      <c r="Y72" s="23"/>
      <c r="Z72" s="23">
        <f t="shared" si="76"/>
        <v>250</v>
      </c>
      <c r="AA72" s="23">
        <f t="shared" si="76"/>
        <v>250</v>
      </c>
      <c r="AB72" s="23">
        <f>AA72/Z72*100</f>
        <v>100</v>
      </c>
      <c r="AC72" s="23">
        <f t="shared" si="76"/>
        <v>0</v>
      </c>
      <c r="AD72" s="23">
        <f t="shared" si="76"/>
        <v>0</v>
      </c>
      <c r="AE72" s="23"/>
      <c r="AF72" s="23">
        <f t="shared" si="76"/>
        <v>1445.4</v>
      </c>
      <c r="AG72" s="23">
        <f t="shared" si="76"/>
        <v>188.3</v>
      </c>
      <c r="AH72" s="23">
        <f>AG72/AF72*100</f>
        <v>13.027535630275356</v>
      </c>
      <c r="AI72" s="23">
        <f t="shared" si="76"/>
        <v>1172.0999999999999</v>
      </c>
      <c r="AJ72" s="23">
        <f t="shared" si="76"/>
        <v>941.7</v>
      </c>
      <c r="AK72" s="23">
        <f>AJ72/AI72*100</f>
        <v>80.342974148963407</v>
      </c>
      <c r="AL72" s="23">
        <f t="shared" si="76"/>
        <v>0</v>
      </c>
      <c r="AM72" s="23">
        <f t="shared" si="76"/>
        <v>206.1</v>
      </c>
      <c r="AN72" s="23"/>
      <c r="AO72" s="23">
        <f t="shared" si="76"/>
        <v>0</v>
      </c>
      <c r="AP72" s="23">
        <f t="shared" si="76"/>
        <v>1281.2</v>
      </c>
      <c r="AQ72" s="21"/>
      <c r="AR72" s="33"/>
      <c r="AS72" s="33"/>
    </row>
    <row r="73" spans="1:45" ht="13.15" customHeight="1" x14ac:dyDescent="0.25">
      <c r="A73" s="118"/>
      <c r="B73" s="118"/>
      <c r="C73" s="118"/>
      <c r="D73" s="35" t="s">
        <v>20</v>
      </c>
      <c r="E73" s="23">
        <f t="shared" si="53"/>
        <v>0</v>
      </c>
      <c r="F73" s="23">
        <f t="shared" si="53"/>
        <v>0</v>
      </c>
      <c r="G73" s="23"/>
      <c r="H73" s="23"/>
      <c r="I73" s="23"/>
      <c r="J73" s="23"/>
      <c r="K73" s="23"/>
      <c r="L73" s="23"/>
      <c r="M73" s="23"/>
      <c r="N73" s="23"/>
      <c r="O73" s="23"/>
      <c r="P73" s="23"/>
      <c r="Q73" s="23"/>
      <c r="R73" s="23"/>
      <c r="S73" s="23"/>
      <c r="T73" s="23"/>
      <c r="U73" s="23"/>
      <c r="V73" s="21"/>
      <c r="W73" s="23"/>
      <c r="X73" s="23"/>
      <c r="Y73" s="21"/>
      <c r="Z73" s="23"/>
      <c r="AA73" s="23"/>
      <c r="AB73" s="23"/>
      <c r="AC73" s="23"/>
      <c r="AD73" s="23"/>
      <c r="AE73" s="21"/>
      <c r="AF73" s="23"/>
      <c r="AG73" s="23"/>
      <c r="AH73" s="21"/>
      <c r="AI73" s="23"/>
      <c r="AJ73" s="23"/>
      <c r="AK73" s="23"/>
      <c r="AL73" s="23"/>
      <c r="AM73" s="23"/>
      <c r="AN73" s="21"/>
      <c r="AO73" s="23"/>
      <c r="AP73" s="23"/>
      <c r="AQ73" s="21"/>
      <c r="AR73" s="33"/>
      <c r="AS73" s="33"/>
    </row>
    <row r="74" spans="1:45" ht="43.15" customHeight="1" x14ac:dyDescent="0.25">
      <c r="A74" s="118"/>
      <c r="B74" s="118"/>
      <c r="C74" s="118"/>
      <c r="D74" s="35" t="s">
        <v>4</v>
      </c>
      <c r="E74" s="23">
        <f t="shared" si="53"/>
        <v>510</v>
      </c>
      <c r="F74" s="23">
        <f t="shared" si="53"/>
        <v>510</v>
      </c>
      <c r="G74" s="23">
        <f t="shared" ref="G74:G75" si="77">F74/E74*100</f>
        <v>100</v>
      </c>
      <c r="H74" s="39"/>
      <c r="I74" s="39"/>
      <c r="J74" s="39"/>
      <c r="K74" s="39"/>
      <c r="L74" s="39"/>
      <c r="M74" s="23"/>
      <c r="N74" s="39"/>
      <c r="O74" s="39"/>
      <c r="P74" s="23"/>
      <c r="Q74" s="23">
        <v>260</v>
      </c>
      <c r="R74" s="23">
        <v>260</v>
      </c>
      <c r="S74" s="23">
        <f t="shared" ref="S74" si="78">R74/Q74*100</f>
        <v>100</v>
      </c>
      <c r="T74" s="23"/>
      <c r="U74" s="23"/>
      <c r="V74" s="23"/>
      <c r="W74" s="23"/>
      <c r="X74" s="23"/>
      <c r="Y74" s="23"/>
      <c r="Z74" s="23">
        <v>250</v>
      </c>
      <c r="AA74" s="23">
        <v>250</v>
      </c>
      <c r="AB74" s="23">
        <f t="shared" ref="AB74" si="79">AA74/Z74*100</f>
        <v>100</v>
      </c>
      <c r="AC74" s="23"/>
      <c r="AD74" s="23"/>
      <c r="AE74" s="23"/>
      <c r="AF74" s="23"/>
      <c r="AG74" s="23"/>
      <c r="AH74" s="23"/>
      <c r="AI74" s="23"/>
      <c r="AJ74" s="23"/>
      <c r="AK74" s="23"/>
      <c r="AL74" s="39"/>
      <c r="AM74" s="39"/>
      <c r="AN74" s="23"/>
      <c r="AO74" s="39"/>
      <c r="AP74" s="39"/>
      <c r="AQ74" s="21"/>
      <c r="AR74" s="89" t="s">
        <v>191</v>
      </c>
      <c r="AS74" s="116" t="s">
        <v>210</v>
      </c>
    </row>
    <row r="75" spans="1:45" ht="43.15" customHeight="1" x14ac:dyDescent="0.25">
      <c r="A75" s="118"/>
      <c r="B75" s="118"/>
      <c r="C75" s="118"/>
      <c r="D75" s="35" t="s">
        <v>43</v>
      </c>
      <c r="E75" s="23">
        <f t="shared" si="53"/>
        <v>2617.5</v>
      </c>
      <c r="F75" s="23">
        <f t="shared" si="53"/>
        <v>2617.3000000000002</v>
      </c>
      <c r="G75" s="23">
        <f t="shared" si="77"/>
        <v>99.992359121298961</v>
      </c>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v>1445.4</v>
      </c>
      <c r="AG75" s="23">
        <v>188.3</v>
      </c>
      <c r="AH75" s="23">
        <f>AG75/AF75*100</f>
        <v>13.027535630275356</v>
      </c>
      <c r="AI75" s="23">
        <v>1172.0999999999999</v>
      </c>
      <c r="AJ75" s="23">
        <v>941.7</v>
      </c>
      <c r="AK75" s="23">
        <f t="shared" ref="AK75" si="80">AJ75/AI75*100</f>
        <v>80.342974148963407</v>
      </c>
      <c r="AL75" s="23"/>
      <c r="AM75" s="23">
        <v>206.1</v>
      </c>
      <c r="AN75" s="23"/>
      <c r="AO75" s="23"/>
      <c r="AP75" s="23">
        <v>1281.2</v>
      </c>
      <c r="AQ75" s="21"/>
      <c r="AR75" s="89" t="s">
        <v>155</v>
      </c>
      <c r="AS75" s="117"/>
    </row>
    <row r="76" spans="1:45" ht="12.6" customHeight="1" x14ac:dyDescent="0.25">
      <c r="A76" s="118"/>
      <c r="B76" s="118"/>
      <c r="C76" s="118"/>
      <c r="D76" s="35" t="s">
        <v>21</v>
      </c>
      <c r="E76" s="23">
        <f t="shared" si="53"/>
        <v>0</v>
      </c>
      <c r="F76" s="23">
        <f t="shared" si="53"/>
        <v>0</v>
      </c>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33"/>
      <c r="AS76" s="33"/>
    </row>
    <row r="77" spans="1:45" ht="40.15" customHeight="1" x14ac:dyDescent="0.25">
      <c r="A77" s="117"/>
      <c r="B77" s="117"/>
      <c r="C77" s="117"/>
      <c r="D77" s="36" t="s">
        <v>120</v>
      </c>
      <c r="E77" s="23">
        <f t="shared" si="53"/>
        <v>0</v>
      </c>
      <c r="F77" s="23">
        <f t="shared" si="53"/>
        <v>2274.5999999999995</v>
      </c>
      <c r="G77" s="23"/>
      <c r="H77" s="23"/>
      <c r="I77" s="23"/>
      <c r="J77" s="23"/>
      <c r="K77" s="23"/>
      <c r="L77" s="23"/>
      <c r="M77" s="23"/>
      <c r="N77" s="23"/>
      <c r="O77" s="23">
        <v>464.6</v>
      </c>
      <c r="P77" s="23"/>
      <c r="Q77" s="23"/>
      <c r="R77" s="23"/>
      <c r="S77" s="23"/>
      <c r="T77" s="23"/>
      <c r="U77" s="23"/>
      <c r="V77" s="23"/>
      <c r="W77" s="23"/>
      <c r="X77" s="23">
        <v>233.2</v>
      </c>
      <c r="Y77" s="23"/>
      <c r="Z77" s="23"/>
      <c r="AA77" s="23">
        <v>372.8</v>
      </c>
      <c r="AB77" s="23"/>
      <c r="AC77" s="23"/>
      <c r="AD77" s="23">
        <v>352.7</v>
      </c>
      <c r="AE77" s="23"/>
      <c r="AF77" s="23"/>
      <c r="AG77" s="23">
        <v>130.30000000000001</v>
      </c>
      <c r="AH77" s="23"/>
      <c r="AI77" s="23"/>
      <c r="AJ77" s="23">
        <v>437.1</v>
      </c>
      <c r="AK77" s="23"/>
      <c r="AL77" s="23"/>
      <c r="AM77" s="23">
        <v>159.69999999999999</v>
      </c>
      <c r="AN77" s="23"/>
      <c r="AO77" s="23"/>
      <c r="AP77" s="23">
        <v>124.2</v>
      </c>
      <c r="AQ77" s="23"/>
      <c r="AR77" s="89" t="s">
        <v>155</v>
      </c>
      <c r="AS77" s="89"/>
    </row>
    <row r="78" spans="1:45" ht="13.15" customHeight="1" x14ac:dyDescent="0.25">
      <c r="A78" s="116" t="s">
        <v>50</v>
      </c>
      <c r="B78" s="127" t="s">
        <v>87</v>
      </c>
      <c r="C78" s="127" t="s">
        <v>168</v>
      </c>
      <c r="D78" s="35" t="s">
        <v>3</v>
      </c>
      <c r="E78" s="23">
        <f t="shared" si="53"/>
        <v>220.5</v>
      </c>
      <c r="F78" s="23">
        <f t="shared" si="53"/>
        <v>220.5</v>
      </c>
      <c r="G78" s="23">
        <f>F78/E78*100</f>
        <v>100</v>
      </c>
      <c r="H78" s="23">
        <f>H79+H80+H81+H82</f>
        <v>0</v>
      </c>
      <c r="I78" s="23">
        <f>I79+I80+I81+I82</f>
        <v>0</v>
      </c>
      <c r="J78" s="23"/>
      <c r="K78" s="23">
        <f t="shared" ref="K78:AO78" si="81">K79+K80+K81+K82</f>
        <v>0</v>
      </c>
      <c r="L78" s="23">
        <f t="shared" si="81"/>
        <v>0</v>
      </c>
      <c r="M78" s="23"/>
      <c r="N78" s="23">
        <f t="shared" si="81"/>
        <v>190.5</v>
      </c>
      <c r="O78" s="23">
        <f t="shared" si="81"/>
        <v>190.5</v>
      </c>
      <c r="P78" s="23">
        <f>O78/N78*100</f>
        <v>100</v>
      </c>
      <c r="Q78" s="23">
        <f t="shared" si="81"/>
        <v>30</v>
      </c>
      <c r="R78" s="23">
        <f t="shared" si="81"/>
        <v>30</v>
      </c>
      <c r="S78" s="23">
        <f>R78/Q78*100</f>
        <v>100</v>
      </c>
      <c r="T78" s="23">
        <f t="shared" si="81"/>
        <v>0</v>
      </c>
      <c r="U78" s="23">
        <f t="shared" si="81"/>
        <v>0</v>
      </c>
      <c r="V78" s="23"/>
      <c r="W78" s="23">
        <f t="shared" si="81"/>
        <v>0</v>
      </c>
      <c r="X78" s="23"/>
      <c r="Y78" s="21"/>
      <c r="Z78" s="23">
        <f t="shared" si="81"/>
        <v>0</v>
      </c>
      <c r="AA78" s="23">
        <f t="shared" si="81"/>
        <v>0</v>
      </c>
      <c r="AB78" s="23"/>
      <c r="AC78" s="23">
        <f t="shared" si="81"/>
        <v>0</v>
      </c>
      <c r="AD78" s="23">
        <f t="shared" si="81"/>
        <v>0</v>
      </c>
      <c r="AE78" s="23"/>
      <c r="AF78" s="23">
        <f t="shared" si="81"/>
        <v>0</v>
      </c>
      <c r="AG78" s="23">
        <f t="shared" si="81"/>
        <v>0</v>
      </c>
      <c r="AH78" s="23"/>
      <c r="AI78" s="23">
        <f t="shared" si="81"/>
        <v>0</v>
      </c>
      <c r="AJ78" s="23">
        <f t="shared" si="81"/>
        <v>0</v>
      </c>
      <c r="AK78" s="23"/>
      <c r="AL78" s="23">
        <f t="shared" si="81"/>
        <v>0</v>
      </c>
      <c r="AM78" s="23"/>
      <c r="AN78" s="23"/>
      <c r="AO78" s="23">
        <f t="shared" si="81"/>
        <v>0</v>
      </c>
      <c r="AP78" s="23"/>
      <c r="AQ78" s="21"/>
      <c r="AR78" s="33"/>
      <c r="AS78" s="33"/>
    </row>
    <row r="79" spans="1:45" x14ac:dyDescent="0.25">
      <c r="A79" s="118"/>
      <c r="B79" s="127"/>
      <c r="C79" s="127"/>
      <c r="D79" s="35" t="s">
        <v>20</v>
      </c>
      <c r="E79" s="23">
        <f t="shared" si="53"/>
        <v>0</v>
      </c>
      <c r="F79" s="23">
        <f t="shared" si="53"/>
        <v>0</v>
      </c>
      <c r="G79" s="23"/>
      <c r="H79" s="23"/>
      <c r="I79" s="23"/>
      <c r="J79" s="23"/>
      <c r="K79" s="23"/>
      <c r="L79" s="23"/>
      <c r="M79" s="23"/>
      <c r="N79" s="23"/>
      <c r="O79" s="23"/>
      <c r="P79" s="23"/>
      <c r="Q79" s="23"/>
      <c r="R79" s="23"/>
      <c r="S79" s="23"/>
      <c r="T79" s="23"/>
      <c r="U79" s="23"/>
      <c r="V79" s="23"/>
      <c r="W79" s="23"/>
      <c r="X79" s="23"/>
      <c r="Y79" s="21"/>
      <c r="Z79" s="23"/>
      <c r="AA79" s="23"/>
      <c r="AB79" s="23"/>
      <c r="AC79" s="23"/>
      <c r="AD79" s="23"/>
      <c r="AE79" s="23"/>
      <c r="AF79" s="23"/>
      <c r="AG79" s="23"/>
      <c r="AH79" s="23"/>
      <c r="AI79" s="23"/>
      <c r="AJ79" s="23"/>
      <c r="AK79" s="23"/>
      <c r="AL79" s="23"/>
      <c r="AM79" s="23"/>
      <c r="AN79" s="23"/>
      <c r="AO79" s="23"/>
      <c r="AP79" s="23"/>
      <c r="AQ79" s="21"/>
      <c r="AR79" s="33"/>
      <c r="AS79" s="33"/>
    </row>
    <row r="80" spans="1:45" ht="24" x14ac:dyDescent="0.25">
      <c r="A80" s="118"/>
      <c r="B80" s="127"/>
      <c r="C80" s="127"/>
      <c r="D80" s="35" t="s">
        <v>4</v>
      </c>
      <c r="E80" s="23">
        <f t="shared" si="53"/>
        <v>0</v>
      </c>
      <c r="F80" s="23">
        <f t="shared" si="53"/>
        <v>0</v>
      </c>
      <c r="G80" s="23"/>
      <c r="H80" s="39"/>
      <c r="I80" s="39"/>
      <c r="J80" s="23"/>
      <c r="K80" s="39"/>
      <c r="L80" s="39"/>
      <c r="M80" s="23"/>
      <c r="N80" s="39"/>
      <c r="O80" s="39"/>
      <c r="P80" s="23"/>
      <c r="Q80" s="39"/>
      <c r="R80" s="39"/>
      <c r="S80" s="23"/>
      <c r="T80" s="39"/>
      <c r="U80" s="39"/>
      <c r="V80" s="23"/>
      <c r="W80" s="39"/>
      <c r="X80" s="39"/>
      <c r="Y80" s="21"/>
      <c r="Z80" s="39"/>
      <c r="AA80" s="39"/>
      <c r="AB80" s="23"/>
      <c r="AC80" s="39"/>
      <c r="AD80" s="39"/>
      <c r="AE80" s="23"/>
      <c r="AF80" s="39"/>
      <c r="AG80" s="39"/>
      <c r="AH80" s="23"/>
      <c r="AI80" s="39"/>
      <c r="AJ80" s="39"/>
      <c r="AK80" s="23"/>
      <c r="AL80" s="39"/>
      <c r="AM80" s="39"/>
      <c r="AN80" s="23"/>
      <c r="AO80" s="39"/>
      <c r="AP80" s="39"/>
      <c r="AQ80" s="21"/>
      <c r="AR80" s="33"/>
      <c r="AS80" s="33"/>
    </row>
    <row r="81" spans="1:45" ht="25.15" customHeight="1" x14ac:dyDescent="0.25">
      <c r="A81" s="118"/>
      <c r="B81" s="127"/>
      <c r="C81" s="127"/>
      <c r="D81" s="35" t="s">
        <v>43</v>
      </c>
      <c r="E81" s="23">
        <f t="shared" si="53"/>
        <v>220.5</v>
      </c>
      <c r="F81" s="23">
        <f t="shared" si="53"/>
        <v>220.5</v>
      </c>
      <c r="G81" s="23">
        <f t="shared" ref="G81" si="82">F81/E81*100</f>
        <v>100</v>
      </c>
      <c r="H81" s="23"/>
      <c r="I81" s="23">
        <v>0</v>
      </c>
      <c r="J81" s="23"/>
      <c r="K81" s="23"/>
      <c r="L81" s="23"/>
      <c r="M81" s="23"/>
      <c r="N81" s="23">
        <f>220.5-30</f>
        <v>190.5</v>
      </c>
      <c r="O81" s="23">
        <v>190.5</v>
      </c>
      <c r="P81" s="23">
        <f t="shared" ref="P81" si="83">O81/N81*100</f>
        <v>100</v>
      </c>
      <c r="Q81" s="23">
        <v>30</v>
      </c>
      <c r="R81" s="23">
        <v>30</v>
      </c>
      <c r="S81" s="23">
        <f t="shared" ref="S81" si="84">R81/Q81*100</f>
        <v>100</v>
      </c>
      <c r="T81" s="23"/>
      <c r="U81" s="23"/>
      <c r="V81" s="23"/>
      <c r="W81" s="23"/>
      <c r="X81" s="23"/>
      <c r="Y81" s="21"/>
      <c r="Z81" s="23"/>
      <c r="AA81" s="23"/>
      <c r="AB81" s="23"/>
      <c r="AC81" s="23"/>
      <c r="AD81" s="23">
        <v>0</v>
      </c>
      <c r="AE81" s="23"/>
      <c r="AF81" s="23"/>
      <c r="AG81" s="23"/>
      <c r="AH81" s="23"/>
      <c r="AI81" s="23"/>
      <c r="AJ81" s="23"/>
      <c r="AK81" s="23"/>
      <c r="AL81" s="23"/>
      <c r="AM81" s="23"/>
      <c r="AN81" s="23"/>
      <c r="AO81" s="23"/>
      <c r="AP81" s="23"/>
      <c r="AQ81" s="21"/>
      <c r="AR81" s="89" t="s">
        <v>146</v>
      </c>
      <c r="AS81" s="89"/>
    </row>
    <row r="82" spans="1:45" x14ac:dyDescent="0.25">
      <c r="A82" s="117"/>
      <c r="B82" s="127"/>
      <c r="C82" s="127"/>
      <c r="D82" s="35" t="s">
        <v>21</v>
      </c>
      <c r="E82" s="23">
        <f t="shared" si="53"/>
        <v>0</v>
      </c>
      <c r="F82" s="23">
        <f t="shared" si="53"/>
        <v>0</v>
      </c>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33"/>
      <c r="AS82" s="33"/>
    </row>
    <row r="83" spans="1:45" ht="12.6" customHeight="1" x14ac:dyDescent="0.25">
      <c r="A83" s="131" t="s">
        <v>7</v>
      </c>
      <c r="B83" s="132"/>
      <c r="C83" s="133"/>
      <c r="D83" s="36" t="s">
        <v>3</v>
      </c>
      <c r="E83" s="37">
        <f t="shared" si="53"/>
        <v>212711.9</v>
      </c>
      <c r="F83" s="37">
        <f t="shared" si="53"/>
        <v>212451.09999999998</v>
      </c>
      <c r="G83" s="37">
        <f>F83/E83*100</f>
        <v>99.877392849201186</v>
      </c>
      <c r="H83" s="37">
        <f>H85+H84+H86+H87</f>
        <v>0</v>
      </c>
      <c r="I83" s="37">
        <f>I85+I84+I86+I87</f>
        <v>0</v>
      </c>
      <c r="J83" s="37"/>
      <c r="K83" s="37">
        <f>K85+K84+K86+K87</f>
        <v>0</v>
      </c>
      <c r="L83" s="37">
        <f>L85+L84+L86+L87</f>
        <v>0</v>
      </c>
      <c r="M83" s="37"/>
      <c r="N83" s="37">
        <f>N85+N84+N86+N87</f>
        <v>190.5</v>
      </c>
      <c r="O83" s="37">
        <f>O85+O84+O86+O87</f>
        <v>190.5</v>
      </c>
      <c r="P83" s="37">
        <f>O83/N83*100</f>
        <v>100</v>
      </c>
      <c r="Q83" s="37">
        <f>Q85+Q84+Q86+Q87</f>
        <v>22303.7</v>
      </c>
      <c r="R83" s="37">
        <f>R85+R84+R86+R87</f>
        <v>22303.7</v>
      </c>
      <c r="S83" s="37">
        <f>R83/Q83*100</f>
        <v>100</v>
      </c>
      <c r="T83" s="37">
        <f>T85+T84+T86+T87</f>
        <v>39999.800000000003</v>
      </c>
      <c r="U83" s="37">
        <f>U85+U84+U86+U87</f>
        <v>39999.800000000003</v>
      </c>
      <c r="V83" s="37">
        <f>U83/T83*100</f>
        <v>100</v>
      </c>
      <c r="W83" s="37">
        <f>W85+W84+W86+W87</f>
        <v>54899.9</v>
      </c>
      <c r="X83" s="37">
        <f>X85+X84+X86+X87</f>
        <v>54899.9</v>
      </c>
      <c r="Y83" s="37">
        <f>X83/W83*100</f>
        <v>100</v>
      </c>
      <c r="Z83" s="37">
        <f>Z85+Z84+Z86+Z87</f>
        <v>54383</v>
      </c>
      <c r="AA83" s="37">
        <f>AA85+AA84+AA86+AA87</f>
        <v>12043.4</v>
      </c>
      <c r="AB83" s="37">
        <f>AA83/Z83*100</f>
        <v>22.145523417244359</v>
      </c>
      <c r="AC83" s="37">
        <f>AC85+AC84+AC86+AC87</f>
        <v>1553.4</v>
      </c>
      <c r="AD83" s="37">
        <f>AD85+AD84+AD86+AD87</f>
        <v>895.3</v>
      </c>
      <c r="AE83" s="37">
        <f>AD83/AC83*100</f>
        <v>57.634865456418169</v>
      </c>
      <c r="AF83" s="37">
        <f>AF85+AF84+AF86+AF87</f>
        <v>1445.4</v>
      </c>
      <c r="AG83" s="37">
        <f>AG85+AG84+AG86+AG87</f>
        <v>33616.6</v>
      </c>
      <c r="AH83" s="37">
        <f>AG83/AF83*100</f>
        <v>2325.7644942576449</v>
      </c>
      <c r="AI83" s="37">
        <f>AI85+AI84+AI86+AI87</f>
        <v>1636.1</v>
      </c>
      <c r="AJ83" s="37">
        <f>AJ85+AJ84+AJ86+AJ87</f>
        <v>1721.5</v>
      </c>
      <c r="AK83" s="37">
        <f>AJ83/AI83*100</f>
        <v>105.21972984536399</v>
      </c>
      <c r="AL83" s="37">
        <f>AL85+AL84+AL86+AL87</f>
        <v>36300.100000000006</v>
      </c>
      <c r="AM83" s="37">
        <f>AM85+AM84+AM86+AM87</f>
        <v>40607</v>
      </c>
      <c r="AN83" s="37">
        <f>AM83/AL83*100</f>
        <v>111.86470560687158</v>
      </c>
      <c r="AO83" s="37">
        <f>AO85+AO84+AO86+AO87</f>
        <v>0</v>
      </c>
      <c r="AP83" s="37">
        <f>AP85+AP84+AP86+AP87</f>
        <v>6173.4</v>
      </c>
      <c r="AQ83" s="37"/>
      <c r="AR83" s="33"/>
      <c r="AS83" s="33"/>
    </row>
    <row r="84" spans="1:45" x14ac:dyDescent="0.25">
      <c r="A84" s="134"/>
      <c r="B84" s="135"/>
      <c r="C84" s="136"/>
      <c r="D84" s="36" t="s">
        <v>20</v>
      </c>
      <c r="E84" s="37">
        <f t="shared" si="53"/>
        <v>56413.8</v>
      </c>
      <c r="F84" s="37">
        <f t="shared" si="53"/>
        <v>56296.500000000007</v>
      </c>
      <c r="G84" s="37">
        <f>F84/E84*100</f>
        <v>99.792072152558418</v>
      </c>
      <c r="H84" s="37">
        <f t="shared" ref="H84:I87" si="85">H42+H47+H73+H79+H53</f>
        <v>0</v>
      </c>
      <c r="I84" s="37">
        <f t="shared" si="85"/>
        <v>0</v>
      </c>
      <c r="J84" s="37"/>
      <c r="K84" s="37">
        <f t="shared" ref="K84:L87" si="86">K42+K47+K73+K79+K53</f>
        <v>0</v>
      </c>
      <c r="L84" s="37">
        <f t="shared" si="86"/>
        <v>0</v>
      </c>
      <c r="M84" s="37"/>
      <c r="N84" s="37">
        <f t="shared" ref="N84:O87" si="87">N42+N47+N73+N79+N53</f>
        <v>0</v>
      </c>
      <c r="O84" s="37">
        <f t="shared" si="87"/>
        <v>0</v>
      </c>
      <c r="P84" s="37"/>
      <c r="Q84" s="37">
        <f t="shared" ref="Q84:R87" si="88">Q42+Q47+Q73+Q79+Q53</f>
        <v>8915.5</v>
      </c>
      <c r="R84" s="37">
        <f t="shared" si="88"/>
        <v>8915.5</v>
      </c>
      <c r="S84" s="37">
        <f t="shared" ref="S84:S86" si="89">R84/Q84*100</f>
        <v>100</v>
      </c>
      <c r="T84" s="37">
        <f t="shared" ref="T84:U87" si="90">T42+T47+T73+T79+T53</f>
        <v>11340</v>
      </c>
      <c r="U84" s="37">
        <f t="shared" si="90"/>
        <v>11340</v>
      </c>
      <c r="V84" s="37">
        <f>U84/T84*100</f>
        <v>100</v>
      </c>
      <c r="W84" s="37">
        <f t="shared" ref="W84:X87" si="91">W42+W47+W73+W79+W53</f>
        <v>16490.5</v>
      </c>
      <c r="X84" s="37">
        <f t="shared" si="91"/>
        <v>16490.5</v>
      </c>
      <c r="Y84" s="37">
        <f>X84/W84*100</f>
        <v>100</v>
      </c>
      <c r="Z84" s="37">
        <f t="shared" ref="Z84:AA87" si="92">Z42+Z47+Z73+Z79+Z53</f>
        <v>19667.8</v>
      </c>
      <c r="AA84" s="37">
        <f t="shared" si="92"/>
        <v>4776.3</v>
      </c>
      <c r="AB84" s="37">
        <f>AA84/Z84*100</f>
        <v>24.284871719256859</v>
      </c>
      <c r="AC84" s="37">
        <f t="shared" ref="AC84:AD87" si="93">AC42+AC47+AC73+AC79+AC53</f>
        <v>0</v>
      </c>
      <c r="AD84" s="37">
        <f t="shared" si="93"/>
        <v>362.6</v>
      </c>
      <c r="AE84" s="37"/>
      <c r="AF84" s="37">
        <f t="shared" ref="AF84:AG87" si="94">AF42+AF47+AF73+AF79+AF53</f>
        <v>0</v>
      </c>
      <c r="AG84" s="37">
        <f t="shared" si="94"/>
        <v>10878.5</v>
      </c>
      <c r="AH84" s="37"/>
      <c r="AI84" s="37">
        <f t="shared" ref="AI84:AJ87" si="95">AI42+AI47+AI73+AI79+AI53</f>
        <v>0</v>
      </c>
      <c r="AJ84" s="37">
        <f t="shared" si="95"/>
        <v>315.8</v>
      </c>
      <c r="AK84" s="37">
        <f t="shared" ref="AK84" si="96">AK42+AK47+AK73+AK79+AK53</f>
        <v>0</v>
      </c>
      <c r="AL84" s="37">
        <f t="shared" ref="AL84:AM87" si="97">AL42+AL47+AL73+AL79+AL53</f>
        <v>0</v>
      </c>
      <c r="AM84" s="37">
        <f t="shared" si="97"/>
        <v>1236</v>
      </c>
      <c r="AN84" s="37"/>
      <c r="AO84" s="37">
        <f t="shared" ref="AO84:AP87" si="98">AO42+AO47+AO73+AO79+AO53</f>
        <v>0</v>
      </c>
      <c r="AP84" s="37">
        <f t="shared" si="98"/>
        <v>1981.3</v>
      </c>
      <c r="AQ84" s="37"/>
      <c r="AR84" s="33"/>
      <c r="AS84" s="33"/>
    </row>
    <row r="85" spans="1:45" ht="23.45" customHeight="1" x14ac:dyDescent="0.25">
      <c r="A85" s="134"/>
      <c r="B85" s="135"/>
      <c r="C85" s="136"/>
      <c r="D85" s="36" t="s">
        <v>4</v>
      </c>
      <c r="E85" s="37">
        <f t="shared" si="53"/>
        <v>127775.3</v>
      </c>
      <c r="F85" s="37">
        <f t="shared" si="53"/>
        <v>127631.99999999999</v>
      </c>
      <c r="G85" s="37">
        <f>F85/E85*100</f>
        <v>99.887849999178229</v>
      </c>
      <c r="H85" s="37">
        <f t="shared" si="85"/>
        <v>0</v>
      </c>
      <c r="I85" s="37">
        <f t="shared" si="85"/>
        <v>0</v>
      </c>
      <c r="J85" s="37"/>
      <c r="K85" s="37">
        <f t="shared" si="86"/>
        <v>0</v>
      </c>
      <c r="L85" s="37">
        <f t="shared" si="86"/>
        <v>0</v>
      </c>
      <c r="M85" s="37"/>
      <c r="N85" s="37">
        <f t="shared" si="87"/>
        <v>0</v>
      </c>
      <c r="O85" s="37">
        <f t="shared" si="87"/>
        <v>0</v>
      </c>
      <c r="P85" s="37"/>
      <c r="Q85" s="37">
        <f t="shared" si="88"/>
        <v>11156.8</v>
      </c>
      <c r="R85" s="37">
        <f t="shared" si="88"/>
        <v>11156.8</v>
      </c>
      <c r="S85" s="37">
        <f t="shared" si="89"/>
        <v>100</v>
      </c>
      <c r="T85" s="37">
        <f t="shared" si="90"/>
        <v>24659.8</v>
      </c>
      <c r="U85" s="37">
        <f t="shared" si="90"/>
        <v>24659.8</v>
      </c>
      <c r="V85" s="37">
        <f>U85/T85*100</f>
        <v>100</v>
      </c>
      <c r="W85" s="37">
        <f t="shared" si="91"/>
        <v>32919.5</v>
      </c>
      <c r="X85" s="37">
        <f t="shared" si="91"/>
        <v>32919.5</v>
      </c>
      <c r="Y85" s="37">
        <f>X85/W85*100</f>
        <v>100</v>
      </c>
      <c r="Z85" s="37">
        <f t="shared" si="92"/>
        <v>24288.399999999998</v>
      </c>
      <c r="AA85" s="37">
        <f t="shared" si="92"/>
        <v>6087.7</v>
      </c>
      <c r="AB85" s="37">
        <f>AA85/Z85*100</f>
        <v>25.064228191235323</v>
      </c>
      <c r="AC85" s="37">
        <f t="shared" si="93"/>
        <v>0</v>
      </c>
      <c r="AD85" s="37">
        <f t="shared" si="93"/>
        <v>443.2</v>
      </c>
      <c r="AE85" s="37"/>
      <c r="AF85" s="37">
        <f t="shared" si="94"/>
        <v>0</v>
      </c>
      <c r="AG85" s="37">
        <f t="shared" si="94"/>
        <v>13295.9</v>
      </c>
      <c r="AH85" s="37"/>
      <c r="AI85" s="37">
        <f t="shared" si="95"/>
        <v>386</v>
      </c>
      <c r="AJ85" s="37">
        <f t="shared" si="95"/>
        <v>386</v>
      </c>
      <c r="AK85" s="37">
        <f t="shared" ref="AK85" si="99">AK43+AK48+AK74+AK80+AK54</f>
        <v>100</v>
      </c>
      <c r="AL85" s="37">
        <f t="shared" si="97"/>
        <v>34364.800000000003</v>
      </c>
      <c r="AM85" s="37">
        <f t="shared" si="97"/>
        <v>36261.4</v>
      </c>
      <c r="AN85" s="37">
        <f>AM85/AL85*100</f>
        <v>105.51901946177485</v>
      </c>
      <c r="AO85" s="37">
        <f t="shared" si="98"/>
        <v>0</v>
      </c>
      <c r="AP85" s="37">
        <f t="shared" si="98"/>
        <v>2421.6999999999998</v>
      </c>
      <c r="AQ85" s="37"/>
      <c r="AR85" s="33"/>
      <c r="AS85" s="33"/>
    </row>
    <row r="86" spans="1:45" x14ac:dyDescent="0.25">
      <c r="A86" s="134"/>
      <c r="B86" s="135"/>
      <c r="C86" s="136"/>
      <c r="D86" s="36" t="s">
        <v>43</v>
      </c>
      <c r="E86" s="37">
        <f t="shared" si="53"/>
        <v>28522.799999999999</v>
      </c>
      <c r="F86" s="37">
        <f t="shared" si="53"/>
        <v>28522.6</v>
      </c>
      <c r="G86" s="37">
        <f t="shared" ref="G86" si="100">F86/E86*100</f>
        <v>99.999298806568788</v>
      </c>
      <c r="H86" s="37">
        <f t="shared" si="85"/>
        <v>0</v>
      </c>
      <c r="I86" s="37">
        <f t="shared" si="85"/>
        <v>0</v>
      </c>
      <c r="J86" s="37"/>
      <c r="K86" s="37">
        <f t="shared" si="86"/>
        <v>0</v>
      </c>
      <c r="L86" s="37">
        <f t="shared" si="86"/>
        <v>0</v>
      </c>
      <c r="M86" s="37"/>
      <c r="N86" s="37">
        <f t="shared" si="87"/>
        <v>190.5</v>
      </c>
      <c r="O86" s="37">
        <f t="shared" si="87"/>
        <v>190.5</v>
      </c>
      <c r="P86" s="37">
        <f t="shared" ref="P86" si="101">O86/N86*100</f>
        <v>100</v>
      </c>
      <c r="Q86" s="37">
        <f t="shared" si="88"/>
        <v>2231.4</v>
      </c>
      <c r="R86" s="37">
        <f t="shared" si="88"/>
        <v>2231.4</v>
      </c>
      <c r="S86" s="37">
        <f t="shared" si="89"/>
        <v>100</v>
      </c>
      <c r="T86" s="37">
        <f t="shared" si="90"/>
        <v>4000</v>
      </c>
      <c r="U86" s="37">
        <f t="shared" si="90"/>
        <v>4000</v>
      </c>
      <c r="V86" s="37">
        <f t="shared" ref="V86" si="102">U86/T86*100</f>
        <v>100</v>
      </c>
      <c r="W86" s="37">
        <f t="shared" si="91"/>
        <v>5489.9</v>
      </c>
      <c r="X86" s="37">
        <f t="shared" si="91"/>
        <v>5489.9</v>
      </c>
      <c r="Y86" s="37">
        <f t="shared" ref="Y86" si="103">X86/W86*100</f>
        <v>100</v>
      </c>
      <c r="Z86" s="37">
        <f t="shared" si="92"/>
        <v>10426.799999999999</v>
      </c>
      <c r="AA86" s="37">
        <f t="shared" si="92"/>
        <v>1179.4000000000001</v>
      </c>
      <c r="AB86" s="37">
        <f t="shared" ref="AB86" si="104">AA86/Z86*100</f>
        <v>11.311236429201674</v>
      </c>
      <c r="AC86" s="37">
        <f t="shared" si="93"/>
        <v>1553.4</v>
      </c>
      <c r="AD86" s="37">
        <f t="shared" si="93"/>
        <v>89.5</v>
      </c>
      <c r="AE86" s="37">
        <f t="shared" ref="AE86" si="105">AD86/AC86*100</f>
        <v>5.7615552980558773</v>
      </c>
      <c r="AF86" s="37">
        <f t="shared" si="94"/>
        <v>1445.4</v>
      </c>
      <c r="AG86" s="37">
        <f t="shared" si="94"/>
        <v>9442.1999999999989</v>
      </c>
      <c r="AH86" s="37">
        <f t="shared" ref="AH86" si="106">AG86/AF86*100</f>
        <v>653.25861353258597</v>
      </c>
      <c r="AI86" s="37">
        <f t="shared" si="95"/>
        <v>1250.0999999999999</v>
      </c>
      <c r="AJ86" s="37">
        <f t="shared" si="95"/>
        <v>1019.7</v>
      </c>
      <c r="AK86" s="37">
        <f t="shared" ref="AK86" si="107">AJ86/AI86*100</f>
        <v>81.569474442044637</v>
      </c>
      <c r="AL86" s="37">
        <f t="shared" si="97"/>
        <v>1935.3000000000002</v>
      </c>
      <c r="AM86" s="37">
        <f t="shared" si="97"/>
        <v>3109.6</v>
      </c>
      <c r="AN86" s="37">
        <f t="shared" ref="AN86" si="108">AM86/AL86*100</f>
        <v>160.67793107011832</v>
      </c>
      <c r="AO86" s="37">
        <f t="shared" si="98"/>
        <v>0</v>
      </c>
      <c r="AP86" s="37">
        <f t="shared" si="98"/>
        <v>1770.4</v>
      </c>
      <c r="AQ86" s="37"/>
      <c r="AR86" s="33"/>
      <c r="AS86" s="33"/>
    </row>
    <row r="87" spans="1:45" x14ac:dyDescent="0.25">
      <c r="A87" s="134"/>
      <c r="B87" s="135"/>
      <c r="C87" s="136"/>
      <c r="D87" s="36" t="s">
        <v>21</v>
      </c>
      <c r="E87" s="37">
        <f t="shared" si="53"/>
        <v>0</v>
      </c>
      <c r="F87" s="37">
        <f t="shared" si="53"/>
        <v>0</v>
      </c>
      <c r="G87" s="37"/>
      <c r="H87" s="37">
        <f t="shared" si="85"/>
        <v>0</v>
      </c>
      <c r="I87" s="37">
        <f t="shared" si="85"/>
        <v>0</v>
      </c>
      <c r="J87" s="37"/>
      <c r="K87" s="37">
        <f t="shared" si="86"/>
        <v>0</v>
      </c>
      <c r="L87" s="37">
        <f t="shared" si="86"/>
        <v>0</v>
      </c>
      <c r="M87" s="37"/>
      <c r="N87" s="37">
        <f t="shared" si="87"/>
        <v>0</v>
      </c>
      <c r="O87" s="37">
        <f t="shared" si="87"/>
        <v>0</v>
      </c>
      <c r="P87" s="37"/>
      <c r="Q87" s="37">
        <f t="shared" si="88"/>
        <v>0</v>
      </c>
      <c r="R87" s="37">
        <f t="shared" si="88"/>
        <v>0</v>
      </c>
      <c r="S87" s="37"/>
      <c r="T87" s="37">
        <f t="shared" si="90"/>
        <v>0</v>
      </c>
      <c r="U87" s="37">
        <f t="shared" si="90"/>
        <v>0</v>
      </c>
      <c r="V87" s="37"/>
      <c r="W87" s="37">
        <f t="shared" si="91"/>
        <v>0</v>
      </c>
      <c r="X87" s="37">
        <f t="shared" si="91"/>
        <v>0</v>
      </c>
      <c r="Y87" s="37"/>
      <c r="Z87" s="37">
        <f t="shared" si="92"/>
        <v>0</v>
      </c>
      <c r="AA87" s="37">
        <f t="shared" si="92"/>
        <v>0</v>
      </c>
      <c r="AB87" s="37"/>
      <c r="AC87" s="37">
        <f t="shared" si="93"/>
        <v>0</v>
      </c>
      <c r="AD87" s="37">
        <f t="shared" si="93"/>
        <v>0</v>
      </c>
      <c r="AE87" s="37"/>
      <c r="AF87" s="37">
        <f t="shared" si="94"/>
        <v>0</v>
      </c>
      <c r="AG87" s="37">
        <f t="shared" si="94"/>
        <v>0</v>
      </c>
      <c r="AH87" s="37"/>
      <c r="AI87" s="37">
        <f t="shared" si="95"/>
        <v>0</v>
      </c>
      <c r="AJ87" s="37">
        <f t="shared" si="95"/>
        <v>0</v>
      </c>
      <c r="AK87" s="37"/>
      <c r="AL87" s="37">
        <f t="shared" si="97"/>
        <v>0</v>
      </c>
      <c r="AM87" s="37">
        <f t="shared" si="97"/>
        <v>0</v>
      </c>
      <c r="AN87" s="37"/>
      <c r="AO87" s="37">
        <f t="shared" si="98"/>
        <v>0</v>
      </c>
      <c r="AP87" s="37">
        <f t="shared" si="98"/>
        <v>0</v>
      </c>
      <c r="AQ87" s="23"/>
      <c r="AR87" s="33"/>
      <c r="AS87" s="33"/>
    </row>
    <row r="88" spans="1:45" ht="12.75" customHeight="1" x14ac:dyDescent="0.25">
      <c r="A88" s="137"/>
      <c r="B88" s="138"/>
      <c r="C88" s="139"/>
      <c r="D88" s="36" t="s">
        <v>120</v>
      </c>
      <c r="E88" s="37">
        <f t="shared" si="53"/>
        <v>0</v>
      </c>
      <c r="F88" s="37">
        <f t="shared" si="53"/>
        <v>21731.399999999998</v>
      </c>
      <c r="G88" s="37"/>
      <c r="H88" s="37"/>
      <c r="I88" s="37"/>
      <c r="J88" s="37"/>
      <c r="K88" s="37"/>
      <c r="L88" s="37"/>
      <c r="M88" s="37"/>
      <c r="N88" s="37"/>
      <c r="O88" s="37">
        <f>O51+O77</f>
        <v>4230.7</v>
      </c>
      <c r="P88" s="37"/>
      <c r="Q88" s="37"/>
      <c r="R88" s="37">
        <f>R51+R77</f>
        <v>835.4</v>
      </c>
      <c r="S88" s="37"/>
      <c r="T88" s="37"/>
      <c r="U88" s="37">
        <f>U51+U77</f>
        <v>3742.8</v>
      </c>
      <c r="V88" s="37"/>
      <c r="W88" s="37"/>
      <c r="X88" s="37">
        <f>X51+X77</f>
        <v>233.2</v>
      </c>
      <c r="Y88" s="37"/>
      <c r="Z88" s="37"/>
      <c r="AA88" s="37">
        <f>AA51+AA77</f>
        <v>372.8</v>
      </c>
      <c r="AB88" s="37"/>
      <c r="AC88" s="37"/>
      <c r="AD88" s="37">
        <f>AD51+AD77</f>
        <v>352.7</v>
      </c>
      <c r="AE88" s="37"/>
      <c r="AF88" s="37"/>
      <c r="AG88" s="37">
        <f>AG51+AG77</f>
        <v>11367</v>
      </c>
      <c r="AH88" s="37"/>
      <c r="AI88" s="37"/>
      <c r="AJ88" s="37">
        <f>AJ51+AJ77</f>
        <v>437.1</v>
      </c>
      <c r="AK88" s="37"/>
      <c r="AL88" s="37"/>
      <c r="AM88" s="37">
        <f>AM51+AM77</f>
        <v>159.69999999999999</v>
      </c>
      <c r="AN88" s="37"/>
      <c r="AO88" s="37"/>
      <c r="AP88" s="37"/>
      <c r="AQ88" s="23"/>
      <c r="AR88" s="33"/>
      <c r="AS88" s="33"/>
    </row>
    <row r="89" spans="1:45" ht="16.5" customHeight="1" x14ac:dyDescent="0.25">
      <c r="A89" s="35" t="s">
        <v>51</v>
      </c>
      <c r="B89" s="34" t="s">
        <v>8</v>
      </c>
      <c r="C89" s="34"/>
      <c r="D89" s="34"/>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34"/>
      <c r="AQ89" s="34"/>
      <c r="AR89" s="33"/>
      <c r="AS89" s="33"/>
    </row>
    <row r="90" spans="1:45" ht="13.9" customHeight="1" x14ac:dyDescent="0.25">
      <c r="A90" s="127" t="s">
        <v>52</v>
      </c>
      <c r="B90" s="127" t="s">
        <v>88</v>
      </c>
      <c r="C90" s="127" t="s">
        <v>168</v>
      </c>
      <c r="D90" s="35" t="s">
        <v>3</v>
      </c>
      <c r="E90" s="23">
        <f t="shared" ref="E90:F105" si="109">H90+K90+N90+Q90+T90+W90+Z90+AC90+AF90+AI90+AL90+AO90</f>
        <v>45</v>
      </c>
      <c r="F90" s="23">
        <f t="shared" si="109"/>
        <v>45</v>
      </c>
      <c r="G90" s="23">
        <f>F90/E90*100</f>
        <v>100</v>
      </c>
      <c r="H90" s="23">
        <f>H91+H92+H93+H94</f>
        <v>5</v>
      </c>
      <c r="I90" s="23">
        <f>I91+I92+I93+I94</f>
        <v>0</v>
      </c>
      <c r="J90" s="23">
        <f>I90/H90*100</f>
        <v>0</v>
      </c>
      <c r="K90" s="23">
        <f t="shared" ref="K90:AP90" si="110">K91+K92+K93+K94</f>
        <v>0</v>
      </c>
      <c r="L90" s="23">
        <f t="shared" si="110"/>
        <v>0</v>
      </c>
      <c r="M90" s="23"/>
      <c r="N90" s="23">
        <f t="shared" si="110"/>
        <v>0</v>
      </c>
      <c r="O90" s="23">
        <f t="shared" si="110"/>
        <v>5</v>
      </c>
      <c r="P90" s="23"/>
      <c r="Q90" s="23">
        <f t="shared" si="110"/>
        <v>10</v>
      </c>
      <c r="R90" s="23">
        <f t="shared" si="110"/>
        <v>0</v>
      </c>
      <c r="S90" s="23">
        <f>R90/Q90*100</f>
        <v>0</v>
      </c>
      <c r="T90" s="23">
        <f t="shared" si="110"/>
        <v>0</v>
      </c>
      <c r="U90" s="23">
        <f t="shared" si="110"/>
        <v>10</v>
      </c>
      <c r="V90" s="23"/>
      <c r="W90" s="23">
        <f t="shared" si="110"/>
        <v>0</v>
      </c>
      <c r="X90" s="23">
        <f t="shared" si="110"/>
        <v>0</v>
      </c>
      <c r="Y90" s="23"/>
      <c r="Z90" s="23">
        <f t="shared" si="110"/>
        <v>0</v>
      </c>
      <c r="AA90" s="23">
        <f t="shared" si="110"/>
        <v>0</v>
      </c>
      <c r="AB90" s="21"/>
      <c r="AC90" s="23">
        <f t="shared" si="110"/>
        <v>0</v>
      </c>
      <c r="AD90" s="23">
        <f t="shared" si="110"/>
        <v>0</v>
      </c>
      <c r="AE90" s="21"/>
      <c r="AF90" s="23">
        <f t="shared" si="110"/>
        <v>10</v>
      </c>
      <c r="AG90" s="23">
        <f t="shared" si="110"/>
        <v>0</v>
      </c>
      <c r="AH90" s="21"/>
      <c r="AI90" s="23">
        <f t="shared" si="110"/>
        <v>10</v>
      </c>
      <c r="AJ90" s="23">
        <f t="shared" si="110"/>
        <v>0</v>
      </c>
      <c r="AK90" s="23">
        <f>AJ90/AI90*100</f>
        <v>0</v>
      </c>
      <c r="AL90" s="23">
        <f t="shared" si="110"/>
        <v>10</v>
      </c>
      <c r="AM90" s="23">
        <f t="shared" si="110"/>
        <v>19.600000000000001</v>
      </c>
      <c r="AN90" s="23">
        <f>AM90/AL90*100</f>
        <v>196.00000000000003</v>
      </c>
      <c r="AO90" s="23">
        <f t="shared" si="110"/>
        <v>0</v>
      </c>
      <c r="AP90" s="23">
        <f t="shared" si="110"/>
        <v>10.4</v>
      </c>
      <c r="AQ90" s="21"/>
      <c r="AR90" s="33"/>
      <c r="AS90" s="33"/>
    </row>
    <row r="91" spans="1:45" ht="13.5" customHeight="1" x14ac:dyDescent="0.25">
      <c r="A91" s="127"/>
      <c r="B91" s="127"/>
      <c r="C91" s="127"/>
      <c r="D91" s="35" t="s">
        <v>20</v>
      </c>
      <c r="E91" s="23">
        <f t="shared" si="109"/>
        <v>0</v>
      </c>
      <c r="F91" s="23">
        <f t="shared" si="109"/>
        <v>0</v>
      </c>
      <c r="G91" s="23"/>
      <c r="H91" s="23"/>
      <c r="I91" s="23"/>
      <c r="J91" s="23"/>
      <c r="K91" s="23"/>
      <c r="L91" s="23"/>
      <c r="M91" s="23"/>
      <c r="N91" s="23"/>
      <c r="O91" s="23"/>
      <c r="P91" s="23"/>
      <c r="Q91" s="23"/>
      <c r="R91" s="23"/>
      <c r="S91" s="23"/>
      <c r="T91" s="23"/>
      <c r="U91" s="23"/>
      <c r="V91" s="23"/>
      <c r="W91" s="23"/>
      <c r="X91" s="23"/>
      <c r="Y91" s="23"/>
      <c r="Z91" s="23"/>
      <c r="AA91" s="23"/>
      <c r="AB91" s="21"/>
      <c r="AC91" s="23"/>
      <c r="AD91" s="23"/>
      <c r="AE91" s="21"/>
      <c r="AF91" s="23"/>
      <c r="AG91" s="23"/>
      <c r="AH91" s="21"/>
      <c r="AI91" s="23"/>
      <c r="AJ91" s="23"/>
      <c r="AK91" s="23"/>
      <c r="AL91" s="23"/>
      <c r="AM91" s="23"/>
      <c r="AN91" s="23"/>
      <c r="AO91" s="23"/>
      <c r="AP91" s="23"/>
      <c r="AQ91" s="21"/>
      <c r="AR91" s="33"/>
      <c r="AS91" s="33"/>
    </row>
    <row r="92" spans="1:45" ht="15" customHeight="1" x14ac:dyDescent="0.25">
      <c r="A92" s="127"/>
      <c r="B92" s="127"/>
      <c r="C92" s="127"/>
      <c r="D92" s="35" t="s">
        <v>4</v>
      </c>
      <c r="E92" s="23">
        <f t="shared" si="109"/>
        <v>0</v>
      </c>
      <c r="F92" s="23">
        <f t="shared" si="109"/>
        <v>0</v>
      </c>
      <c r="G92" s="23"/>
      <c r="H92" s="23"/>
      <c r="I92" s="23"/>
      <c r="J92" s="23"/>
      <c r="K92" s="23"/>
      <c r="L92" s="23"/>
      <c r="M92" s="23"/>
      <c r="N92" s="23"/>
      <c r="O92" s="23"/>
      <c r="P92" s="23"/>
      <c r="Q92" s="23"/>
      <c r="R92" s="23"/>
      <c r="S92" s="23"/>
      <c r="T92" s="23"/>
      <c r="U92" s="23"/>
      <c r="V92" s="23"/>
      <c r="W92" s="23"/>
      <c r="X92" s="23"/>
      <c r="Y92" s="23"/>
      <c r="Z92" s="23"/>
      <c r="AA92" s="23"/>
      <c r="AB92" s="21"/>
      <c r="AC92" s="23"/>
      <c r="AD92" s="23"/>
      <c r="AE92" s="21"/>
      <c r="AF92" s="23"/>
      <c r="AG92" s="23"/>
      <c r="AH92" s="21"/>
      <c r="AI92" s="23"/>
      <c r="AJ92" s="23"/>
      <c r="AK92" s="23"/>
      <c r="AL92" s="23"/>
      <c r="AM92" s="23"/>
      <c r="AN92" s="23"/>
      <c r="AO92" s="23"/>
      <c r="AP92" s="23"/>
      <c r="AQ92" s="21"/>
      <c r="AR92" s="40"/>
      <c r="AS92" s="40"/>
    </row>
    <row r="93" spans="1:45" ht="84.75" x14ac:dyDescent="0.25">
      <c r="A93" s="127"/>
      <c r="B93" s="127"/>
      <c r="C93" s="127"/>
      <c r="D93" s="35" t="s">
        <v>43</v>
      </c>
      <c r="E93" s="23">
        <f t="shared" si="109"/>
        <v>45</v>
      </c>
      <c r="F93" s="23">
        <f t="shared" si="109"/>
        <v>45</v>
      </c>
      <c r="G93" s="23">
        <f t="shared" ref="G93" si="111">F93/E93*100</f>
        <v>100</v>
      </c>
      <c r="H93" s="23">
        <v>5</v>
      </c>
      <c r="I93" s="23"/>
      <c r="J93" s="23">
        <f t="shared" ref="J93" si="112">I93/H93*100</f>
        <v>0</v>
      </c>
      <c r="K93" s="23"/>
      <c r="L93" s="23"/>
      <c r="M93" s="23"/>
      <c r="N93" s="23"/>
      <c r="O93" s="23">
        <v>5</v>
      </c>
      <c r="P93" s="23"/>
      <c r="Q93" s="23">
        <v>10</v>
      </c>
      <c r="R93" s="23">
        <v>0</v>
      </c>
      <c r="S93" s="23">
        <f t="shared" ref="S93" si="113">R93/Q93*100</f>
        <v>0</v>
      </c>
      <c r="T93" s="23"/>
      <c r="U93" s="23">
        <v>10</v>
      </c>
      <c r="V93" s="23"/>
      <c r="W93" s="23"/>
      <c r="X93" s="23"/>
      <c r="Y93" s="23"/>
      <c r="Z93" s="23"/>
      <c r="AA93" s="23"/>
      <c r="AB93" s="21"/>
      <c r="AC93" s="23"/>
      <c r="AD93" s="23"/>
      <c r="AE93" s="21"/>
      <c r="AF93" s="23">
        <v>10</v>
      </c>
      <c r="AG93" s="23">
        <v>0</v>
      </c>
      <c r="AH93" s="21"/>
      <c r="AI93" s="23">
        <v>10</v>
      </c>
      <c r="AJ93" s="23"/>
      <c r="AK93" s="23">
        <f t="shared" ref="AK93" si="114">AJ93/AI93*100</f>
        <v>0</v>
      </c>
      <c r="AL93" s="23">
        <v>10</v>
      </c>
      <c r="AM93" s="23">
        <v>19.600000000000001</v>
      </c>
      <c r="AN93" s="23">
        <f t="shared" ref="AN93" si="115">AM93/AL93*100</f>
        <v>196.00000000000003</v>
      </c>
      <c r="AO93" s="23"/>
      <c r="AP93" s="23">
        <v>10.4</v>
      </c>
      <c r="AQ93" s="21"/>
      <c r="AR93" s="89" t="s">
        <v>147</v>
      </c>
      <c r="AS93" s="40" t="s">
        <v>210</v>
      </c>
    </row>
    <row r="94" spans="1:45" ht="12" customHeight="1" x14ac:dyDescent="0.25">
      <c r="A94" s="127"/>
      <c r="B94" s="127"/>
      <c r="C94" s="127"/>
      <c r="D94" s="35" t="s">
        <v>21</v>
      </c>
      <c r="E94" s="23">
        <f t="shared" si="109"/>
        <v>0</v>
      </c>
      <c r="F94" s="23">
        <f t="shared" si="109"/>
        <v>0</v>
      </c>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33"/>
      <c r="AS94" s="33"/>
    </row>
    <row r="95" spans="1:45" ht="15" customHeight="1" x14ac:dyDescent="0.25">
      <c r="A95" s="127" t="s">
        <v>53</v>
      </c>
      <c r="B95" s="127" t="s">
        <v>89</v>
      </c>
      <c r="C95" s="127" t="s">
        <v>168</v>
      </c>
      <c r="D95" s="35" t="s">
        <v>3</v>
      </c>
      <c r="E95" s="23">
        <f t="shared" si="109"/>
        <v>453.7</v>
      </c>
      <c r="F95" s="23">
        <f t="shared" si="109"/>
        <v>453.69999999999993</v>
      </c>
      <c r="G95" s="23">
        <f>F95/E95*100</f>
        <v>99.999999999999986</v>
      </c>
      <c r="H95" s="23">
        <f>H96+H97+H98+H99</f>
        <v>126.69999999999999</v>
      </c>
      <c r="I95" s="23">
        <f>I96+I97+I98+I99</f>
        <v>87.1</v>
      </c>
      <c r="J95" s="23">
        <f>I95/H95*100</f>
        <v>68.745067087608518</v>
      </c>
      <c r="K95" s="23">
        <f t="shared" ref="K95:AP95" si="116">K96+K97+K98+K99</f>
        <v>0</v>
      </c>
      <c r="L95" s="23">
        <f t="shared" si="116"/>
        <v>49.5</v>
      </c>
      <c r="M95" s="21"/>
      <c r="N95" s="23">
        <f t="shared" si="116"/>
        <v>0</v>
      </c>
      <c r="O95" s="23">
        <f t="shared" si="116"/>
        <v>-9.9</v>
      </c>
      <c r="P95" s="23"/>
      <c r="Q95" s="23">
        <f t="shared" si="116"/>
        <v>0</v>
      </c>
      <c r="R95" s="23">
        <f t="shared" si="116"/>
        <v>0</v>
      </c>
      <c r="S95" s="23"/>
      <c r="T95" s="23">
        <f t="shared" si="116"/>
        <v>0</v>
      </c>
      <c r="U95" s="23">
        <f t="shared" si="116"/>
        <v>0</v>
      </c>
      <c r="V95" s="23"/>
      <c r="W95" s="23">
        <f t="shared" si="116"/>
        <v>147.20000000000002</v>
      </c>
      <c r="X95" s="23">
        <f t="shared" si="116"/>
        <v>126.1</v>
      </c>
      <c r="Y95" s="23">
        <f>X95/W95*100</f>
        <v>85.665760869565204</v>
      </c>
      <c r="Z95" s="23">
        <f t="shared" si="116"/>
        <v>0</v>
      </c>
      <c r="AA95" s="23">
        <f t="shared" si="116"/>
        <v>-30.5</v>
      </c>
      <c r="AB95" s="23"/>
      <c r="AC95" s="23">
        <f t="shared" si="116"/>
        <v>75.8</v>
      </c>
      <c r="AD95" s="23">
        <f t="shared" si="116"/>
        <v>69.8</v>
      </c>
      <c r="AE95" s="23">
        <f>AD95/AC95*100</f>
        <v>92.084432717678098</v>
      </c>
      <c r="AF95" s="23">
        <f t="shared" si="116"/>
        <v>11.8</v>
      </c>
      <c r="AG95" s="23">
        <f t="shared" si="116"/>
        <v>24.9</v>
      </c>
      <c r="AH95" s="23">
        <f>AG95/AF95*100</f>
        <v>211.01694915254234</v>
      </c>
      <c r="AI95" s="23">
        <f t="shared" si="116"/>
        <v>11.8</v>
      </c>
      <c r="AJ95" s="23">
        <f t="shared" si="116"/>
        <v>28</v>
      </c>
      <c r="AK95" s="23">
        <f>AJ95/AI95*100</f>
        <v>237.28813559322032</v>
      </c>
      <c r="AL95" s="23">
        <f t="shared" si="116"/>
        <v>68.599999999999994</v>
      </c>
      <c r="AM95" s="23">
        <f t="shared" si="116"/>
        <v>8.6</v>
      </c>
      <c r="AN95" s="23">
        <f>AM95/AL95*100</f>
        <v>12.536443148688047</v>
      </c>
      <c r="AO95" s="23">
        <f t="shared" si="116"/>
        <v>11.8</v>
      </c>
      <c r="AP95" s="23">
        <f t="shared" si="116"/>
        <v>100.1</v>
      </c>
      <c r="AQ95" s="23">
        <f>AP95/AO95*100</f>
        <v>848.30508474576266</v>
      </c>
      <c r="AR95" s="33"/>
      <c r="AS95" s="33"/>
    </row>
    <row r="96" spans="1:45" ht="13.9" customHeight="1" x14ac:dyDescent="0.25">
      <c r="A96" s="127"/>
      <c r="B96" s="127"/>
      <c r="C96" s="127"/>
      <c r="D96" s="35" t="s">
        <v>20</v>
      </c>
      <c r="E96" s="23">
        <f t="shared" si="109"/>
        <v>0</v>
      </c>
      <c r="F96" s="23">
        <f t="shared" si="109"/>
        <v>0</v>
      </c>
      <c r="G96" s="23"/>
      <c r="H96" s="23"/>
      <c r="I96" s="23"/>
      <c r="J96" s="23"/>
      <c r="K96" s="23"/>
      <c r="L96" s="23"/>
      <c r="M96" s="21"/>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33"/>
      <c r="AS96" s="33"/>
    </row>
    <row r="97" spans="1:45" ht="26.45" customHeight="1" x14ac:dyDescent="0.25">
      <c r="A97" s="127"/>
      <c r="B97" s="127"/>
      <c r="C97" s="127"/>
      <c r="D97" s="35" t="s">
        <v>4</v>
      </c>
      <c r="E97" s="23">
        <f t="shared" si="109"/>
        <v>0</v>
      </c>
      <c r="F97" s="23">
        <f t="shared" si="109"/>
        <v>0</v>
      </c>
      <c r="G97" s="23"/>
      <c r="H97" s="23"/>
      <c r="I97" s="23"/>
      <c r="J97" s="23"/>
      <c r="K97" s="23"/>
      <c r="L97" s="23"/>
      <c r="M97" s="21"/>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33"/>
      <c r="AS97" s="33"/>
    </row>
    <row r="98" spans="1:45" ht="208.15" customHeight="1" x14ac:dyDescent="0.25">
      <c r="A98" s="127"/>
      <c r="B98" s="127"/>
      <c r="C98" s="127"/>
      <c r="D98" s="35" t="s">
        <v>43</v>
      </c>
      <c r="E98" s="23">
        <f t="shared" si="109"/>
        <v>453.7</v>
      </c>
      <c r="F98" s="23">
        <f t="shared" si="109"/>
        <v>453.69999999999993</v>
      </c>
      <c r="G98" s="23">
        <f t="shared" ref="G98" si="117">F98/E98*100</f>
        <v>99.999999999999986</v>
      </c>
      <c r="H98" s="23">
        <f>485.2-358.5</f>
        <v>126.69999999999999</v>
      </c>
      <c r="I98" s="23">
        <v>87.1</v>
      </c>
      <c r="J98" s="23">
        <f t="shared" ref="J98" si="118">I98/H98*100</f>
        <v>68.745067087608518</v>
      </c>
      <c r="K98" s="23"/>
      <c r="L98" s="23">
        <v>49.5</v>
      </c>
      <c r="M98" s="21"/>
      <c r="N98" s="23"/>
      <c r="O98" s="23">
        <v>-9.9</v>
      </c>
      <c r="P98" s="23"/>
      <c r="Q98" s="23"/>
      <c r="R98" s="23">
        <v>0</v>
      </c>
      <c r="S98" s="23"/>
      <c r="T98" s="23"/>
      <c r="U98" s="23">
        <v>0</v>
      </c>
      <c r="V98" s="23"/>
      <c r="W98" s="23">
        <f>147.8+17.8-18.4</f>
        <v>147.20000000000002</v>
      </c>
      <c r="X98" s="23">
        <v>126.1</v>
      </c>
      <c r="Y98" s="23">
        <f t="shared" ref="Y98" si="119">X98/W98*100</f>
        <v>85.665760869565204</v>
      </c>
      <c r="Z98" s="23"/>
      <c r="AA98" s="23">
        <v>-30.5</v>
      </c>
      <c r="AB98" s="23"/>
      <c r="AC98" s="23">
        <v>75.8</v>
      </c>
      <c r="AD98" s="23">
        <v>69.8</v>
      </c>
      <c r="AE98" s="23">
        <f t="shared" ref="AE98" si="120">AD98/AC98*100</f>
        <v>92.084432717678098</v>
      </c>
      <c r="AF98" s="23">
        <v>11.8</v>
      </c>
      <c r="AG98" s="23">
        <v>24.9</v>
      </c>
      <c r="AH98" s="23">
        <f t="shared" ref="AH98" si="121">AG98/AF98*100</f>
        <v>211.01694915254234</v>
      </c>
      <c r="AI98" s="23">
        <v>11.8</v>
      </c>
      <c r="AJ98" s="23">
        <v>28</v>
      </c>
      <c r="AK98" s="23">
        <f t="shared" ref="AK98" si="122">AJ98/AI98*100</f>
        <v>237.28813559322032</v>
      </c>
      <c r="AL98" s="23">
        <v>68.599999999999994</v>
      </c>
      <c r="AM98" s="23">
        <v>8.6</v>
      </c>
      <c r="AN98" s="23">
        <f t="shared" ref="AN98" si="123">AM98/AL98*100</f>
        <v>12.536443148688047</v>
      </c>
      <c r="AO98" s="23">
        <v>11.8</v>
      </c>
      <c r="AP98" s="23">
        <v>100.1</v>
      </c>
      <c r="AQ98" s="23">
        <f t="shared" ref="AQ98" si="124">AP98/AO98*100</f>
        <v>848.30508474576266</v>
      </c>
      <c r="AR98" s="55" t="s">
        <v>192</v>
      </c>
      <c r="AS98" s="89" t="s">
        <v>210</v>
      </c>
    </row>
    <row r="99" spans="1:45" ht="14.45" customHeight="1" x14ac:dyDescent="0.25">
      <c r="A99" s="127"/>
      <c r="B99" s="127"/>
      <c r="C99" s="127"/>
      <c r="D99" s="35" t="s">
        <v>21</v>
      </c>
      <c r="E99" s="23">
        <f t="shared" si="109"/>
        <v>0</v>
      </c>
      <c r="F99" s="23">
        <f t="shared" si="109"/>
        <v>0</v>
      </c>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33"/>
      <c r="AS99" s="33"/>
    </row>
    <row r="100" spans="1:45" ht="13.15" customHeight="1" x14ac:dyDescent="0.25">
      <c r="A100" s="127" t="s">
        <v>54</v>
      </c>
      <c r="B100" s="127" t="s">
        <v>90</v>
      </c>
      <c r="C100" s="127" t="s">
        <v>168</v>
      </c>
      <c r="D100" s="35" t="s">
        <v>3</v>
      </c>
      <c r="E100" s="23">
        <f t="shared" si="109"/>
        <v>0</v>
      </c>
      <c r="F100" s="23">
        <f t="shared" si="109"/>
        <v>0</v>
      </c>
      <c r="G100" s="23"/>
      <c r="H100" s="23">
        <f>H101+H102+H103+H104</f>
        <v>0</v>
      </c>
      <c r="I100" s="23"/>
      <c r="J100" s="23"/>
      <c r="K100" s="23">
        <f t="shared" ref="K100:AO100" si="125">K101+K102+K103+K104</f>
        <v>0</v>
      </c>
      <c r="L100" s="23"/>
      <c r="M100" s="23"/>
      <c r="N100" s="23">
        <f t="shared" si="125"/>
        <v>0</v>
      </c>
      <c r="O100" s="23"/>
      <c r="P100" s="23"/>
      <c r="Q100" s="23">
        <f t="shared" si="125"/>
        <v>0</v>
      </c>
      <c r="R100" s="23"/>
      <c r="S100" s="23"/>
      <c r="T100" s="23">
        <f t="shared" si="125"/>
        <v>0</v>
      </c>
      <c r="U100" s="23"/>
      <c r="V100" s="23"/>
      <c r="W100" s="23">
        <f t="shared" si="125"/>
        <v>0</v>
      </c>
      <c r="X100" s="23">
        <f t="shared" si="125"/>
        <v>0</v>
      </c>
      <c r="Y100" s="23"/>
      <c r="Z100" s="23">
        <f t="shared" si="125"/>
        <v>0</v>
      </c>
      <c r="AA100" s="23">
        <f t="shared" si="125"/>
        <v>0</v>
      </c>
      <c r="AB100" s="23"/>
      <c r="AC100" s="23">
        <f t="shared" si="125"/>
        <v>0</v>
      </c>
      <c r="AD100" s="23"/>
      <c r="AE100" s="23"/>
      <c r="AF100" s="23">
        <f t="shared" si="125"/>
        <v>0</v>
      </c>
      <c r="AG100" s="23"/>
      <c r="AH100" s="23"/>
      <c r="AI100" s="23">
        <f t="shared" si="125"/>
        <v>0</v>
      </c>
      <c r="AJ100" s="23"/>
      <c r="AK100" s="23"/>
      <c r="AL100" s="23">
        <f t="shared" si="125"/>
        <v>0</v>
      </c>
      <c r="AM100" s="23"/>
      <c r="AN100" s="23"/>
      <c r="AO100" s="23">
        <f t="shared" si="125"/>
        <v>0</v>
      </c>
      <c r="AP100" s="23"/>
      <c r="AQ100" s="23"/>
      <c r="AR100" s="33"/>
      <c r="AS100" s="33"/>
    </row>
    <row r="101" spans="1:45" ht="12.6" customHeight="1" x14ac:dyDescent="0.25">
      <c r="A101" s="127"/>
      <c r="B101" s="127"/>
      <c r="C101" s="127"/>
      <c r="D101" s="35" t="s">
        <v>20</v>
      </c>
      <c r="E101" s="23">
        <f t="shared" si="109"/>
        <v>0</v>
      </c>
      <c r="F101" s="23">
        <f t="shared" si="109"/>
        <v>0</v>
      </c>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33"/>
      <c r="AS101" s="33"/>
    </row>
    <row r="102" spans="1:45" ht="24" x14ac:dyDescent="0.25">
      <c r="A102" s="127"/>
      <c r="B102" s="127"/>
      <c r="C102" s="127"/>
      <c r="D102" s="35" t="s">
        <v>4</v>
      </c>
      <c r="E102" s="23">
        <f t="shared" si="109"/>
        <v>0</v>
      </c>
      <c r="F102" s="23">
        <f t="shared" si="109"/>
        <v>0</v>
      </c>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33"/>
      <c r="AS102" s="33"/>
    </row>
    <row r="103" spans="1:45" ht="24.6" customHeight="1" x14ac:dyDescent="0.25">
      <c r="A103" s="127"/>
      <c r="B103" s="127"/>
      <c r="C103" s="127"/>
      <c r="D103" s="35" t="s">
        <v>43</v>
      </c>
      <c r="E103" s="23">
        <f t="shared" si="109"/>
        <v>0</v>
      </c>
      <c r="F103" s="23">
        <f t="shared" si="109"/>
        <v>0</v>
      </c>
      <c r="G103" s="23"/>
      <c r="H103" s="23"/>
      <c r="I103" s="23"/>
      <c r="J103" s="23"/>
      <c r="K103" s="23"/>
      <c r="L103" s="23"/>
      <c r="M103" s="23"/>
      <c r="N103" s="23"/>
      <c r="O103" s="23"/>
      <c r="P103" s="23"/>
      <c r="Q103" s="23"/>
      <c r="R103" s="23"/>
      <c r="S103" s="23"/>
      <c r="T103" s="23"/>
      <c r="U103" s="23"/>
      <c r="V103" s="23"/>
      <c r="W103" s="23">
        <f>24-24</f>
        <v>0</v>
      </c>
      <c r="X103" s="23">
        <v>0</v>
      </c>
      <c r="Y103" s="23"/>
      <c r="Z103" s="23"/>
      <c r="AA103" s="23"/>
      <c r="AB103" s="23"/>
      <c r="AC103" s="23"/>
      <c r="AD103" s="23"/>
      <c r="AE103" s="23"/>
      <c r="AF103" s="23"/>
      <c r="AG103" s="23"/>
      <c r="AH103" s="23"/>
      <c r="AI103" s="23"/>
      <c r="AJ103" s="23"/>
      <c r="AK103" s="23"/>
      <c r="AL103" s="23"/>
      <c r="AM103" s="23"/>
      <c r="AN103" s="23"/>
      <c r="AO103" s="23"/>
      <c r="AP103" s="23"/>
      <c r="AQ103" s="23"/>
      <c r="AR103" s="33"/>
      <c r="AS103" s="89"/>
    </row>
    <row r="104" spans="1:45" ht="15.75" customHeight="1" x14ac:dyDescent="0.25">
      <c r="A104" s="127"/>
      <c r="B104" s="127"/>
      <c r="C104" s="127"/>
      <c r="D104" s="35" t="s">
        <v>21</v>
      </c>
      <c r="E104" s="23">
        <f t="shared" si="109"/>
        <v>0</v>
      </c>
      <c r="F104" s="23">
        <f t="shared" si="109"/>
        <v>0</v>
      </c>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33"/>
      <c r="AS104" s="33"/>
    </row>
    <row r="105" spans="1:45" ht="12" customHeight="1" x14ac:dyDescent="0.25">
      <c r="A105" s="127" t="s">
        <v>55</v>
      </c>
      <c r="B105" s="127" t="s">
        <v>91</v>
      </c>
      <c r="C105" s="127" t="s">
        <v>168</v>
      </c>
      <c r="D105" s="35" t="s">
        <v>3</v>
      </c>
      <c r="E105" s="23">
        <f t="shared" si="109"/>
        <v>100.4</v>
      </c>
      <c r="F105" s="23">
        <f t="shared" si="109"/>
        <v>100.4</v>
      </c>
      <c r="G105" s="23">
        <f>F105/E105*100</f>
        <v>100</v>
      </c>
      <c r="H105" s="23">
        <f>H106+H107+H108+H109</f>
        <v>0</v>
      </c>
      <c r="I105" s="23"/>
      <c r="J105" s="21"/>
      <c r="K105" s="23">
        <f t="shared" ref="K105:AO105" si="126">K106+K107+K108+K109</f>
        <v>0</v>
      </c>
      <c r="L105" s="23">
        <f t="shared" si="126"/>
        <v>0</v>
      </c>
      <c r="M105" s="23"/>
      <c r="N105" s="23">
        <f t="shared" si="126"/>
        <v>7</v>
      </c>
      <c r="O105" s="23">
        <f t="shared" si="126"/>
        <v>7</v>
      </c>
      <c r="P105" s="23">
        <f>O105/N105*100</f>
        <v>100</v>
      </c>
      <c r="Q105" s="23">
        <f t="shared" si="126"/>
        <v>8</v>
      </c>
      <c r="R105" s="23">
        <f t="shared" si="126"/>
        <v>8</v>
      </c>
      <c r="S105" s="23">
        <f>R105/Q105*100</f>
        <v>100</v>
      </c>
      <c r="T105" s="23">
        <f t="shared" si="126"/>
        <v>85.4</v>
      </c>
      <c r="U105" s="23">
        <f t="shared" si="126"/>
        <v>85.4</v>
      </c>
      <c r="V105" s="23">
        <f>U105/T105*100</f>
        <v>100</v>
      </c>
      <c r="W105" s="23">
        <f t="shared" si="126"/>
        <v>0</v>
      </c>
      <c r="X105" s="23">
        <f t="shared" si="126"/>
        <v>0</v>
      </c>
      <c r="Y105" s="23"/>
      <c r="Z105" s="23">
        <f t="shared" si="126"/>
        <v>0</v>
      </c>
      <c r="AA105" s="23">
        <f t="shared" si="126"/>
        <v>0</v>
      </c>
      <c r="AB105" s="23"/>
      <c r="AC105" s="23">
        <f t="shared" si="126"/>
        <v>0</v>
      </c>
      <c r="AD105" s="23">
        <f t="shared" si="126"/>
        <v>0</v>
      </c>
      <c r="AE105" s="23"/>
      <c r="AF105" s="23">
        <f t="shared" si="126"/>
        <v>0</v>
      </c>
      <c r="AG105" s="23">
        <f t="shared" si="126"/>
        <v>0</v>
      </c>
      <c r="AH105" s="23"/>
      <c r="AI105" s="23">
        <f t="shared" si="126"/>
        <v>0</v>
      </c>
      <c r="AJ105" s="23">
        <f t="shared" si="126"/>
        <v>0</v>
      </c>
      <c r="AK105" s="23"/>
      <c r="AL105" s="23">
        <f t="shared" si="126"/>
        <v>0</v>
      </c>
      <c r="AM105" s="23">
        <f t="shared" si="126"/>
        <v>0</v>
      </c>
      <c r="AN105" s="23"/>
      <c r="AO105" s="23">
        <f t="shared" si="126"/>
        <v>0</v>
      </c>
      <c r="AP105" s="23"/>
      <c r="AQ105" s="21"/>
      <c r="AR105" s="33"/>
      <c r="AS105" s="33"/>
    </row>
    <row r="106" spans="1:45" x14ac:dyDescent="0.25">
      <c r="A106" s="127"/>
      <c r="B106" s="127"/>
      <c r="C106" s="127"/>
      <c r="D106" s="35" t="s">
        <v>20</v>
      </c>
      <c r="E106" s="23">
        <f t="shared" ref="E106:F144" si="127">H106+K106+N106+Q106+T106+W106+Z106+AC106+AF106+AI106+AL106+AO106</f>
        <v>0</v>
      </c>
      <c r="F106" s="23">
        <f t="shared" si="127"/>
        <v>0</v>
      </c>
      <c r="G106" s="23"/>
      <c r="H106" s="23"/>
      <c r="I106" s="23"/>
      <c r="J106" s="21"/>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1"/>
      <c r="AR106" s="33"/>
      <c r="AS106" s="33"/>
    </row>
    <row r="107" spans="1:45" ht="24" x14ac:dyDescent="0.25">
      <c r="A107" s="127"/>
      <c r="B107" s="127"/>
      <c r="C107" s="127"/>
      <c r="D107" s="35" t="s">
        <v>4</v>
      </c>
      <c r="E107" s="23">
        <f t="shared" si="127"/>
        <v>0</v>
      </c>
      <c r="F107" s="23">
        <f t="shared" si="127"/>
        <v>0</v>
      </c>
      <c r="G107" s="23"/>
      <c r="H107" s="57"/>
      <c r="I107" s="57"/>
      <c r="J107" s="21"/>
      <c r="K107" s="23"/>
      <c r="L107" s="57"/>
      <c r="M107" s="23"/>
      <c r="N107" s="23"/>
      <c r="O107" s="23"/>
      <c r="P107" s="23"/>
      <c r="Q107" s="23"/>
      <c r="R107" s="23"/>
      <c r="S107" s="23"/>
      <c r="T107" s="23"/>
      <c r="U107" s="23"/>
      <c r="V107" s="23"/>
      <c r="W107" s="23"/>
      <c r="X107" s="23"/>
      <c r="Y107" s="23"/>
      <c r="Z107" s="23"/>
      <c r="AA107" s="23"/>
      <c r="AB107" s="23"/>
      <c r="AC107" s="23"/>
      <c r="AD107" s="23"/>
      <c r="AE107" s="23"/>
      <c r="AF107" s="23"/>
      <c r="AG107" s="57"/>
      <c r="AH107" s="23"/>
      <c r="AI107" s="57"/>
      <c r="AJ107" s="23">
        <v>0</v>
      </c>
      <c r="AK107" s="23"/>
      <c r="AL107" s="23"/>
      <c r="AM107" s="57"/>
      <c r="AN107" s="23"/>
      <c r="AO107" s="57"/>
      <c r="AP107" s="57"/>
      <c r="AQ107" s="21"/>
      <c r="AR107" s="40"/>
      <c r="AS107" s="40"/>
    </row>
    <row r="108" spans="1:45" ht="25.9" customHeight="1" x14ac:dyDescent="0.25">
      <c r="A108" s="127"/>
      <c r="B108" s="127"/>
      <c r="C108" s="127"/>
      <c r="D108" s="35" t="s">
        <v>43</v>
      </c>
      <c r="E108" s="23">
        <f t="shared" si="127"/>
        <v>100.4</v>
      </c>
      <c r="F108" s="23">
        <f t="shared" si="127"/>
        <v>100.4</v>
      </c>
      <c r="G108" s="23">
        <f t="shared" ref="G108" si="128">F108/E108*100</f>
        <v>100</v>
      </c>
      <c r="H108" s="23"/>
      <c r="I108" s="23"/>
      <c r="J108" s="21"/>
      <c r="K108" s="23"/>
      <c r="L108" s="23"/>
      <c r="M108" s="23"/>
      <c r="N108" s="23">
        <f>15-8</f>
        <v>7</v>
      </c>
      <c r="O108" s="23">
        <v>7</v>
      </c>
      <c r="P108" s="23">
        <f t="shared" ref="P108" si="129">O108/N108*100</f>
        <v>100</v>
      </c>
      <c r="Q108" s="23">
        <v>8</v>
      </c>
      <c r="R108" s="23">
        <v>8</v>
      </c>
      <c r="S108" s="23">
        <f t="shared" ref="S108" si="130">R108/Q108*100</f>
        <v>100</v>
      </c>
      <c r="T108" s="23">
        <f>100-14.6</f>
        <v>85.4</v>
      </c>
      <c r="U108" s="23">
        <v>85.4</v>
      </c>
      <c r="V108" s="23">
        <f t="shared" ref="V108" si="131">U108/T108*100</f>
        <v>100</v>
      </c>
      <c r="W108" s="23"/>
      <c r="X108" s="23"/>
      <c r="Y108" s="23"/>
      <c r="Z108" s="23">
        <f>100-100</f>
        <v>0</v>
      </c>
      <c r="AA108" s="23">
        <v>0</v>
      </c>
      <c r="AB108" s="23"/>
      <c r="AC108" s="23"/>
      <c r="AD108" s="23"/>
      <c r="AE108" s="23"/>
      <c r="AF108" s="23"/>
      <c r="AG108" s="23"/>
      <c r="AH108" s="23"/>
      <c r="AI108" s="23"/>
      <c r="AJ108" s="23">
        <v>0</v>
      </c>
      <c r="AK108" s="23"/>
      <c r="AL108" s="23"/>
      <c r="AM108" s="23"/>
      <c r="AN108" s="23"/>
      <c r="AO108" s="23"/>
      <c r="AP108" s="23"/>
      <c r="AQ108" s="21"/>
      <c r="AR108" s="89" t="s">
        <v>152</v>
      </c>
      <c r="AS108" s="89"/>
    </row>
    <row r="109" spans="1:45" ht="15.75" customHeight="1" x14ac:dyDescent="0.25">
      <c r="A109" s="127"/>
      <c r="B109" s="127"/>
      <c r="C109" s="127"/>
      <c r="D109" s="35" t="s">
        <v>21</v>
      </c>
      <c r="E109" s="23">
        <f t="shared" si="127"/>
        <v>0</v>
      </c>
      <c r="F109" s="23">
        <f t="shared" si="127"/>
        <v>0</v>
      </c>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33"/>
      <c r="AS109" s="33"/>
    </row>
    <row r="110" spans="1:45" ht="15.75" customHeight="1" x14ac:dyDescent="0.25">
      <c r="A110" s="127" t="s">
        <v>56</v>
      </c>
      <c r="B110" s="127" t="s">
        <v>92</v>
      </c>
      <c r="C110" s="127" t="s">
        <v>168</v>
      </c>
      <c r="D110" s="35" t="s">
        <v>3</v>
      </c>
      <c r="E110" s="23">
        <f>H110+K110+N110+Q110+T110+W110+Z110+AC110+AF110+AI110+AL110+AO110</f>
        <v>10</v>
      </c>
      <c r="F110" s="23">
        <f>I110+L110+O110+R110+U110+X110+AA110+AD110+AG110+AJ110+AM110+AP110</f>
        <v>10</v>
      </c>
      <c r="G110" s="23">
        <f>F110/E110*100</f>
        <v>100</v>
      </c>
      <c r="H110" s="23">
        <f>H111+H112+H113+H114</f>
        <v>0</v>
      </c>
      <c r="I110" s="23"/>
      <c r="J110" s="21"/>
      <c r="K110" s="23">
        <f t="shared" ref="K110:AP110" si="132">K111+K112+K113+K114</f>
        <v>0</v>
      </c>
      <c r="L110" s="23"/>
      <c r="M110" s="21"/>
      <c r="N110" s="23">
        <f t="shared" si="132"/>
        <v>0</v>
      </c>
      <c r="O110" s="23"/>
      <c r="P110" s="21"/>
      <c r="Q110" s="23">
        <f t="shared" si="132"/>
        <v>0</v>
      </c>
      <c r="R110" s="23">
        <f t="shared" si="132"/>
        <v>0</v>
      </c>
      <c r="S110" s="21"/>
      <c r="T110" s="23">
        <f t="shared" si="132"/>
        <v>0</v>
      </c>
      <c r="U110" s="23"/>
      <c r="V110" s="21"/>
      <c r="W110" s="23">
        <f t="shared" si="132"/>
        <v>0</v>
      </c>
      <c r="X110" s="23">
        <f t="shared" si="132"/>
        <v>0</v>
      </c>
      <c r="Y110" s="21"/>
      <c r="Z110" s="23">
        <f t="shared" si="132"/>
        <v>0</v>
      </c>
      <c r="AA110" s="23">
        <f t="shared" si="132"/>
        <v>0</v>
      </c>
      <c r="AB110" s="21"/>
      <c r="AC110" s="23">
        <f t="shared" si="132"/>
        <v>0</v>
      </c>
      <c r="AD110" s="23"/>
      <c r="AE110" s="21"/>
      <c r="AF110" s="23">
        <f>AF111+AF112+AF113+AF114</f>
        <v>0</v>
      </c>
      <c r="AG110" s="23">
        <f>AG111+AG112+AG113+AG114</f>
        <v>0</v>
      </c>
      <c r="AH110" s="23"/>
      <c r="AI110" s="23">
        <f t="shared" si="132"/>
        <v>0</v>
      </c>
      <c r="AJ110" s="23"/>
      <c r="AK110" s="21"/>
      <c r="AL110" s="23">
        <f t="shared" si="132"/>
        <v>10</v>
      </c>
      <c r="AM110" s="23">
        <f t="shared" si="132"/>
        <v>0</v>
      </c>
      <c r="AN110" s="23">
        <f>AM110/AL110*100</f>
        <v>0</v>
      </c>
      <c r="AO110" s="23">
        <f t="shared" si="132"/>
        <v>0</v>
      </c>
      <c r="AP110" s="23">
        <f t="shared" si="132"/>
        <v>10</v>
      </c>
      <c r="AQ110" s="21"/>
      <c r="AR110" s="33"/>
      <c r="AS110" s="33"/>
    </row>
    <row r="111" spans="1:45" x14ac:dyDescent="0.25">
      <c r="A111" s="127"/>
      <c r="B111" s="127"/>
      <c r="C111" s="127"/>
      <c r="D111" s="35" t="s">
        <v>20</v>
      </c>
      <c r="E111" s="23">
        <f t="shared" si="127"/>
        <v>0</v>
      </c>
      <c r="F111" s="23">
        <f t="shared" si="127"/>
        <v>0</v>
      </c>
      <c r="G111" s="23"/>
      <c r="H111" s="23"/>
      <c r="I111" s="23"/>
      <c r="J111" s="21"/>
      <c r="K111" s="23"/>
      <c r="L111" s="23"/>
      <c r="M111" s="21"/>
      <c r="N111" s="23"/>
      <c r="O111" s="23"/>
      <c r="P111" s="21"/>
      <c r="Q111" s="23"/>
      <c r="R111" s="23"/>
      <c r="S111" s="21"/>
      <c r="T111" s="23"/>
      <c r="U111" s="23"/>
      <c r="V111" s="21"/>
      <c r="W111" s="23"/>
      <c r="X111" s="23"/>
      <c r="Y111" s="21"/>
      <c r="Z111" s="23"/>
      <c r="AA111" s="23"/>
      <c r="AB111" s="21"/>
      <c r="AC111" s="23"/>
      <c r="AD111" s="23"/>
      <c r="AE111" s="21"/>
      <c r="AF111" s="23"/>
      <c r="AG111" s="23"/>
      <c r="AH111" s="23"/>
      <c r="AI111" s="23"/>
      <c r="AJ111" s="23"/>
      <c r="AK111" s="21"/>
      <c r="AL111" s="23"/>
      <c r="AM111" s="23"/>
      <c r="AN111" s="23"/>
      <c r="AO111" s="23"/>
      <c r="AP111" s="23"/>
      <c r="AQ111" s="21"/>
      <c r="AR111" s="33"/>
      <c r="AS111" s="33"/>
    </row>
    <row r="112" spans="1:45" ht="24" x14ac:dyDescent="0.25">
      <c r="A112" s="127"/>
      <c r="B112" s="127"/>
      <c r="C112" s="127"/>
      <c r="D112" s="35" t="s">
        <v>4</v>
      </c>
      <c r="E112" s="23">
        <f t="shared" si="127"/>
        <v>0</v>
      </c>
      <c r="F112" s="23">
        <f t="shared" si="127"/>
        <v>0</v>
      </c>
      <c r="G112" s="23"/>
      <c r="H112" s="23"/>
      <c r="I112" s="23"/>
      <c r="J112" s="21"/>
      <c r="K112" s="23"/>
      <c r="L112" s="23"/>
      <c r="M112" s="21"/>
      <c r="N112" s="23"/>
      <c r="O112" s="23"/>
      <c r="P112" s="21"/>
      <c r="Q112" s="23"/>
      <c r="R112" s="23"/>
      <c r="S112" s="21"/>
      <c r="T112" s="23"/>
      <c r="U112" s="23"/>
      <c r="V112" s="21"/>
      <c r="W112" s="23"/>
      <c r="X112" s="23"/>
      <c r="Y112" s="21"/>
      <c r="Z112" s="23"/>
      <c r="AA112" s="23"/>
      <c r="AB112" s="21"/>
      <c r="AC112" s="23"/>
      <c r="AD112" s="23"/>
      <c r="AE112" s="21"/>
      <c r="AF112" s="23"/>
      <c r="AG112" s="23"/>
      <c r="AH112" s="23"/>
      <c r="AI112" s="23"/>
      <c r="AJ112" s="23"/>
      <c r="AK112" s="21"/>
      <c r="AL112" s="23"/>
      <c r="AM112" s="23"/>
      <c r="AN112" s="23"/>
      <c r="AO112" s="23"/>
      <c r="AP112" s="23"/>
      <c r="AQ112" s="21"/>
      <c r="AR112" s="33"/>
      <c r="AS112" s="33"/>
    </row>
    <row r="113" spans="1:45" ht="24.75" x14ac:dyDescent="0.25">
      <c r="A113" s="127"/>
      <c r="B113" s="127"/>
      <c r="C113" s="127"/>
      <c r="D113" s="35" t="s">
        <v>43</v>
      </c>
      <c r="E113" s="23">
        <f t="shared" si="127"/>
        <v>10</v>
      </c>
      <c r="F113" s="23">
        <f t="shared" si="127"/>
        <v>10</v>
      </c>
      <c r="G113" s="23">
        <f t="shared" ref="G113" si="133">F113/E113*100</f>
        <v>100</v>
      </c>
      <c r="H113" s="23"/>
      <c r="I113" s="23"/>
      <c r="J113" s="21"/>
      <c r="K113" s="23"/>
      <c r="L113" s="23"/>
      <c r="M113" s="21"/>
      <c r="N113" s="23"/>
      <c r="O113" s="23"/>
      <c r="P113" s="21"/>
      <c r="Q113" s="23">
        <f>42.5-42.5</f>
        <v>0</v>
      </c>
      <c r="R113" s="23"/>
      <c r="S113" s="21"/>
      <c r="T113" s="23"/>
      <c r="U113" s="23"/>
      <c r="V113" s="21"/>
      <c r="W113" s="23"/>
      <c r="X113" s="23"/>
      <c r="Y113" s="21"/>
      <c r="Z113" s="23"/>
      <c r="AA113" s="23"/>
      <c r="AB113" s="21"/>
      <c r="AC113" s="23"/>
      <c r="AD113" s="23"/>
      <c r="AE113" s="21"/>
      <c r="AF113" s="23"/>
      <c r="AG113" s="23"/>
      <c r="AH113" s="23"/>
      <c r="AI113" s="23"/>
      <c r="AJ113" s="23"/>
      <c r="AK113" s="21"/>
      <c r="AL113" s="23">
        <v>10</v>
      </c>
      <c r="AM113" s="23">
        <v>0</v>
      </c>
      <c r="AN113" s="23">
        <f t="shared" ref="AN113" si="134">AM113/AL113*100</f>
        <v>0</v>
      </c>
      <c r="AO113" s="23"/>
      <c r="AP113" s="23">
        <v>10</v>
      </c>
      <c r="AQ113" s="21"/>
      <c r="AR113" s="40" t="s">
        <v>193</v>
      </c>
      <c r="AS113" s="89"/>
    </row>
    <row r="114" spans="1:45" ht="15.75" customHeight="1" x14ac:dyDescent="0.25">
      <c r="A114" s="127"/>
      <c r="B114" s="127"/>
      <c r="C114" s="127"/>
      <c r="D114" s="35" t="s">
        <v>21</v>
      </c>
      <c r="E114" s="23">
        <f t="shared" si="127"/>
        <v>0</v>
      </c>
      <c r="F114" s="23">
        <f t="shared" si="127"/>
        <v>0</v>
      </c>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33"/>
      <c r="AS114" s="33"/>
    </row>
    <row r="115" spans="1:45" ht="12.6" customHeight="1" x14ac:dyDescent="0.25">
      <c r="A115" s="127" t="s">
        <v>57</v>
      </c>
      <c r="B115" s="127" t="s">
        <v>93</v>
      </c>
      <c r="C115" s="127" t="s">
        <v>168</v>
      </c>
      <c r="D115" s="35" t="s">
        <v>3</v>
      </c>
      <c r="E115" s="23">
        <f t="shared" si="127"/>
        <v>42</v>
      </c>
      <c r="F115" s="23">
        <f t="shared" si="127"/>
        <v>42</v>
      </c>
      <c r="G115" s="23">
        <f>F115/E115*100</f>
        <v>100</v>
      </c>
      <c r="H115" s="23">
        <f>H116+H117+H118+H119</f>
        <v>0</v>
      </c>
      <c r="I115" s="23"/>
      <c r="J115" s="21"/>
      <c r="K115" s="23">
        <f t="shared" ref="K115:AO115" si="135">K116+K117+K118+K119</f>
        <v>0</v>
      </c>
      <c r="L115" s="23"/>
      <c r="M115" s="21"/>
      <c r="N115" s="23">
        <f t="shared" si="135"/>
        <v>0</v>
      </c>
      <c r="O115" s="23">
        <f t="shared" si="135"/>
        <v>0</v>
      </c>
      <c r="P115" s="23"/>
      <c r="Q115" s="23">
        <f t="shared" si="135"/>
        <v>42</v>
      </c>
      <c r="R115" s="23">
        <f t="shared" si="135"/>
        <v>42</v>
      </c>
      <c r="S115" s="23">
        <f>R115/Q115*100</f>
        <v>100</v>
      </c>
      <c r="T115" s="23">
        <f t="shared" si="135"/>
        <v>0</v>
      </c>
      <c r="U115" s="23">
        <f t="shared" si="135"/>
        <v>0</v>
      </c>
      <c r="V115" s="23"/>
      <c r="W115" s="23">
        <f t="shared" si="135"/>
        <v>0</v>
      </c>
      <c r="X115" s="23">
        <f t="shared" si="135"/>
        <v>0</v>
      </c>
      <c r="Y115" s="21"/>
      <c r="Z115" s="23">
        <f t="shared" si="135"/>
        <v>0</v>
      </c>
      <c r="AA115" s="23">
        <f t="shared" si="135"/>
        <v>0</v>
      </c>
      <c r="AB115" s="21"/>
      <c r="AC115" s="23">
        <f t="shared" si="135"/>
        <v>0</v>
      </c>
      <c r="AD115" s="23">
        <f t="shared" si="135"/>
        <v>0</v>
      </c>
      <c r="AE115" s="21"/>
      <c r="AF115" s="23">
        <f t="shared" si="135"/>
        <v>0</v>
      </c>
      <c r="AG115" s="23">
        <f t="shared" si="135"/>
        <v>0</v>
      </c>
      <c r="AH115" s="23"/>
      <c r="AI115" s="23">
        <f t="shared" si="135"/>
        <v>0</v>
      </c>
      <c r="AJ115" s="23">
        <f t="shared" si="135"/>
        <v>0</v>
      </c>
      <c r="AK115" s="21"/>
      <c r="AL115" s="23">
        <f t="shared" si="135"/>
        <v>0</v>
      </c>
      <c r="AM115" s="23"/>
      <c r="AN115" s="21"/>
      <c r="AO115" s="23">
        <f t="shared" si="135"/>
        <v>0</v>
      </c>
      <c r="AP115" s="23"/>
      <c r="AQ115" s="21"/>
      <c r="AR115" s="33"/>
      <c r="AS115" s="33"/>
    </row>
    <row r="116" spans="1:45" x14ac:dyDescent="0.25">
      <c r="A116" s="127"/>
      <c r="B116" s="127"/>
      <c r="C116" s="127"/>
      <c r="D116" s="35" t="s">
        <v>20</v>
      </c>
      <c r="E116" s="23">
        <f t="shared" si="127"/>
        <v>0</v>
      </c>
      <c r="F116" s="23">
        <f t="shared" si="127"/>
        <v>0</v>
      </c>
      <c r="G116" s="23"/>
      <c r="H116" s="23"/>
      <c r="I116" s="23"/>
      <c r="J116" s="21"/>
      <c r="K116" s="23"/>
      <c r="L116" s="23"/>
      <c r="M116" s="21"/>
      <c r="N116" s="23"/>
      <c r="O116" s="23"/>
      <c r="P116" s="23"/>
      <c r="Q116" s="23"/>
      <c r="R116" s="23"/>
      <c r="S116" s="23"/>
      <c r="T116" s="23"/>
      <c r="U116" s="23"/>
      <c r="V116" s="23"/>
      <c r="W116" s="23"/>
      <c r="X116" s="23"/>
      <c r="Y116" s="21"/>
      <c r="Z116" s="23"/>
      <c r="AA116" s="23"/>
      <c r="AB116" s="21"/>
      <c r="AC116" s="23"/>
      <c r="AD116" s="23"/>
      <c r="AE116" s="21"/>
      <c r="AF116" s="23"/>
      <c r="AG116" s="23"/>
      <c r="AH116" s="23"/>
      <c r="AI116" s="23"/>
      <c r="AJ116" s="23"/>
      <c r="AK116" s="21"/>
      <c r="AL116" s="23"/>
      <c r="AM116" s="23"/>
      <c r="AN116" s="21"/>
      <c r="AO116" s="23"/>
      <c r="AP116" s="23"/>
      <c r="AQ116" s="21"/>
      <c r="AR116" s="33"/>
      <c r="AS116" s="33"/>
    </row>
    <row r="117" spans="1:45" ht="24" x14ac:dyDescent="0.25">
      <c r="A117" s="127"/>
      <c r="B117" s="127"/>
      <c r="C117" s="127"/>
      <c r="D117" s="35" t="s">
        <v>4</v>
      </c>
      <c r="E117" s="23">
        <f t="shared" si="127"/>
        <v>0</v>
      </c>
      <c r="F117" s="23">
        <f t="shared" si="127"/>
        <v>0</v>
      </c>
      <c r="G117" s="23"/>
      <c r="H117" s="23"/>
      <c r="I117" s="23"/>
      <c r="J117" s="21"/>
      <c r="K117" s="23"/>
      <c r="L117" s="23"/>
      <c r="M117" s="21"/>
      <c r="N117" s="23"/>
      <c r="O117" s="23"/>
      <c r="P117" s="23"/>
      <c r="Q117" s="23"/>
      <c r="R117" s="23"/>
      <c r="S117" s="23"/>
      <c r="T117" s="23"/>
      <c r="U117" s="23"/>
      <c r="V117" s="23"/>
      <c r="W117" s="23"/>
      <c r="X117" s="23"/>
      <c r="Y117" s="21"/>
      <c r="Z117" s="23"/>
      <c r="AA117" s="23"/>
      <c r="AB117" s="21"/>
      <c r="AC117" s="23"/>
      <c r="AD117" s="23"/>
      <c r="AE117" s="21"/>
      <c r="AF117" s="23"/>
      <c r="AG117" s="23"/>
      <c r="AH117" s="23"/>
      <c r="AI117" s="23"/>
      <c r="AJ117" s="23"/>
      <c r="AK117" s="21"/>
      <c r="AL117" s="23"/>
      <c r="AM117" s="23"/>
      <c r="AN117" s="21"/>
      <c r="AO117" s="23"/>
      <c r="AP117" s="23"/>
      <c r="AQ117" s="21"/>
      <c r="AR117" s="33"/>
      <c r="AS117" s="33"/>
    </row>
    <row r="118" spans="1:45" ht="24" x14ac:dyDescent="0.25">
      <c r="A118" s="127"/>
      <c r="B118" s="127"/>
      <c r="C118" s="127"/>
      <c r="D118" s="35" t="s">
        <v>43</v>
      </c>
      <c r="E118" s="23">
        <f t="shared" si="127"/>
        <v>42</v>
      </c>
      <c r="F118" s="23">
        <f t="shared" si="127"/>
        <v>42</v>
      </c>
      <c r="G118" s="23">
        <f t="shared" ref="G118" si="136">F118/E118*100</f>
        <v>100</v>
      </c>
      <c r="H118" s="23"/>
      <c r="I118" s="23"/>
      <c r="J118" s="21"/>
      <c r="K118" s="23"/>
      <c r="L118" s="23"/>
      <c r="M118" s="21"/>
      <c r="N118" s="23">
        <f>42-42</f>
        <v>0</v>
      </c>
      <c r="O118" s="23"/>
      <c r="P118" s="23"/>
      <c r="Q118" s="23">
        <v>42</v>
      </c>
      <c r="R118" s="23">
        <v>42</v>
      </c>
      <c r="S118" s="23">
        <f t="shared" ref="S118" si="137">R118/Q118*100</f>
        <v>100</v>
      </c>
      <c r="T118" s="23">
        <f>42.5-42.5</f>
        <v>0</v>
      </c>
      <c r="U118" s="23">
        <v>0</v>
      </c>
      <c r="V118" s="23"/>
      <c r="W118" s="23"/>
      <c r="X118" s="23"/>
      <c r="Y118" s="21"/>
      <c r="Z118" s="23"/>
      <c r="AA118" s="23"/>
      <c r="AB118" s="21"/>
      <c r="AC118" s="23"/>
      <c r="AD118" s="23"/>
      <c r="AE118" s="21"/>
      <c r="AF118" s="23"/>
      <c r="AG118" s="23"/>
      <c r="AH118" s="23"/>
      <c r="AI118" s="23">
        <f>17.8-17.8</f>
        <v>0</v>
      </c>
      <c r="AJ118" s="23">
        <v>0</v>
      </c>
      <c r="AK118" s="21"/>
      <c r="AL118" s="23"/>
      <c r="AM118" s="23"/>
      <c r="AN118" s="21"/>
      <c r="AO118" s="23"/>
      <c r="AP118" s="23"/>
      <c r="AQ118" s="21"/>
      <c r="AR118" s="89" t="s">
        <v>194</v>
      </c>
      <c r="AS118" s="89"/>
    </row>
    <row r="119" spans="1:45" ht="15.75" customHeight="1" x14ac:dyDescent="0.25">
      <c r="A119" s="127"/>
      <c r="B119" s="127"/>
      <c r="C119" s="127"/>
      <c r="D119" s="35" t="s">
        <v>21</v>
      </c>
      <c r="E119" s="23">
        <f t="shared" si="127"/>
        <v>0</v>
      </c>
      <c r="F119" s="23">
        <f t="shared" si="127"/>
        <v>0</v>
      </c>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33"/>
      <c r="AS119" s="33"/>
    </row>
    <row r="120" spans="1:45" ht="13.9" customHeight="1" x14ac:dyDescent="0.25">
      <c r="A120" s="127" t="s">
        <v>58</v>
      </c>
      <c r="B120" s="127" t="s">
        <v>136</v>
      </c>
      <c r="C120" s="127" t="s">
        <v>168</v>
      </c>
      <c r="D120" s="35" t="s">
        <v>3</v>
      </c>
      <c r="E120" s="23">
        <f t="shared" si="127"/>
        <v>729176.7</v>
      </c>
      <c r="F120" s="23">
        <f t="shared" si="127"/>
        <v>728866.29579999996</v>
      </c>
      <c r="G120" s="23">
        <f>F120/E120*100</f>
        <v>99.957430866894128</v>
      </c>
      <c r="H120" s="23">
        <f>H121+H122+H123+H124</f>
        <v>18541.5</v>
      </c>
      <c r="I120" s="23">
        <f>I121+I122+I123+I124</f>
        <v>18541.5</v>
      </c>
      <c r="J120" s="23">
        <f>I120/H120*100</f>
        <v>100</v>
      </c>
      <c r="K120" s="23">
        <f t="shared" ref="K120:AP120" si="138">K121+K122+K123+K124</f>
        <v>56516.700000000004</v>
      </c>
      <c r="L120" s="23">
        <f t="shared" si="138"/>
        <v>57016.700000000004</v>
      </c>
      <c r="M120" s="23">
        <f>L120/K120*100</f>
        <v>100.8846942585112</v>
      </c>
      <c r="N120" s="23">
        <f t="shared" si="138"/>
        <v>53825.5</v>
      </c>
      <c r="O120" s="23">
        <f t="shared" si="138"/>
        <v>53325.5</v>
      </c>
      <c r="P120" s="23">
        <f>O120/N120*100</f>
        <v>99.071072261288791</v>
      </c>
      <c r="Q120" s="23">
        <f t="shared" si="138"/>
        <v>59666.600000000006</v>
      </c>
      <c r="R120" s="23">
        <f t="shared" si="138"/>
        <v>59486</v>
      </c>
      <c r="S120" s="23">
        <f>R120/Q120*100</f>
        <v>99.697318097562118</v>
      </c>
      <c r="T120" s="23">
        <f t="shared" si="138"/>
        <v>68840.2</v>
      </c>
      <c r="U120" s="23">
        <f t="shared" si="138"/>
        <v>68568.7</v>
      </c>
      <c r="V120" s="23">
        <f>U120/T120*100</f>
        <v>99.605608350934489</v>
      </c>
      <c r="W120" s="23">
        <f t="shared" si="138"/>
        <v>142268.19999999998</v>
      </c>
      <c r="X120" s="23">
        <f t="shared" si="138"/>
        <v>142720.29999999999</v>
      </c>
      <c r="Y120" s="23">
        <f>X120/W120*100</f>
        <v>100.31778008015846</v>
      </c>
      <c r="Z120" s="23">
        <f t="shared" si="138"/>
        <v>57864.200000000004</v>
      </c>
      <c r="AA120" s="23">
        <f t="shared" si="138"/>
        <v>57322.200000000004</v>
      </c>
      <c r="AB120" s="23">
        <f>AA120/Z120*100</f>
        <v>99.063324127871809</v>
      </c>
      <c r="AC120" s="23">
        <f t="shared" si="138"/>
        <v>27074.600000000002</v>
      </c>
      <c r="AD120" s="23">
        <f t="shared" si="138"/>
        <v>26834.399999999998</v>
      </c>
      <c r="AE120" s="23">
        <f>AD120/AC120*100</f>
        <v>99.112821611399596</v>
      </c>
      <c r="AF120" s="23">
        <f>AF121+AF122+AF123+AF124</f>
        <v>32773.9</v>
      </c>
      <c r="AG120" s="23">
        <f t="shared" si="138"/>
        <v>30624.999999999996</v>
      </c>
      <c r="AH120" s="23">
        <f>AG120/AF120*100</f>
        <v>93.443258202411045</v>
      </c>
      <c r="AI120" s="23">
        <f t="shared" si="138"/>
        <v>56765.4</v>
      </c>
      <c r="AJ120" s="23">
        <f t="shared" si="138"/>
        <v>53481.5</v>
      </c>
      <c r="AK120" s="23">
        <f>AJ120/AI120*100</f>
        <v>94.214961931035461</v>
      </c>
      <c r="AL120" s="23">
        <f t="shared" si="138"/>
        <v>52279.8</v>
      </c>
      <c r="AM120" s="23">
        <f t="shared" si="138"/>
        <v>55617.2</v>
      </c>
      <c r="AN120" s="23">
        <f>AM120/AL120*100</f>
        <v>106.38372755825385</v>
      </c>
      <c r="AO120" s="23">
        <f t="shared" si="138"/>
        <v>102760.1</v>
      </c>
      <c r="AP120" s="23">
        <f t="shared" si="138"/>
        <v>105327.29580000001</v>
      </c>
      <c r="AQ120" s="23">
        <f>AP120/AO120*100</f>
        <v>102.49824182732404</v>
      </c>
      <c r="AR120" s="33"/>
      <c r="AS120" s="33"/>
    </row>
    <row r="121" spans="1:45" ht="60" x14ac:dyDescent="0.25">
      <c r="A121" s="127"/>
      <c r="B121" s="127"/>
      <c r="C121" s="127"/>
      <c r="D121" s="35" t="s">
        <v>20</v>
      </c>
      <c r="E121" s="23">
        <f t="shared" si="127"/>
        <v>33226.299999999996</v>
      </c>
      <c r="F121" s="23">
        <f t="shared" si="127"/>
        <v>32915.899999999994</v>
      </c>
      <c r="G121" s="23">
        <f>F121/E121*100</f>
        <v>99.065800284714214</v>
      </c>
      <c r="H121" s="23">
        <v>2727</v>
      </c>
      <c r="I121" s="23">
        <v>2727</v>
      </c>
      <c r="J121" s="23">
        <f>I121/H121*100</f>
        <v>100</v>
      </c>
      <c r="K121" s="23">
        <v>2741.4</v>
      </c>
      <c r="L121" s="23">
        <v>2741.4</v>
      </c>
      <c r="M121" s="23">
        <f>L121/K121*100</f>
        <v>100</v>
      </c>
      <c r="N121" s="23">
        <v>2740.2</v>
      </c>
      <c r="O121" s="23">
        <v>2740.2</v>
      </c>
      <c r="P121" s="23">
        <f>O121/N121*100</f>
        <v>100</v>
      </c>
      <c r="Q121" s="23">
        <v>2840.8</v>
      </c>
      <c r="R121" s="23">
        <v>2660.2</v>
      </c>
      <c r="S121" s="23">
        <f>R121/Q121*100</f>
        <v>93.642635877217671</v>
      </c>
      <c r="T121" s="23">
        <f>3979.8-359.4</f>
        <v>3620.4</v>
      </c>
      <c r="U121" s="23">
        <v>3348.9</v>
      </c>
      <c r="V121" s="23">
        <f>U121/T121*100</f>
        <v>92.500828637719593</v>
      </c>
      <c r="W121" s="23">
        <f>6973.1+161.8</f>
        <v>7134.9000000000005</v>
      </c>
      <c r="X121" s="23">
        <v>7587</v>
      </c>
      <c r="Y121" s="23">
        <f t="shared" ref="Y121:Y123" si="139">X121/W121*100</f>
        <v>106.33645881512004</v>
      </c>
      <c r="Z121" s="23">
        <v>0</v>
      </c>
      <c r="AA121" s="23">
        <v>0</v>
      </c>
      <c r="AB121" s="23"/>
      <c r="AC121" s="23">
        <f>728.5-474.6</f>
        <v>253.89999999999998</v>
      </c>
      <c r="AD121" s="23">
        <v>250.6</v>
      </c>
      <c r="AE121" s="23">
        <f>AD121/AC121*100</f>
        <v>98.700275699094135</v>
      </c>
      <c r="AF121" s="23">
        <v>2921.8</v>
      </c>
      <c r="AG121" s="23">
        <v>2639.6</v>
      </c>
      <c r="AH121" s="23">
        <f t="shared" ref="AH121:AH122" si="140">AG121/AF121*100</f>
        <v>90.341570264905187</v>
      </c>
      <c r="AI121" s="23">
        <v>2851.8</v>
      </c>
      <c r="AJ121" s="23">
        <v>2747</v>
      </c>
      <c r="AK121" s="23">
        <f>AJ121/AI121*100</f>
        <v>96.325127989340061</v>
      </c>
      <c r="AL121" s="23">
        <v>2851.8</v>
      </c>
      <c r="AM121" s="23">
        <v>2847</v>
      </c>
      <c r="AN121" s="23">
        <f>AM121/AL121*100</f>
        <v>99.831685251420154</v>
      </c>
      <c r="AO121" s="23">
        <f>2389.3+153</f>
        <v>2542.3000000000002</v>
      </c>
      <c r="AP121" s="23">
        <v>2627</v>
      </c>
      <c r="AQ121" s="23">
        <f>AP121/AO121*100</f>
        <v>103.33162884002674</v>
      </c>
      <c r="AR121" s="89" t="s">
        <v>181</v>
      </c>
      <c r="AS121" s="89" t="s">
        <v>182</v>
      </c>
    </row>
    <row r="122" spans="1:45" ht="73.900000000000006" customHeight="1" x14ac:dyDescent="0.25">
      <c r="A122" s="127"/>
      <c r="B122" s="127"/>
      <c r="C122" s="127"/>
      <c r="D122" s="35" t="s">
        <v>4</v>
      </c>
      <c r="E122" s="23">
        <f t="shared" si="127"/>
        <v>644823.1</v>
      </c>
      <c r="F122" s="23">
        <f t="shared" si="127"/>
        <v>644823.1</v>
      </c>
      <c r="G122" s="23">
        <f t="shared" ref="G122:G123" si="141">F122/E122*100</f>
        <v>100</v>
      </c>
      <c r="H122" s="23">
        <v>15330</v>
      </c>
      <c r="I122" s="23">
        <v>15330</v>
      </c>
      <c r="J122" s="23">
        <f t="shared" ref="J122:J123" si="142">I122/H122*100</f>
        <v>100</v>
      </c>
      <c r="K122" s="23">
        <v>46599.3</v>
      </c>
      <c r="L122" s="23">
        <v>46599.3</v>
      </c>
      <c r="M122" s="23">
        <f t="shared" ref="M122:M142" si="143">L122/K122*100</f>
        <v>100</v>
      </c>
      <c r="N122" s="23">
        <v>47298.5</v>
      </c>
      <c r="O122" s="23">
        <v>47298.5</v>
      </c>
      <c r="P122" s="23">
        <f t="shared" ref="P122:P123" si="144">O122/N122*100</f>
        <v>100</v>
      </c>
      <c r="Q122" s="23">
        <v>49997</v>
      </c>
      <c r="R122" s="23">
        <v>49997</v>
      </c>
      <c r="S122" s="23">
        <f t="shared" ref="S122:S123" si="145">R122/Q122*100</f>
        <v>100</v>
      </c>
      <c r="T122" s="23">
        <v>63290</v>
      </c>
      <c r="U122" s="23">
        <v>63290</v>
      </c>
      <c r="V122" s="23">
        <f t="shared" ref="V122:V123" si="146">U122/T122*100</f>
        <v>100</v>
      </c>
      <c r="W122" s="23">
        <v>133151.29999999999</v>
      </c>
      <c r="X122" s="23">
        <v>133151.29999999999</v>
      </c>
      <c r="Y122" s="23">
        <f t="shared" si="139"/>
        <v>100</v>
      </c>
      <c r="Z122" s="23">
        <v>52253.8</v>
      </c>
      <c r="AA122" s="23">
        <v>52253.8</v>
      </c>
      <c r="AB122" s="23">
        <f t="shared" ref="AB122:AB123" si="147">AA122/Z122*100</f>
        <v>100</v>
      </c>
      <c r="AC122" s="23">
        <v>23319.7</v>
      </c>
      <c r="AD122" s="23">
        <v>23989.7</v>
      </c>
      <c r="AE122" s="23">
        <f t="shared" ref="AE122:AE123" si="148">AD122/AC122*100</f>
        <v>102.87310728697196</v>
      </c>
      <c r="AF122" s="23">
        <f>26718.8+500+730</f>
        <v>27948.799999999999</v>
      </c>
      <c r="AG122" s="23">
        <v>25818.799999999999</v>
      </c>
      <c r="AH122" s="23">
        <f t="shared" si="140"/>
        <v>92.37892145637737</v>
      </c>
      <c r="AI122" s="23">
        <v>47174</v>
      </c>
      <c r="AJ122" s="23">
        <v>45974</v>
      </c>
      <c r="AK122" s="23">
        <f t="shared" ref="AK122:AK123" si="149">AJ122/AI122*100</f>
        <v>97.45622588714123</v>
      </c>
      <c r="AL122" s="23">
        <v>45831.199999999997</v>
      </c>
      <c r="AM122" s="23">
        <v>48981.2</v>
      </c>
      <c r="AN122" s="23">
        <f t="shared" ref="AN122:AN123" si="150">AM122/AL122*100</f>
        <v>106.87304718183246</v>
      </c>
      <c r="AO122" s="23">
        <f>71661.4+105848.5+6765-12000-730-78915.4</f>
        <v>92629.5</v>
      </c>
      <c r="AP122" s="23">
        <v>92139.5</v>
      </c>
      <c r="AQ122" s="23">
        <f t="shared" ref="AQ122:AQ123" si="151">AP122/AO122*100</f>
        <v>99.471010855073175</v>
      </c>
      <c r="AR122" s="89" t="s">
        <v>183</v>
      </c>
      <c r="AS122" s="116" t="s">
        <v>210</v>
      </c>
    </row>
    <row r="123" spans="1:45" ht="49.9" customHeight="1" x14ac:dyDescent="0.25">
      <c r="A123" s="127"/>
      <c r="B123" s="127"/>
      <c r="C123" s="127"/>
      <c r="D123" s="35" t="s">
        <v>43</v>
      </c>
      <c r="E123" s="23">
        <f t="shared" si="127"/>
        <v>51127.3</v>
      </c>
      <c r="F123" s="23">
        <f t="shared" si="127"/>
        <v>51127.2958</v>
      </c>
      <c r="G123" s="23">
        <f t="shared" si="141"/>
        <v>99.999991785210639</v>
      </c>
      <c r="H123" s="23">
        <v>484.5</v>
      </c>
      <c r="I123" s="23">
        <v>484.5</v>
      </c>
      <c r="J123" s="23">
        <f t="shared" si="142"/>
        <v>100</v>
      </c>
      <c r="K123" s="23">
        <v>7176</v>
      </c>
      <c r="L123" s="23">
        <v>7676</v>
      </c>
      <c r="M123" s="23">
        <f t="shared" si="143"/>
        <v>106.96767001114826</v>
      </c>
      <c r="N123" s="23">
        <f>4537.2-750.4</f>
        <v>3786.7999999999997</v>
      </c>
      <c r="O123" s="23">
        <v>3286.8</v>
      </c>
      <c r="P123" s="23">
        <f t="shared" si="144"/>
        <v>86.796239569029268</v>
      </c>
      <c r="Q123" s="23">
        <v>6828.8</v>
      </c>
      <c r="R123" s="23">
        <v>6828.8</v>
      </c>
      <c r="S123" s="23">
        <f t="shared" si="145"/>
        <v>100</v>
      </c>
      <c r="T123" s="23">
        <v>1929.8</v>
      </c>
      <c r="U123" s="23">
        <v>1929.8</v>
      </c>
      <c r="V123" s="23">
        <f t="shared" si="146"/>
        <v>100</v>
      </c>
      <c r="W123" s="23">
        <v>1982</v>
      </c>
      <c r="X123" s="23">
        <v>1982</v>
      </c>
      <c r="Y123" s="23">
        <f t="shared" si="139"/>
        <v>100</v>
      </c>
      <c r="Z123" s="23">
        <f>5304.8+305.6</f>
        <v>5610.4000000000005</v>
      </c>
      <c r="AA123" s="23">
        <v>5068.3999999999996</v>
      </c>
      <c r="AB123" s="23">
        <f t="shared" si="147"/>
        <v>90.339369741907873</v>
      </c>
      <c r="AC123" s="23">
        <v>3501</v>
      </c>
      <c r="AD123" s="23">
        <v>2594.1</v>
      </c>
      <c r="AE123" s="23">
        <f t="shared" si="148"/>
        <v>74.095972579263076</v>
      </c>
      <c r="AF123" s="23">
        <v>1903.3</v>
      </c>
      <c r="AG123" s="23">
        <v>2166.6</v>
      </c>
      <c r="AH123" s="23">
        <f>AG123/AF123*100</f>
        <v>113.83386749330111</v>
      </c>
      <c r="AI123" s="23">
        <v>6739.6</v>
      </c>
      <c r="AJ123" s="23">
        <v>4760.5</v>
      </c>
      <c r="AK123" s="23">
        <f t="shared" si="149"/>
        <v>70.634755771855893</v>
      </c>
      <c r="AL123" s="23">
        <v>3596.8</v>
      </c>
      <c r="AM123" s="23">
        <v>3789</v>
      </c>
      <c r="AN123" s="23">
        <f t="shared" si="150"/>
        <v>105.34363879003558</v>
      </c>
      <c r="AO123" s="23">
        <f>7171+357.3+60</f>
        <v>7588.3</v>
      </c>
      <c r="AP123" s="23">
        <v>10560.795800000007</v>
      </c>
      <c r="AQ123" s="23">
        <f t="shared" si="151"/>
        <v>139.17209124573367</v>
      </c>
      <c r="AR123" s="89" t="s">
        <v>184</v>
      </c>
      <c r="AS123" s="117"/>
    </row>
    <row r="124" spans="1:45" ht="15.75" customHeight="1" x14ac:dyDescent="0.25">
      <c r="A124" s="127"/>
      <c r="B124" s="127"/>
      <c r="C124" s="127"/>
      <c r="D124" s="35" t="s">
        <v>21</v>
      </c>
      <c r="E124" s="23">
        <f t="shared" si="127"/>
        <v>0</v>
      </c>
      <c r="F124" s="76">
        <f t="shared" si="127"/>
        <v>0</v>
      </c>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33"/>
      <c r="AS124" s="33"/>
    </row>
    <row r="125" spans="1:45" ht="13.9" customHeight="1" x14ac:dyDescent="0.25">
      <c r="A125" s="129" t="s">
        <v>135</v>
      </c>
      <c r="B125" s="127" t="s">
        <v>137</v>
      </c>
      <c r="C125" s="127" t="s">
        <v>168</v>
      </c>
      <c r="D125" s="35" t="s">
        <v>3</v>
      </c>
      <c r="E125" s="23">
        <f t="shared" si="127"/>
        <v>33226.299999999996</v>
      </c>
      <c r="F125" s="23">
        <f t="shared" si="127"/>
        <v>32915.899999999994</v>
      </c>
      <c r="G125" s="23">
        <f>F125/E125*100</f>
        <v>99.065800284714214</v>
      </c>
      <c r="H125" s="23">
        <f>H126+H127+H128+H129</f>
        <v>2727</v>
      </c>
      <c r="I125" s="23">
        <f>I126+I127+I128+I129</f>
        <v>2727</v>
      </c>
      <c r="J125" s="23">
        <f>I125/H125*100</f>
        <v>100</v>
      </c>
      <c r="K125" s="23">
        <f t="shared" ref="K125:L125" si="152">K126+K127+K128+K129</f>
        <v>2741.4</v>
      </c>
      <c r="L125" s="23">
        <f t="shared" si="152"/>
        <v>2741.4</v>
      </c>
      <c r="M125" s="23">
        <f>L125/K125*100</f>
        <v>100</v>
      </c>
      <c r="N125" s="23">
        <f t="shared" ref="N125:O125" si="153">N126+N127+N128+N129</f>
        <v>2740.2</v>
      </c>
      <c r="O125" s="23">
        <f t="shared" si="153"/>
        <v>2740.2</v>
      </c>
      <c r="P125" s="23">
        <f>O125/N125*100</f>
        <v>100</v>
      </c>
      <c r="Q125" s="23">
        <f t="shared" ref="Q125:R125" si="154">Q126+Q127+Q128+Q129</f>
        <v>2840.8</v>
      </c>
      <c r="R125" s="23">
        <f t="shared" si="154"/>
        <v>2660.2</v>
      </c>
      <c r="S125" s="23">
        <f>R125/Q125*100</f>
        <v>93.642635877217671</v>
      </c>
      <c r="T125" s="23">
        <f t="shared" ref="T125:U125" si="155">T126+T127+T128+T129</f>
        <v>3620.4</v>
      </c>
      <c r="U125" s="23">
        <f t="shared" si="155"/>
        <v>3348.9</v>
      </c>
      <c r="V125" s="23">
        <f>U125/T125*100</f>
        <v>92.500828637719593</v>
      </c>
      <c r="W125" s="23">
        <f t="shared" ref="W125:X125" si="156">W126+W127+W128+W129</f>
        <v>7134.9000000000005</v>
      </c>
      <c r="X125" s="23">
        <f t="shared" si="156"/>
        <v>7587</v>
      </c>
      <c r="Y125" s="23">
        <f>X125/W125*100</f>
        <v>106.33645881512004</v>
      </c>
      <c r="Z125" s="23">
        <f t="shared" ref="Z125:AA125" si="157">Z126+Z127+Z128+Z129</f>
        <v>0</v>
      </c>
      <c r="AA125" s="23">
        <f t="shared" si="157"/>
        <v>0</v>
      </c>
      <c r="AB125" s="23"/>
      <c r="AC125" s="23">
        <f t="shared" ref="AC125:AD125" si="158">AC126+AC127+AC128+AC129</f>
        <v>253.89999999999998</v>
      </c>
      <c r="AD125" s="23">
        <f t="shared" si="158"/>
        <v>250.6</v>
      </c>
      <c r="AE125" s="23">
        <f>AD125/AC125*100</f>
        <v>98.700275699094135</v>
      </c>
      <c r="AF125" s="23">
        <f>AF126+AF127+AF128+AF129</f>
        <v>2921.8</v>
      </c>
      <c r="AG125" s="23">
        <f t="shared" ref="AG125" si="159">AG126+AG127+AG128+AG129</f>
        <v>2639.6</v>
      </c>
      <c r="AH125" s="23">
        <f>AG125/AF125*100</f>
        <v>90.341570264905187</v>
      </c>
      <c r="AI125" s="23">
        <f t="shared" ref="AI125:AJ125" si="160">AI126+AI127+AI128+AI129</f>
        <v>2851.8</v>
      </c>
      <c r="AJ125" s="23">
        <f t="shared" si="160"/>
        <v>2747</v>
      </c>
      <c r="AK125" s="23">
        <f>AJ125/AI125*100</f>
        <v>96.325127989340061</v>
      </c>
      <c r="AL125" s="23">
        <f t="shared" ref="AL125:AM125" si="161">AL126+AL127+AL128+AL129</f>
        <v>2851.8</v>
      </c>
      <c r="AM125" s="23">
        <f t="shared" si="161"/>
        <v>2847</v>
      </c>
      <c r="AN125" s="23">
        <f>AM125/AL125*100</f>
        <v>99.831685251420154</v>
      </c>
      <c r="AO125" s="23">
        <f t="shared" ref="AO125:AP125" si="162">AO126+AO127+AO128+AO129</f>
        <v>2542.3000000000002</v>
      </c>
      <c r="AP125" s="23">
        <f t="shared" si="162"/>
        <v>2627</v>
      </c>
      <c r="AQ125" s="23">
        <f>AP125/AO125*100</f>
        <v>103.33162884002674</v>
      </c>
      <c r="AR125" s="33"/>
      <c r="AS125" s="33"/>
    </row>
    <row r="126" spans="1:45" ht="60" x14ac:dyDescent="0.25">
      <c r="A126" s="127"/>
      <c r="B126" s="127"/>
      <c r="C126" s="127"/>
      <c r="D126" s="35" t="s">
        <v>20</v>
      </c>
      <c r="E126" s="23">
        <f t="shared" si="127"/>
        <v>33226.299999999996</v>
      </c>
      <c r="F126" s="23">
        <f t="shared" si="127"/>
        <v>32915.899999999994</v>
      </c>
      <c r="G126" s="23">
        <f>F126/E126*100</f>
        <v>99.065800284714214</v>
      </c>
      <c r="H126" s="23">
        <v>2727</v>
      </c>
      <c r="I126" s="23">
        <v>2727</v>
      </c>
      <c r="J126" s="23">
        <f>I126/H126*100</f>
        <v>100</v>
      </c>
      <c r="K126" s="23">
        <v>2741.4</v>
      </c>
      <c r="L126" s="23">
        <v>2741.4</v>
      </c>
      <c r="M126" s="23">
        <f>L126/K126*100</f>
        <v>100</v>
      </c>
      <c r="N126" s="23">
        <v>2740.2</v>
      </c>
      <c r="O126" s="23">
        <v>2740.2</v>
      </c>
      <c r="P126" s="23">
        <f>O126/N126*100</f>
        <v>100</v>
      </c>
      <c r="Q126" s="23">
        <v>2840.8</v>
      </c>
      <c r="R126" s="23">
        <v>2660.2</v>
      </c>
      <c r="S126" s="23">
        <f>R126/Q126*100</f>
        <v>93.642635877217671</v>
      </c>
      <c r="T126" s="23">
        <f>3979.8-359.4</f>
        <v>3620.4</v>
      </c>
      <c r="U126" s="23">
        <v>3348.9</v>
      </c>
      <c r="V126" s="23">
        <f>U126/T126*100</f>
        <v>92.500828637719593</v>
      </c>
      <c r="W126" s="23">
        <f>6973.1+161.8</f>
        <v>7134.9000000000005</v>
      </c>
      <c r="X126" s="23">
        <v>7587</v>
      </c>
      <c r="Y126" s="23">
        <f t="shared" ref="Y126" si="163">X126/W126*100</f>
        <v>106.33645881512004</v>
      </c>
      <c r="Z126" s="23">
        <v>0</v>
      </c>
      <c r="AA126" s="23">
        <v>0</v>
      </c>
      <c r="AB126" s="23"/>
      <c r="AC126" s="23">
        <f>728.5-474.6</f>
        <v>253.89999999999998</v>
      </c>
      <c r="AD126" s="23">
        <v>250.6</v>
      </c>
      <c r="AE126" s="23">
        <f>AD126/AC126*100</f>
        <v>98.700275699094135</v>
      </c>
      <c r="AF126" s="23">
        <v>2921.8</v>
      </c>
      <c r="AG126" s="23">
        <v>2639.6</v>
      </c>
      <c r="AH126" s="23">
        <f t="shared" ref="AH126" si="164">AG126/AF126*100</f>
        <v>90.341570264905187</v>
      </c>
      <c r="AI126" s="23">
        <v>2851.8</v>
      </c>
      <c r="AJ126" s="23">
        <v>2747</v>
      </c>
      <c r="AK126" s="23">
        <f>AJ126/AI126*100</f>
        <v>96.325127989340061</v>
      </c>
      <c r="AL126" s="23">
        <v>2851.8</v>
      </c>
      <c r="AM126" s="23">
        <v>2847</v>
      </c>
      <c r="AN126" s="23">
        <f>AM126/AL126*100</f>
        <v>99.831685251420154</v>
      </c>
      <c r="AO126" s="23">
        <f>2389.3+153</f>
        <v>2542.3000000000002</v>
      </c>
      <c r="AP126" s="23">
        <v>2627</v>
      </c>
      <c r="AQ126" s="23">
        <f>AP126/AO126*100</f>
        <v>103.33162884002674</v>
      </c>
      <c r="AR126" s="89" t="s">
        <v>181</v>
      </c>
      <c r="AS126" s="89" t="s">
        <v>182</v>
      </c>
    </row>
    <row r="127" spans="1:45" ht="24" x14ac:dyDescent="0.25">
      <c r="A127" s="127"/>
      <c r="B127" s="127"/>
      <c r="C127" s="127"/>
      <c r="D127" s="35" t="s">
        <v>4</v>
      </c>
      <c r="E127" s="23">
        <f t="shared" si="127"/>
        <v>0</v>
      </c>
      <c r="F127" s="23">
        <f t="shared" si="127"/>
        <v>0</v>
      </c>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89"/>
      <c r="AS127" s="33"/>
    </row>
    <row r="128" spans="1:45" ht="12" customHeight="1" x14ac:dyDescent="0.25">
      <c r="A128" s="127"/>
      <c r="B128" s="127"/>
      <c r="C128" s="127"/>
      <c r="D128" s="35" t="s">
        <v>43</v>
      </c>
      <c r="E128" s="23">
        <f t="shared" si="127"/>
        <v>0</v>
      </c>
      <c r="F128" s="23">
        <f t="shared" si="127"/>
        <v>0</v>
      </c>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89"/>
      <c r="AS128" s="89"/>
    </row>
    <row r="129" spans="1:45" ht="13.9" customHeight="1" x14ac:dyDescent="0.25">
      <c r="A129" s="127"/>
      <c r="B129" s="127"/>
      <c r="C129" s="127"/>
      <c r="D129" s="35" t="s">
        <v>21</v>
      </c>
      <c r="E129" s="23">
        <f t="shared" si="127"/>
        <v>0</v>
      </c>
      <c r="F129" s="76">
        <f t="shared" si="127"/>
        <v>0</v>
      </c>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33"/>
      <c r="AS129" s="33"/>
    </row>
    <row r="130" spans="1:45" ht="15.75" customHeight="1" x14ac:dyDescent="0.25">
      <c r="A130" s="127" t="s">
        <v>59</v>
      </c>
      <c r="B130" s="127" t="s">
        <v>111</v>
      </c>
      <c r="C130" s="127" t="s">
        <v>168</v>
      </c>
      <c r="D130" s="35" t="s">
        <v>3</v>
      </c>
      <c r="E130" s="23">
        <f t="shared" si="127"/>
        <v>36735.5</v>
      </c>
      <c r="F130" s="23">
        <f t="shared" si="127"/>
        <v>36735.5</v>
      </c>
      <c r="G130" s="23">
        <f>F130/E130*100</f>
        <v>100</v>
      </c>
      <c r="H130" s="23">
        <f>H131+H132+H133+H134</f>
        <v>1420</v>
      </c>
      <c r="I130" s="23">
        <f>I131+I132+I133+I134</f>
        <v>1420</v>
      </c>
      <c r="J130" s="23">
        <f>I130/H130*100</f>
        <v>100</v>
      </c>
      <c r="K130" s="23">
        <f t="shared" ref="K130:AP130" si="165">K131+K132+K133+K134</f>
        <v>2378</v>
      </c>
      <c r="L130" s="23">
        <f t="shared" si="165"/>
        <v>2378</v>
      </c>
      <c r="M130" s="23">
        <f t="shared" si="143"/>
        <v>100</v>
      </c>
      <c r="N130" s="23">
        <f t="shared" si="165"/>
        <v>2436</v>
      </c>
      <c r="O130" s="23">
        <f t="shared" si="165"/>
        <v>2436</v>
      </c>
      <c r="P130" s="23">
        <f>O130/N130*100</f>
        <v>100</v>
      </c>
      <c r="Q130" s="23">
        <f t="shared" si="165"/>
        <v>3005</v>
      </c>
      <c r="R130" s="23">
        <f t="shared" si="165"/>
        <v>3005</v>
      </c>
      <c r="S130" s="23">
        <f>R130/Q130*100</f>
        <v>100</v>
      </c>
      <c r="T130" s="23">
        <f t="shared" si="165"/>
        <v>2000</v>
      </c>
      <c r="U130" s="23">
        <f t="shared" si="165"/>
        <v>2000</v>
      </c>
      <c r="V130" s="23">
        <f>U130/T130*100</f>
        <v>100</v>
      </c>
      <c r="W130" s="23">
        <f t="shared" si="165"/>
        <v>3120</v>
      </c>
      <c r="X130" s="23">
        <f t="shared" si="165"/>
        <v>3120</v>
      </c>
      <c r="Y130" s="23">
        <f>X130/W130*100</f>
        <v>100</v>
      </c>
      <c r="Z130" s="23">
        <f t="shared" si="165"/>
        <v>4496</v>
      </c>
      <c r="AA130" s="23">
        <f t="shared" si="165"/>
        <v>4496</v>
      </c>
      <c r="AB130" s="23">
        <f>AA130/Z130*100</f>
        <v>100</v>
      </c>
      <c r="AC130" s="23">
        <f t="shared" si="165"/>
        <v>1860</v>
      </c>
      <c r="AD130" s="23">
        <f t="shared" si="165"/>
        <v>2860</v>
      </c>
      <c r="AE130" s="23">
        <f>AD130/AC130*100</f>
        <v>153.76344086021504</v>
      </c>
      <c r="AF130" s="23">
        <f t="shared" si="165"/>
        <v>2619</v>
      </c>
      <c r="AG130" s="23">
        <f t="shared" si="165"/>
        <v>1619</v>
      </c>
      <c r="AH130" s="23">
        <f>AG130/AF130*100</f>
        <v>61.817487590683463</v>
      </c>
      <c r="AI130" s="23">
        <f t="shared" si="165"/>
        <v>2939</v>
      </c>
      <c r="AJ130" s="23">
        <f t="shared" si="165"/>
        <v>2889</v>
      </c>
      <c r="AK130" s="23">
        <f>AJ130/AI130*100</f>
        <v>98.298741068390598</v>
      </c>
      <c r="AL130" s="23">
        <f t="shared" si="165"/>
        <v>2315</v>
      </c>
      <c r="AM130" s="23">
        <f t="shared" si="165"/>
        <v>2715</v>
      </c>
      <c r="AN130" s="23">
        <f>AM130/AL130*100</f>
        <v>117.27861771058315</v>
      </c>
      <c r="AO130" s="23">
        <f t="shared" si="165"/>
        <v>8147.5</v>
      </c>
      <c r="AP130" s="23">
        <f t="shared" si="165"/>
        <v>7797.5</v>
      </c>
      <c r="AQ130" s="23">
        <f>AP130/AO130*100</f>
        <v>95.704203743479596</v>
      </c>
      <c r="AR130" s="33"/>
      <c r="AS130" s="33"/>
    </row>
    <row r="131" spans="1:45" ht="14.25" customHeight="1" x14ac:dyDescent="0.25">
      <c r="A131" s="127"/>
      <c r="B131" s="127"/>
      <c r="C131" s="127"/>
      <c r="D131" s="35" t="s">
        <v>20</v>
      </c>
      <c r="E131" s="23">
        <f t="shared" si="127"/>
        <v>0</v>
      </c>
      <c r="F131" s="58">
        <f t="shared" si="127"/>
        <v>0</v>
      </c>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33"/>
      <c r="AS131" s="33"/>
    </row>
    <row r="132" spans="1:45" ht="25.9" customHeight="1" x14ac:dyDescent="0.25">
      <c r="A132" s="127"/>
      <c r="B132" s="127"/>
      <c r="C132" s="127"/>
      <c r="D132" s="35" t="s">
        <v>4</v>
      </c>
      <c r="E132" s="23">
        <f t="shared" si="127"/>
        <v>0</v>
      </c>
      <c r="F132" s="23">
        <f t="shared" si="127"/>
        <v>0</v>
      </c>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89"/>
      <c r="AS132" s="33"/>
    </row>
    <row r="133" spans="1:45" ht="38.450000000000003" customHeight="1" x14ac:dyDescent="0.25">
      <c r="A133" s="127"/>
      <c r="B133" s="127"/>
      <c r="C133" s="127"/>
      <c r="D133" s="35" t="s">
        <v>43</v>
      </c>
      <c r="E133" s="23">
        <f t="shared" si="127"/>
        <v>36735.5</v>
      </c>
      <c r="F133" s="23">
        <f t="shared" si="127"/>
        <v>36735.5</v>
      </c>
      <c r="G133" s="23">
        <f>F133/E133*100</f>
        <v>100</v>
      </c>
      <c r="H133" s="57">
        <v>1420</v>
      </c>
      <c r="I133" s="57">
        <v>1420</v>
      </c>
      <c r="J133" s="23">
        <f t="shared" ref="J133" si="166">I133/H133*100</f>
        <v>100</v>
      </c>
      <c r="K133" s="23">
        <v>2378</v>
      </c>
      <c r="L133" s="23">
        <v>2378</v>
      </c>
      <c r="M133" s="23">
        <f t="shared" si="143"/>
        <v>100</v>
      </c>
      <c r="N133" s="23">
        <v>2436</v>
      </c>
      <c r="O133" s="23">
        <v>2436</v>
      </c>
      <c r="P133" s="23">
        <f t="shared" ref="P133" si="167">O133/N133*100</f>
        <v>100</v>
      </c>
      <c r="Q133" s="23">
        <v>3005</v>
      </c>
      <c r="R133" s="23">
        <v>3005</v>
      </c>
      <c r="S133" s="23">
        <f t="shared" ref="S133" si="168">R133/Q133*100</f>
        <v>100</v>
      </c>
      <c r="T133" s="23">
        <v>2000</v>
      </c>
      <c r="U133" s="23">
        <v>2000</v>
      </c>
      <c r="V133" s="23">
        <f t="shared" ref="V133" si="169">U133/T133*100</f>
        <v>100</v>
      </c>
      <c r="W133" s="23">
        <f>3334+786-1000</f>
        <v>3120</v>
      </c>
      <c r="X133" s="23">
        <v>3120</v>
      </c>
      <c r="Y133" s="23">
        <f t="shared" ref="Y133" si="170">X133/W133*100</f>
        <v>100</v>
      </c>
      <c r="Z133" s="23">
        <v>4496</v>
      </c>
      <c r="AA133" s="23">
        <v>4496</v>
      </c>
      <c r="AB133" s="23">
        <f t="shared" ref="AB133" si="171">AA133/Z133*100</f>
        <v>100</v>
      </c>
      <c r="AC133" s="23">
        <v>1860</v>
      </c>
      <c r="AD133" s="23">
        <v>2860</v>
      </c>
      <c r="AE133" s="23">
        <f>AD133/AC133*100</f>
        <v>153.76344086021504</v>
      </c>
      <c r="AF133" s="23">
        <f>1969+650</f>
        <v>2619</v>
      </c>
      <c r="AG133" s="23">
        <v>1619</v>
      </c>
      <c r="AH133" s="23">
        <f t="shared" ref="AH133" si="172">AG133/AF133*100</f>
        <v>61.817487590683463</v>
      </c>
      <c r="AI133" s="23">
        <v>2939</v>
      </c>
      <c r="AJ133" s="23">
        <v>2889</v>
      </c>
      <c r="AK133" s="23">
        <f t="shared" ref="AK133" si="173">AJ133/AI133*100</f>
        <v>98.298741068390598</v>
      </c>
      <c r="AL133" s="23">
        <v>2315</v>
      </c>
      <c r="AM133" s="23">
        <v>2715</v>
      </c>
      <c r="AN133" s="23">
        <f>AM133/AL133*100</f>
        <v>117.27861771058315</v>
      </c>
      <c r="AO133" s="23">
        <f>2950+712.4+624.2-650+3511.5+999.4</f>
        <v>8147.5</v>
      </c>
      <c r="AP133" s="23">
        <v>7797.5</v>
      </c>
      <c r="AQ133" s="23">
        <f>AP133/AO133*100</f>
        <v>95.704203743479596</v>
      </c>
      <c r="AR133" s="89" t="s">
        <v>195</v>
      </c>
      <c r="AS133" s="33"/>
    </row>
    <row r="134" spans="1:45" ht="15.75" customHeight="1" x14ac:dyDescent="0.25">
      <c r="A134" s="127"/>
      <c r="B134" s="127"/>
      <c r="C134" s="127"/>
      <c r="D134" s="35" t="s">
        <v>21</v>
      </c>
      <c r="E134" s="23">
        <f t="shared" si="127"/>
        <v>0</v>
      </c>
      <c r="F134" s="23">
        <f t="shared" si="127"/>
        <v>0</v>
      </c>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33"/>
      <c r="AS134" s="33"/>
    </row>
    <row r="135" spans="1:45" ht="12.6" customHeight="1" x14ac:dyDescent="0.25">
      <c r="A135" s="127" t="s">
        <v>60</v>
      </c>
      <c r="B135" s="127" t="s">
        <v>94</v>
      </c>
      <c r="C135" s="127" t="s">
        <v>168</v>
      </c>
      <c r="D135" s="35" t="s">
        <v>3</v>
      </c>
      <c r="E135" s="23">
        <f t="shared" si="127"/>
        <v>37051.4</v>
      </c>
      <c r="F135" s="23">
        <f t="shared" si="127"/>
        <v>35367.599999999999</v>
      </c>
      <c r="G135" s="23">
        <f>F135/E135*100</f>
        <v>95.455502356186258</v>
      </c>
      <c r="H135" s="23">
        <f>H136+H137+H138+H139</f>
        <v>1207</v>
      </c>
      <c r="I135" s="23">
        <f>I136+I137+I138+I139</f>
        <v>0</v>
      </c>
      <c r="J135" s="23">
        <f>I135/H135*100</f>
        <v>0</v>
      </c>
      <c r="K135" s="23">
        <f t="shared" ref="K135:AP135" si="174">K136+K137+K138+K139</f>
        <v>5237</v>
      </c>
      <c r="L135" s="23">
        <f t="shared" si="174"/>
        <v>6980.2</v>
      </c>
      <c r="M135" s="23">
        <f t="shared" si="143"/>
        <v>133.28623257590223</v>
      </c>
      <c r="N135" s="23">
        <f t="shared" si="174"/>
        <v>5237</v>
      </c>
      <c r="O135" s="23">
        <f t="shared" si="174"/>
        <v>4700.8</v>
      </c>
      <c r="P135" s="23">
        <f>O135/N135*100</f>
        <v>89.761313729234288</v>
      </c>
      <c r="Q135" s="23">
        <f t="shared" si="174"/>
        <v>4788.3</v>
      </c>
      <c r="R135" s="23">
        <f t="shared" si="174"/>
        <v>4788.3</v>
      </c>
      <c r="S135" s="23">
        <f>R135/Q135*100</f>
        <v>100</v>
      </c>
      <c r="T135" s="23">
        <f t="shared" si="174"/>
        <v>4851.6000000000004</v>
      </c>
      <c r="U135" s="23">
        <f t="shared" si="174"/>
        <v>4851.6000000000004</v>
      </c>
      <c r="V135" s="23">
        <f>U135/T135*100</f>
        <v>100</v>
      </c>
      <c r="W135" s="23">
        <f t="shared" si="174"/>
        <v>1189.7</v>
      </c>
      <c r="X135" s="23">
        <f t="shared" si="174"/>
        <v>1189.7</v>
      </c>
      <c r="Y135" s="23">
        <f>X135/W135*100</f>
        <v>100</v>
      </c>
      <c r="Z135" s="23">
        <f t="shared" si="174"/>
        <v>250</v>
      </c>
      <c r="AA135" s="23">
        <f t="shared" si="174"/>
        <v>148.6</v>
      </c>
      <c r="AB135" s="23">
        <f>AA135/Z135*100</f>
        <v>59.439999999999991</v>
      </c>
      <c r="AC135" s="23">
        <f t="shared" si="174"/>
        <v>250</v>
      </c>
      <c r="AD135" s="23">
        <f t="shared" si="174"/>
        <v>0</v>
      </c>
      <c r="AE135" s="23">
        <f>AD135/AC135*100</f>
        <v>0</v>
      </c>
      <c r="AF135" s="23">
        <f t="shared" si="174"/>
        <v>3343.2</v>
      </c>
      <c r="AG135" s="23">
        <f t="shared" si="174"/>
        <v>168.4</v>
      </c>
      <c r="AH135" s="23">
        <f>AG135/AF135*100</f>
        <v>5.03709021296961</v>
      </c>
      <c r="AI135" s="23">
        <f t="shared" si="174"/>
        <v>4736</v>
      </c>
      <c r="AJ135" s="23">
        <f t="shared" si="174"/>
        <v>3112</v>
      </c>
      <c r="AK135" s="23">
        <f>AJ135/AI135*100</f>
        <v>65.709459459459467</v>
      </c>
      <c r="AL135" s="23">
        <f t="shared" si="174"/>
        <v>4736</v>
      </c>
      <c r="AM135" s="23">
        <f t="shared" si="174"/>
        <v>4312.8</v>
      </c>
      <c r="AN135" s="23">
        <f>AM135/AL135*100</f>
        <v>91.064189189189193</v>
      </c>
      <c r="AO135" s="23">
        <f t="shared" si="174"/>
        <v>1225.6000000000004</v>
      </c>
      <c r="AP135" s="23">
        <f t="shared" si="174"/>
        <v>5115.2</v>
      </c>
      <c r="AQ135" s="23">
        <f>AP135/AO135*100</f>
        <v>417.36292428198414</v>
      </c>
      <c r="AR135" s="33"/>
      <c r="AS135" s="33"/>
    </row>
    <row r="136" spans="1:45" x14ac:dyDescent="0.25">
      <c r="A136" s="127"/>
      <c r="B136" s="127"/>
      <c r="C136" s="127"/>
      <c r="D136" s="35" t="s">
        <v>20</v>
      </c>
      <c r="E136" s="23">
        <f t="shared" si="127"/>
        <v>0</v>
      </c>
      <c r="F136" s="23">
        <f t="shared" si="127"/>
        <v>0</v>
      </c>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33"/>
      <c r="AS136" s="33"/>
    </row>
    <row r="137" spans="1:45" ht="24" x14ac:dyDescent="0.25">
      <c r="A137" s="127"/>
      <c r="B137" s="127"/>
      <c r="C137" s="127"/>
      <c r="D137" s="35" t="s">
        <v>4</v>
      </c>
      <c r="E137" s="23">
        <f t="shared" si="127"/>
        <v>0</v>
      </c>
      <c r="F137" s="23">
        <f t="shared" si="127"/>
        <v>0</v>
      </c>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33"/>
      <c r="AS137" s="33"/>
    </row>
    <row r="138" spans="1:45" ht="144" x14ac:dyDescent="0.25">
      <c r="A138" s="127"/>
      <c r="B138" s="127"/>
      <c r="C138" s="127"/>
      <c r="D138" s="35" t="s">
        <v>43</v>
      </c>
      <c r="E138" s="23">
        <f t="shared" si="127"/>
        <v>37051.4</v>
      </c>
      <c r="F138" s="23">
        <f t="shared" si="127"/>
        <v>35367.599999999999</v>
      </c>
      <c r="G138" s="23">
        <f t="shared" ref="G138" si="175">F138/E138*100</f>
        <v>95.455502356186258</v>
      </c>
      <c r="H138" s="23">
        <f>3611-2404</f>
        <v>1207</v>
      </c>
      <c r="I138" s="23">
        <v>0</v>
      </c>
      <c r="J138" s="23">
        <f t="shared" ref="J138" si="176">I138/H138*100</f>
        <v>0</v>
      </c>
      <c r="K138" s="23">
        <v>5237</v>
      </c>
      <c r="L138" s="23">
        <v>6980.2</v>
      </c>
      <c r="M138" s="23">
        <f t="shared" si="143"/>
        <v>133.28623257590223</v>
      </c>
      <c r="N138" s="23">
        <v>5237</v>
      </c>
      <c r="O138" s="23">
        <v>4700.8</v>
      </c>
      <c r="P138" s="23">
        <f t="shared" ref="P138" si="177">O138/N138*100</f>
        <v>89.761313729234288</v>
      </c>
      <c r="Q138" s="23">
        <v>4788.3</v>
      </c>
      <c r="R138" s="23">
        <v>4788.3</v>
      </c>
      <c r="S138" s="23">
        <f t="shared" ref="S138" si="178">R138/Q138*100</f>
        <v>100</v>
      </c>
      <c r="T138" s="23">
        <v>4851.6000000000004</v>
      </c>
      <c r="U138" s="23">
        <v>4851.6000000000004</v>
      </c>
      <c r="V138" s="23">
        <f t="shared" ref="V138" si="179">U138/T138*100</f>
        <v>100</v>
      </c>
      <c r="W138" s="23">
        <v>1189.7</v>
      </c>
      <c r="X138" s="23">
        <v>1189.7</v>
      </c>
      <c r="Y138" s="23">
        <f t="shared" ref="Y138" si="180">X138/W138*100</f>
        <v>100</v>
      </c>
      <c r="Z138" s="23">
        <v>250</v>
      </c>
      <c r="AA138" s="23">
        <v>148.6</v>
      </c>
      <c r="AB138" s="23">
        <f>AA138/Z138*100</f>
        <v>59.439999999999991</v>
      </c>
      <c r="AC138" s="23">
        <v>250</v>
      </c>
      <c r="AD138" s="23">
        <v>0</v>
      </c>
      <c r="AE138" s="23">
        <v>0</v>
      </c>
      <c r="AF138" s="23">
        <f>4296+1692.4-2645.2</f>
        <v>3343.2</v>
      </c>
      <c r="AG138" s="23">
        <v>168.4</v>
      </c>
      <c r="AH138" s="23">
        <f>AG138/AF138*100</f>
        <v>5.03709021296961</v>
      </c>
      <c r="AI138" s="23">
        <v>4736</v>
      </c>
      <c r="AJ138" s="23">
        <v>3112</v>
      </c>
      <c r="AK138" s="23">
        <f t="shared" ref="AK138" si="181">AJ138/AI138*100</f>
        <v>65.709459459459467</v>
      </c>
      <c r="AL138" s="23">
        <v>4736</v>
      </c>
      <c r="AM138" s="23">
        <v>4312.8</v>
      </c>
      <c r="AN138" s="23">
        <f t="shared" ref="AN138" si="182">AM138/AL138*100</f>
        <v>91.064189189189193</v>
      </c>
      <c r="AO138" s="23">
        <f>5601.6+2404-6780</f>
        <v>1225.6000000000004</v>
      </c>
      <c r="AP138" s="23">
        <v>5115.2</v>
      </c>
      <c r="AQ138" s="23">
        <f t="shared" ref="AQ138" si="183">AP138/AO138*100</f>
        <v>417.36292428198414</v>
      </c>
      <c r="AR138" s="89" t="s">
        <v>209</v>
      </c>
      <c r="AS138" s="89" t="s">
        <v>301</v>
      </c>
    </row>
    <row r="139" spans="1:45" ht="15.75" customHeight="1" x14ac:dyDescent="0.25">
      <c r="A139" s="127"/>
      <c r="B139" s="127"/>
      <c r="C139" s="127"/>
      <c r="D139" s="35" t="s">
        <v>21</v>
      </c>
      <c r="E139" s="23">
        <f t="shared" si="127"/>
        <v>0</v>
      </c>
      <c r="F139" s="23">
        <f t="shared" si="127"/>
        <v>0</v>
      </c>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33"/>
      <c r="AS139" s="33"/>
    </row>
    <row r="140" spans="1:45" ht="13.15" customHeight="1" x14ac:dyDescent="0.25">
      <c r="A140" s="127" t="s">
        <v>61</v>
      </c>
      <c r="B140" s="127" t="s">
        <v>95</v>
      </c>
      <c r="C140" s="127" t="s">
        <v>168</v>
      </c>
      <c r="D140" s="35" t="s">
        <v>3</v>
      </c>
      <c r="E140" s="23">
        <f t="shared" si="127"/>
        <v>2344.3999999999996</v>
      </c>
      <c r="F140" s="23">
        <f t="shared" si="127"/>
        <v>2344.2999999999997</v>
      </c>
      <c r="G140" s="23">
        <f>F140/E140*100</f>
        <v>99.995734516294149</v>
      </c>
      <c r="H140" s="23">
        <f>H141+H142+H143+H144</f>
        <v>0</v>
      </c>
      <c r="I140" s="23"/>
      <c r="J140" s="23"/>
      <c r="K140" s="23">
        <f t="shared" ref="K140:AO140" si="184">K141+K142+K143+K144</f>
        <v>144.80000000000001</v>
      </c>
      <c r="L140" s="23">
        <f t="shared" si="184"/>
        <v>84</v>
      </c>
      <c r="M140" s="23">
        <f t="shared" si="143"/>
        <v>58.011049723756905</v>
      </c>
      <c r="N140" s="23">
        <f t="shared" si="184"/>
        <v>378.1</v>
      </c>
      <c r="O140" s="23">
        <f t="shared" si="184"/>
        <v>384</v>
      </c>
      <c r="P140" s="23">
        <f>O140/N140*100</f>
        <v>101.56043374768579</v>
      </c>
      <c r="Q140" s="23">
        <f t="shared" si="184"/>
        <v>342.9</v>
      </c>
      <c r="R140" s="23">
        <f t="shared" si="184"/>
        <v>342.9</v>
      </c>
      <c r="S140" s="23">
        <f>R140/Q140*100</f>
        <v>100</v>
      </c>
      <c r="T140" s="23">
        <f t="shared" si="184"/>
        <v>522.20000000000005</v>
      </c>
      <c r="U140" s="23">
        <f t="shared" si="184"/>
        <v>522.20000000000005</v>
      </c>
      <c r="V140" s="23">
        <f>U140/T140*100</f>
        <v>100</v>
      </c>
      <c r="W140" s="23">
        <f t="shared" si="184"/>
        <v>886.59999999999991</v>
      </c>
      <c r="X140" s="23">
        <f t="shared" si="184"/>
        <v>941.5</v>
      </c>
      <c r="Y140" s="23">
        <f>X140/W140*100</f>
        <v>106.19219490187233</v>
      </c>
      <c r="Z140" s="23">
        <f t="shared" si="184"/>
        <v>0</v>
      </c>
      <c r="AA140" s="23">
        <f t="shared" si="184"/>
        <v>62.1</v>
      </c>
      <c r="AB140" s="23"/>
      <c r="AC140" s="23">
        <f t="shared" si="184"/>
        <v>0</v>
      </c>
      <c r="AD140" s="23">
        <f t="shared" si="184"/>
        <v>0</v>
      </c>
      <c r="AE140" s="23"/>
      <c r="AF140" s="23">
        <f t="shared" si="184"/>
        <v>69.799999999999955</v>
      </c>
      <c r="AG140" s="23">
        <f t="shared" si="184"/>
        <v>0</v>
      </c>
      <c r="AH140" s="23">
        <f>AG140/AF140*100</f>
        <v>0</v>
      </c>
      <c r="AI140" s="23">
        <f t="shared" si="184"/>
        <v>0</v>
      </c>
      <c r="AJ140" s="23">
        <f t="shared" si="184"/>
        <v>7.6</v>
      </c>
      <c r="AK140" s="23"/>
      <c r="AL140" s="23">
        <f t="shared" si="184"/>
        <v>0</v>
      </c>
      <c r="AM140" s="23">
        <f t="shared" si="184"/>
        <v>0</v>
      </c>
      <c r="AN140" s="23"/>
      <c r="AO140" s="23">
        <f t="shared" si="184"/>
        <v>0</v>
      </c>
      <c r="AP140" s="23"/>
      <c r="AQ140" s="23"/>
      <c r="AR140" s="33"/>
      <c r="AS140" s="33"/>
    </row>
    <row r="141" spans="1:45" x14ac:dyDescent="0.25">
      <c r="A141" s="127"/>
      <c r="B141" s="127"/>
      <c r="C141" s="127"/>
      <c r="D141" s="35" t="s">
        <v>20</v>
      </c>
      <c r="E141" s="23">
        <f t="shared" si="127"/>
        <v>0</v>
      </c>
      <c r="F141" s="23">
        <f t="shared" si="127"/>
        <v>0</v>
      </c>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33"/>
      <c r="AS141" s="33"/>
    </row>
    <row r="142" spans="1:45" ht="84" x14ac:dyDescent="0.25">
      <c r="A142" s="127"/>
      <c r="B142" s="127"/>
      <c r="C142" s="127"/>
      <c r="D142" s="35" t="s">
        <v>4</v>
      </c>
      <c r="E142" s="23">
        <f t="shared" si="127"/>
        <v>2344.3999999999996</v>
      </c>
      <c r="F142" s="23">
        <f t="shared" si="127"/>
        <v>2344.2999999999997</v>
      </c>
      <c r="G142" s="23">
        <f>F142/E142*100</f>
        <v>99.995734516294149</v>
      </c>
      <c r="H142" s="23"/>
      <c r="I142" s="23"/>
      <c r="J142" s="23"/>
      <c r="K142" s="23">
        <f>376+4-235.1-0.1</f>
        <v>144.80000000000001</v>
      </c>
      <c r="L142" s="23">
        <v>84</v>
      </c>
      <c r="M142" s="23">
        <f t="shared" si="143"/>
        <v>58.011049723756905</v>
      </c>
      <c r="N142" s="23">
        <f>318+60+0.1</f>
        <v>378.1</v>
      </c>
      <c r="O142" s="23">
        <v>384</v>
      </c>
      <c r="P142" s="23">
        <f>O142/N142*100</f>
        <v>101.56043374768579</v>
      </c>
      <c r="Q142" s="23">
        <v>342.9</v>
      </c>
      <c r="R142" s="23">
        <v>342.9</v>
      </c>
      <c r="S142" s="23">
        <f>R142/Q142*100</f>
        <v>100</v>
      </c>
      <c r="T142" s="23">
        <v>522.20000000000005</v>
      </c>
      <c r="U142" s="23">
        <v>522.20000000000005</v>
      </c>
      <c r="V142" s="23">
        <f>U142/T142*100</f>
        <v>100</v>
      </c>
      <c r="W142" s="23">
        <f>890.8-4.2</f>
        <v>886.59999999999991</v>
      </c>
      <c r="X142" s="23">
        <v>941.5</v>
      </c>
      <c r="Y142" s="23">
        <f>X142/W142*100</f>
        <v>106.19219490187233</v>
      </c>
      <c r="Z142" s="23"/>
      <c r="AA142" s="23">
        <v>62.1</v>
      </c>
      <c r="AB142" s="23"/>
      <c r="AC142" s="23"/>
      <c r="AD142" s="23"/>
      <c r="AE142" s="23"/>
      <c r="AF142" s="23">
        <f>1406.6-1336.8</f>
        <v>69.799999999999955</v>
      </c>
      <c r="AG142" s="23"/>
      <c r="AH142" s="23">
        <f>AG142/AF142*100</f>
        <v>0</v>
      </c>
      <c r="AI142" s="23"/>
      <c r="AJ142" s="23">
        <v>7.6</v>
      </c>
      <c r="AK142" s="23"/>
      <c r="AL142" s="23"/>
      <c r="AM142" s="23"/>
      <c r="AN142" s="23"/>
      <c r="AO142" s="23"/>
      <c r="AP142" s="24"/>
      <c r="AQ142" s="23"/>
      <c r="AR142" s="89" t="s">
        <v>153</v>
      </c>
      <c r="AS142" s="79" t="s">
        <v>296</v>
      </c>
    </row>
    <row r="143" spans="1:45" ht="12.6" customHeight="1" x14ac:dyDescent="0.25">
      <c r="A143" s="127"/>
      <c r="B143" s="127"/>
      <c r="C143" s="127"/>
      <c r="D143" s="35" t="s">
        <v>43</v>
      </c>
      <c r="E143" s="23">
        <f t="shared" si="127"/>
        <v>0</v>
      </c>
      <c r="F143" s="23">
        <f t="shared" si="127"/>
        <v>0</v>
      </c>
      <c r="G143" s="23"/>
      <c r="H143" s="23"/>
      <c r="I143" s="23"/>
      <c r="J143" s="21"/>
      <c r="K143" s="23"/>
      <c r="L143" s="23"/>
      <c r="M143" s="23"/>
      <c r="N143" s="23"/>
      <c r="O143" s="23"/>
      <c r="P143" s="23"/>
      <c r="Q143" s="23"/>
      <c r="R143" s="23"/>
      <c r="S143" s="21"/>
      <c r="T143" s="23"/>
      <c r="U143" s="23"/>
      <c r="V143" s="23"/>
      <c r="W143" s="23"/>
      <c r="X143" s="23"/>
      <c r="Y143" s="21"/>
      <c r="Z143" s="23"/>
      <c r="AA143" s="23"/>
      <c r="AB143" s="21"/>
      <c r="AC143" s="23"/>
      <c r="AD143" s="23"/>
      <c r="AE143" s="21"/>
      <c r="AF143" s="23"/>
      <c r="AG143" s="23"/>
      <c r="AH143" s="23">
        <v>0</v>
      </c>
      <c r="AI143" s="23"/>
      <c r="AJ143" s="23"/>
      <c r="AK143" s="21"/>
      <c r="AL143" s="23"/>
      <c r="AM143" s="23"/>
      <c r="AN143" s="21"/>
      <c r="AO143" s="23"/>
      <c r="AP143" s="24"/>
      <c r="AQ143" s="21"/>
      <c r="AR143" s="33"/>
      <c r="AS143" s="33"/>
    </row>
    <row r="144" spans="1:45" ht="12.6" customHeight="1" x14ac:dyDescent="0.25">
      <c r="A144" s="127"/>
      <c r="B144" s="127"/>
      <c r="C144" s="127"/>
      <c r="D144" s="35" t="s">
        <v>21</v>
      </c>
      <c r="E144" s="23">
        <f t="shared" si="127"/>
        <v>0</v>
      </c>
      <c r="F144" s="23">
        <f t="shared" si="127"/>
        <v>0</v>
      </c>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4"/>
      <c r="AQ144" s="24"/>
      <c r="AR144" s="33"/>
      <c r="AS144" s="33"/>
    </row>
    <row r="145" spans="1:45" ht="13.15" customHeight="1" x14ac:dyDescent="0.25">
      <c r="A145" s="127" t="s">
        <v>128</v>
      </c>
      <c r="B145" s="127" t="s">
        <v>130</v>
      </c>
      <c r="C145" s="127" t="s">
        <v>168</v>
      </c>
      <c r="D145" s="35" t="s">
        <v>3</v>
      </c>
      <c r="E145" s="23">
        <f t="shared" ref="E145:F164" si="185">H145+K145+N145+Q145+T145+W145+Z145+AC145+AF145+AI145+AL145+AO145</f>
        <v>0</v>
      </c>
      <c r="F145" s="23">
        <f t="shared" si="185"/>
        <v>0</v>
      </c>
      <c r="G145" s="23"/>
      <c r="H145" s="23">
        <f>H146+H147+H148+H149</f>
        <v>0</v>
      </c>
      <c r="I145" s="23"/>
      <c r="J145" s="21"/>
      <c r="K145" s="23">
        <f t="shared" ref="K145:L145" si="186">K146+K147+K148+K149</f>
        <v>0</v>
      </c>
      <c r="L145" s="23">
        <f t="shared" si="186"/>
        <v>0</v>
      </c>
      <c r="M145" s="23"/>
      <c r="N145" s="23">
        <f t="shared" ref="N145:O145" si="187">N146+N147+N148+N149</f>
        <v>0</v>
      </c>
      <c r="O145" s="23">
        <f t="shared" si="187"/>
        <v>0</v>
      </c>
      <c r="P145" s="23"/>
      <c r="Q145" s="23">
        <f t="shared" ref="Q145:R145" si="188">Q146+Q147+Q148+Q149</f>
        <v>0</v>
      </c>
      <c r="R145" s="23">
        <f t="shared" si="188"/>
        <v>0</v>
      </c>
      <c r="S145" s="23"/>
      <c r="T145" s="23">
        <f t="shared" ref="T145:U145" si="189">T146+T147+T148+T149</f>
        <v>0</v>
      </c>
      <c r="U145" s="23">
        <f t="shared" si="189"/>
        <v>0</v>
      </c>
      <c r="V145" s="23"/>
      <c r="W145" s="23">
        <f t="shared" ref="W145:X145" si="190">W146+W147+W148+W149</f>
        <v>0</v>
      </c>
      <c r="X145" s="23">
        <f t="shared" si="190"/>
        <v>0</v>
      </c>
      <c r="Y145" s="23"/>
      <c r="Z145" s="23">
        <f t="shared" ref="Z145:AA145" si="191">Z146+Z147+Z148+Z149</f>
        <v>0</v>
      </c>
      <c r="AA145" s="23">
        <f t="shared" si="191"/>
        <v>0</v>
      </c>
      <c r="AB145" s="23"/>
      <c r="AC145" s="23">
        <f t="shared" ref="AC145:AD145" si="192">AC146+AC147+AC148+AC149</f>
        <v>0</v>
      </c>
      <c r="AD145" s="23">
        <f t="shared" si="192"/>
        <v>0</v>
      </c>
      <c r="AE145" s="23"/>
      <c r="AF145" s="23">
        <f t="shared" ref="AF145" si="193">AF146+AF147+AF148+AF149</f>
        <v>0</v>
      </c>
      <c r="AG145" s="23"/>
      <c r="AH145" s="21"/>
      <c r="AI145" s="23">
        <f t="shared" ref="AI145:AJ145" si="194">AI146+AI147+AI148+AI149</f>
        <v>0</v>
      </c>
      <c r="AJ145" s="23">
        <f t="shared" si="194"/>
        <v>0</v>
      </c>
      <c r="AK145" s="23"/>
      <c r="AL145" s="23">
        <f t="shared" ref="AL145:AM145" si="195">AL146+AL147+AL148+AL149</f>
        <v>0</v>
      </c>
      <c r="AM145" s="23">
        <f t="shared" si="195"/>
        <v>0</v>
      </c>
      <c r="AN145" s="23"/>
      <c r="AO145" s="23">
        <f t="shared" ref="AO145" si="196">AO146+AO147+AO148+AO149</f>
        <v>0</v>
      </c>
      <c r="AP145" s="23"/>
      <c r="AQ145" s="21"/>
      <c r="AR145" s="33"/>
      <c r="AS145" s="33"/>
    </row>
    <row r="146" spans="1:45" x14ac:dyDescent="0.25">
      <c r="A146" s="127"/>
      <c r="B146" s="127"/>
      <c r="C146" s="127"/>
      <c r="D146" s="35" t="s">
        <v>20</v>
      </c>
      <c r="E146" s="23">
        <f t="shared" si="185"/>
        <v>0</v>
      </c>
      <c r="F146" s="23">
        <f t="shared" si="185"/>
        <v>0</v>
      </c>
      <c r="G146" s="23"/>
      <c r="H146" s="23"/>
      <c r="I146" s="23"/>
      <c r="J146" s="21"/>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1"/>
      <c r="AI146" s="23"/>
      <c r="AJ146" s="23"/>
      <c r="AK146" s="23"/>
      <c r="AL146" s="23"/>
      <c r="AM146" s="23"/>
      <c r="AN146" s="23"/>
      <c r="AO146" s="23"/>
      <c r="AP146" s="23"/>
      <c r="AQ146" s="21"/>
      <c r="AR146" s="33"/>
      <c r="AS146" s="33"/>
    </row>
    <row r="147" spans="1:45" ht="23.45" customHeight="1" x14ac:dyDescent="0.25">
      <c r="A147" s="127"/>
      <c r="B147" s="127"/>
      <c r="C147" s="127"/>
      <c r="D147" s="35" t="s">
        <v>4</v>
      </c>
      <c r="E147" s="23">
        <f t="shared" si="185"/>
        <v>0</v>
      </c>
      <c r="F147" s="23">
        <f t="shared" si="185"/>
        <v>0</v>
      </c>
      <c r="G147" s="23"/>
      <c r="H147" s="23"/>
      <c r="I147" s="23"/>
      <c r="J147" s="21"/>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1"/>
      <c r="AI147" s="23"/>
      <c r="AJ147" s="23"/>
      <c r="AK147" s="23"/>
      <c r="AL147" s="23"/>
      <c r="AM147" s="23"/>
      <c r="AN147" s="23"/>
      <c r="AO147" s="23"/>
      <c r="AP147" s="24"/>
      <c r="AQ147" s="21"/>
      <c r="AR147" s="89"/>
      <c r="AS147" s="79"/>
    </row>
    <row r="148" spans="1:45" x14ac:dyDescent="0.25">
      <c r="A148" s="127"/>
      <c r="B148" s="127"/>
      <c r="C148" s="127"/>
      <c r="D148" s="35" t="s">
        <v>43</v>
      </c>
      <c r="E148" s="23">
        <f t="shared" si="185"/>
        <v>0</v>
      </c>
      <c r="F148" s="23">
        <f t="shared" si="185"/>
        <v>0</v>
      </c>
      <c r="G148" s="23"/>
      <c r="H148" s="23"/>
      <c r="I148" s="23"/>
      <c r="J148" s="21"/>
      <c r="K148" s="23"/>
      <c r="L148" s="23"/>
      <c r="M148" s="23"/>
      <c r="N148" s="23"/>
      <c r="O148" s="23"/>
      <c r="P148" s="23"/>
      <c r="Q148" s="23"/>
      <c r="R148" s="23"/>
      <c r="S148" s="21"/>
      <c r="T148" s="23"/>
      <c r="U148" s="23"/>
      <c r="V148" s="23"/>
      <c r="W148" s="23"/>
      <c r="X148" s="23"/>
      <c r="Y148" s="21"/>
      <c r="Z148" s="23"/>
      <c r="AA148" s="23"/>
      <c r="AB148" s="21"/>
      <c r="AC148" s="23"/>
      <c r="AD148" s="23"/>
      <c r="AE148" s="23"/>
      <c r="AF148" s="23"/>
      <c r="AG148" s="23"/>
      <c r="AH148" s="21"/>
      <c r="AI148" s="23"/>
      <c r="AJ148" s="23"/>
      <c r="AK148" s="21"/>
      <c r="AL148" s="23"/>
      <c r="AM148" s="23"/>
      <c r="AN148" s="21"/>
      <c r="AO148" s="23"/>
      <c r="AP148" s="24"/>
      <c r="AQ148" s="21"/>
      <c r="AR148" s="89"/>
      <c r="AS148" s="33"/>
    </row>
    <row r="149" spans="1:45" ht="15.75" customHeight="1" x14ac:dyDescent="0.25">
      <c r="A149" s="127"/>
      <c r="B149" s="127"/>
      <c r="C149" s="127"/>
      <c r="D149" s="35" t="s">
        <v>21</v>
      </c>
      <c r="E149" s="23">
        <f t="shared" si="185"/>
        <v>0</v>
      </c>
      <c r="F149" s="23">
        <f t="shared" si="185"/>
        <v>0</v>
      </c>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4"/>
      <c r="AQ149" s="24"/>
      <c r="AR149" s="33"/>
      <c r="AS149" s="33"/>
    </row>
    <row r="150" spans="1:45" ht="13.15" customHeight="1" x14ac:dyDescent="0.25">
      <c r="A150" s="127" t="s">
        <v>129</v>
      </c>
      <c r="B150" s="127" t="s">
        <v>131</v>
      </c>
      <c r="C150" s="127" t="s">
        <v>168</v>
      </c>
      <c r="D150" s="35" t="s">
        <v>3</v>
      </c>
      <c r="E150" s="23">
        <f t="shared" si="185"/>
        <v>0</v>
      </c>
      <c r="F150" s="23">
        <f t="shared" si="185"/>
        <v>0</v>
      </c>
      <c r="G150" s="23"/>
      <c r="H150" s="23">
        <f>H151+H152+H153+H154</f>
        <v>0</v>
      </c>
      <c r="I150" s="23"/>
      <c r="J150" s="21"/>
      <c r="K150" s="23">
        <f t="shared" ref="K150:L150" si="197">K151+K152+K153+K154</f>
        <v>0</v>
      </c>
      <c r="L150" s="23">
        <f t="shared" si="197"/>
        <v>0</v>
      </c>
      <c r="M150" s="23"/>
      <c r="N150" s="23">
        <f t="shared" ref="N150:O150" si="198">N151+N152+N153+N154</f>
        <v>0</v>
      </c>
      <c r="O150" s="23">
        <f t="shared" si="198"/>
        <v>0</v>
      </c>
      <c r="P150" s="23"/>
      <c r="Q150" s="23">
        <f t="shared" ref="Q150:R150" si="199">Q151+Q152+Q153+Q154</f>
        <v>0</v>
      </c>
      <c r="R150" s="23">
        <f t="shared" si="199"/>
        <v>0</v>
      </c>
      <c r="S150" s="23"/>
      <c r="T150" s="23">
        <f t="shared" ref="T150:U150" si="200">T151+T152+T153+T154</f>
        <v>0</v>
      </c>
      <c r="U150" s="23">
        <f t="shared" si="200"/>
        <v>0</v>
      </c>
      <c r="V150" s="23"/>
      <c r="W150" s="23">
        <f t="shared" ref="W150:X150" si="201">W151+W152+W153+W154</f>
        <v>0</v>
      </c>
      <c r="X150" s="23">
        <f t="shared" si="201"/>
        <v>0</v>
      </c>
      <c r="Y150" s="23"/>
      <c r="Z150" s="23">
        <f t="shared" ref="Z150:AA150" si="202">Z151+Z152+Z153+Z154</f>
        <v>0</v>
      </c>
      <c r="AA150" s="23">
        <f t="shared" si="202"/>
        <v>0</v>
      </c>
      <c r="AB150" s="23"/>
      <c r="AC150" s="23">
        <f t="shared" ref="AC150:AD150" si="203">AC151+AC152+AC153+AC154</f>
        <v>0</v>
      </c>
      <c r="AD150" s="23">
        <f t="shared" si="203"/>
        <v>0</v>
      </c>
      <c r="AE150" s="23"/>
      <c r="AF150" s="23">
        <f t="shared" ref="AF150:AG150" si="204">AF151+AF152+AF153+AF154</f>
        <v>0</v>
      </c>
      <c r="AG150" s="23">
        <f t="shared" si="204"/>
        <v>0</v>
      </c>
      <c r="AH150" s="23"/>
      <c r="AI150" s="23">
        <f t="shared" ref="AI150:AJ150" si="205">AI151+AI152+AI153+AI154</f>
        <v>0</v>
      </c>
      <c r="AJ150" s="23">
        <f t="shared" si="205"/>
        <v>0</v>
      </c>
      <c r="AK150" s="23"/>
      <c r="AL150" s="23">
        <f t="shared" ref="AL150:AM150" si="206">AL151+AL152+AL153+AL154</f>
        <v>0</v>
      </c>
      <c r="AM150" s="23">
        <f t="shared" si="206"/>
        <v>0</v>
      </c>
      <c r="AN150" s="23"/>
      <c r="AO150" s="23">
        <f t="shared" ref="AO150" si="207">AO151+AO152+AO153+AO154</f>
        <v>0</v>
      </c>
      <c r="AP150" s="23"/>
      <c r="AQ150" s="21"/>
      <c r="AR150" s="33"/>
      <c r="AS150" s="33"/>
    </row>
    <row r="151" spans="1:45" ht="14.45" customHeight="1" x14ac:dyDescent="0.25">
      <c r="A151" s="127"/>
      <c r="B151" s="127"/>
      <c r="C151" s="127"/>
      <c r="D151" s="35" t="s">
        <v>20</v>
      </c>
      <c r="E151" s="23">
        <f t="shared" si="185"/>
        <v>0</v>
      </c>
      <c r="F151" s="23">
        <f t="shared" si="185"/>
        <v>0</v>
      </c>
      <c r="G151" s="23"/>
      <c r="H151" s="23"/>
      <c r="I151" s="23"/>
      <c r="J151" s="21"/>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1"/>
      <c r="AR151" s="79"/>
      <c r="AS151" s="33"/>
    </row>
    <row r="152" spans="1:45" ht="27" customHeight="1" x14ac:dyDescent="0.25">
      <c r="A152" s="127"/>
      <c r="B152" s="127"/>
      <c r="C152" s="127"/>
      <c r="D152" s="35" t="s">
        <v>4</v>
      </c>
      <c r="E152" s="23">
        <f t="shared" si="185"/>
        <v>0</v>
      </c>
      <c r="F152" s="23">
        <f t="shared" si="185"/>
        <v>0</v>
      </c>
      <c r="G152" s="23"/>
      <c r="H152" s="23"/>
      <c r="I152" s="23"/>
      <c r="J152" s="21"/>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4"/>
      <c r="AQ152" s="21"/>
      <c r="AR152" s="79"/>
      <c r="AS152" s="79"/>
    </row>
    <row r="153" spans="1:45" ht="14.45" customHeight="1" x14ac:dyDescent="0.25">
      <c r="A153" s="127"/>
      <c r="B153" s="127"/>
      <c r="C153" s="127"/>
      <c r="D153" s="35" t="s">
        <v>43</v>
      </c>
      <c r="E153" s="23">
        <f t="shared" si="185"/>
        <v>0</v>
      </c>
      <c r="F153" s="23">
        <f t="shared" si="185"/>
        <v>0</v>
      </c>
      <c r="G153" s="23"/>
      <c r="H153" s="23"/>
      <c r="I153" s="23"/>
      <c r="J153" s="21"/>
      <c r="K153" s="23"/>
      <c r="L153" s="23"/>
      <c r="M153" s="23"/>
      <c r="N153" s="23"/>
      <c r="O153" s="23"/>
      <c r="P153" s="23"/>
      <c r="Q153" s="23"/>
      <c r="R153" s="23"/>
      <c r="S153" s="21"/>
      <c r="T153" s="23">
        <f>477-477</f>
        <v>0</v>
      </c>
      <c r="U153" s="23"/>
      <c r="V153" s="23"/>
      <c r="W153" s="23"/>
      <c r="X153" s="23"/>
      <c r="Y153" s="21"/>
      <c r="Z153" s="23"/>
      <c r="AA153" s="23"/>
      <c r="AB153" s="21"/>
      <c r="AC153" s="23"/>
      <c r="AD153" s="23"/>
      <c r="AE153" s="21"/>
      <c r="AF153" s="23"/>
      <c r="AG153" s="23"/>
      <c r="AH153" s="23"/>
      <c r="AI153" s="23"/>
      <c r="AJ153" s="23"/>
      <c r="AK153" s="23"/>
      <c r="AL153" s="23"/>
      <c r="AM153" s="23"/>
      <c r="AN153" s="21"/>
      <c r="AO153" s="23"/>
      <c r="AP153" s="24"/>
      <c r="AQ153" s="21"/>
      <c r="AR153" s="79"/>
      <c r="AS153" s="33"/>
    </row>
    <row r="154" spans="1:45" ht="12" customHeight="1" x14ac:dyDescent="0.25">
      <c r="A154" s="127"/>
      <c r="B154" s="127"/>
      <c r="C154" s="127"/>
      <c r="D154" s="35" t="s">
        <v>21</v>
      </c>
      <c r="E154" s="23">
        <f t="shared" si="185"/>
        <v>0</v>
      </c>
      <c r="F154" s="23">
        <f t="shared" si="185"/>
        <v>0</v>
      </c>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4"/>
      <c r="AQ154" s="24"/>
      <c r="AR154" s="33"/>
      <c r="AS154" s="33"/>
    </row>
    <row r="155" spans="1:45" ht="13.15" customHeight="1" x14ac:dyDescent="0.25">
      <c r="A155" s="127" t="s">
        <v>185</v>
      </c>
      <c r="B155" s="127" t="s">
        <v>186</v>
      </c>
      <c r="C155" s="127" t="s">
        <v>168</v>
      </c>
      <c r="D155" s="35" t="s">
        <v>3</v>
      </c>
      <c r="E155" s="23">
        <f t="shared" ref="E155:E159" si="208">H155+K155+N155+Q155+T155+W155+Z155+AC155+AF155+AI155+AL155+AO155</f>
        <v>934.80000000000007</v>
      </c>
      <c r="F155" s="23">
        <f t="shared" ref="F155:F159" si="209">I155+L155+O155+R155+U155+X155+AA155+AD155+AG155+AJ155+AM155+AP155</f>
        <v>931.1</v>
      </c>
      <c r="G155" s="23">
        <f>F155/E155*100</f>
        <v>99.604193410355151</v>
      </c>
      <c r="H155" s="23">
        <f>H156+H157+H158+H159</f>
        <v>0</v>
      </c>
      <c r="I155" s="23"/>
      <c r="J155" s="21"/>
      <c r="K155" s="23">
        <f t="shared" ref="K155:L155" si="210">K156+K157+K158+K159</f>
        <v>0</v>
      </c>
      <c r="L155" s="23">
        <f t="shared" si="210"/>
        <v>0</v>
      </c>
      <c r="M155" s="23"/>
      <c r="N155" s="23">
        <f t="shared" ref="N155:O155" si="211">N156+N157+N158+N159</f>
        <v>0</v>
      </c>
      <c r="O155" s="23">
        <f t="shared" si="211"/>
        <v>0</v>
      </c>
      <c r="P155" s="23"/>
      <c r="Q155" s="23">
        <f t="shared" ref="Q155:R155" si="212">Q156+Q157+Q158+Q159</f>
        <v>0</v>
      </c>
      <c r="R155" s="23">
        <f t="shared" si="212"/>
        <v>0</v>
      </c>
      <c r="S155" s="23"/>
      <c r="T155" s="23">
        <f t="shared" ref="T155:U155" si="213">T156+T157+T158+T159</f>
        <v>0</v>
      </c>
      <c r="U155" s="23">
        <f t="shared" si="213"/>
        <v>0</v>
      </c>
      <c r="V155" s="23"/>
      <c r="W155" s="23">
        <f t="shared" ref="W155:X155" si="214">W156+W157+W158+W159</f>
        <v>0</v>
      </c>
      <c r="X155" s="23">
        <f t="shared" si="214"/>
        <v>0</v>
      </c>
      <c r="Y155" s="23"/>
      <c r="Z155" s="23">
        <f t="shared" ref="Z155:AA155" si="215">Z156+Z157+Z158+Z159</f>
        <v>0</v>
      </c>
      <c r="AA155" s="23">
        <f t="shared" si="215"/>
        <v>0</v>
      </c>
      <c r="AB155" s="23"/>
      <c r="AC155" s="23">
        <f t="shared" ref="AC155:AD155" si="216">AC156+AC157+AC158+AC159</f>
        <v>0</v>
      </c>
      <c r="AD155" s="23">
        <f t="shared" si="216"/>
        <v>0</v>
      </c>
      <c r="AE155" s="23"/>
      <c r="AF155" s="23">
        <f t="shared" ref="AF155:AG155" si="217">AF156+AF157+AF158+AF159</f>
        <v>0</v>
      </c>
      <c r="AG155" s="23">
        <f t="shared" si="217"/>
        <v>0</v>
      </c>
      <c r="AH155" s="23"/>
      <c r="AI155" s="23">
        <f t="shared" ref="AI155:AJ155" si="218">AI156+AI157+AI158+AI159</f>
        <v>0</v>
      </c>
      <c r="AJ155" s="23">
        <f t="shared" si="218"/>
        <v>0</v>
      </c>
      <c r="AK155" s="23"/>
      <c r="AL155" s="23">
        <f t="shared" ref="AL155:AM155" si="219">AL156+AL157+AL158+AL159</f>
        <v>0</v>
      </c>
      <c r="AM155" s="23">
        <f t="shared" si="219"/>
        <v>0</v>
      </c>
      <c r="AN155" s="23"/>
      <c r="AO155" s="23">
        <f t="shared" ref="AO155:AP155" si="220">AO156+AO157+AO158+AO159</f>
        <v>934.80000000000007</v>
      </c>
      <c r="AP155" s="23">
        <f t="shared" si="220"/>
        <v>931.1</v>
      </c>
      <c r="AQ155" s="23">
        <f>AP155/AO155*100</f>
        <v>99.604193410355151</v>
      </c>
      <c r="AR155" s="33"/>
      <c r="AS155" s="33"/>
    </row>
    <row r="156" spans="1:45" ht="36" customHeight="1" x14ac:dyDescent="0.25">
      <c r="A156" s="127"/>
      <c r="B156" s="127"/>
      <c r="C156" s="127"/>
      <c r="D156" s="35" t="s">
        <v>20</v>
      </c>
      <c r="E156" s="23">
        <f t="shared" si="208"/>
        <v>364.6</v>
      </c>
      <c r="F156" s="23">
        <f t="shared" si="209"/>
        <v>363.1</v>
      </c>
      <c r="G156" s="23">
        <f>F156/E156*100</f>
        <v>99.588590235874932</v>
      </c>
      <c r="H156" s="23"/>
      <c r="I156" s="23"/>
      <c r="J156" s="21"/>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v>364.6</v>
      </c>
      <c r="AP156" s="23">
        <v>363.1</v>
      </c>
      <c r="AQ156" s="23">
        <f>AP156/AO156*100</f>
        <v>99.588590235874932</v>
      </c>
      <c r="AR156" s="116" t="s">
        <v>196</v>
      </c>
      <c r="AS156" s="116" t="s">
        <v>197</v>
      </c>
    </row>
    <row r="157" spans="1:45" ht="36" customHeight="1" x14ac:dyDescent="0.25">
      <c r="A157" s="127"/>
      <c r="B157" s="127"/>
      <c r="C157" s="127"/>
      <c r="D157" s="35" t="s">
        <v>4</v>
      </c>
      <c r="E157" s="23">
        <f t="shared" si="208"/>
        <v>570.20000000000005</v>
      </c>
      <c r="F157" s="23">
        <f t="shared" si="209"/>
        <v>568</v>
      </c>
      <c r="G157" s="23">
        <f>F157/E157*100</f>
        <v>99.614170466502969</v>
      </c>
      <c r="H157" s="23"/>
      <c r="I157" s="23"/>
      <c r="J157" s="21"/>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v>570.20000000000005</v>
      </c>
      <c r="AP157" s="24">
        <v>568</v>
      </c>
      <c r="AQ157" s="23">
        <f>AP157/AO157*100</f>
        <v>99.614170466502969</v>
      </c>
      <c r="AR157" s="117"/>
      <c r="AS157" s="117"/>
    </row>
    <row r="158" spans="1:45" ht="14.45" customHeight="1" x14ac:dyDescent="0.25">
      <c r="A158" s="127"/>
      <c r="B158" s="127"/>
      <c r="C158" s="127"/>
      <c r="D158" s="35" t="s">
        <v>43</v>
      </c>
      <c r="E158" s="23">
        <f t="shared" si="208"/>
        <v>0</v>
      </c>
      <c r="F158" s="23">
        <f t="shared" si="209"/>
        <v>0</v>
      </c>
      <c r="G158" s="23"/>
      <c r="H158" s="23"/>
      <c r="I158" s="23"/>
      <c r="J158" s="21"/>
      <c r="K158" s="23"/>
      <c r="L158" s="23"/>
      <c r="M158" s="23"/>
      <c r="N158" s="23"/>
      <c r="O158" s="23"/>
      <c r="P158" s="23"/>
      <c r="Q158" s="23"/>
      <c r="R158" s="23"/>
      <c r="S158" s="21"/>
      <c r="T158" s="23">
        <f>477-477</f>
        <v>0</v>
      </c>
      <c r="U158" s="23"/>
      <c r="V158" s="23"/>
      <c r="W158" s="23"/>
      <c r="X158" s="23"/>
      <c r="Y158" s="21"/>
      <c r="Z158" s="23"/>
      <c r="AA158" s="23"/>
      <c r="AB158" s="21"/>
      <c r="AC158" s="23"/>
      <c r="AD158" s="23"/>
      <c r="AE158" s="21"/>
      <c r="AF158" s="23"/>
      <c r="AG158" s="23"/>
      <c r="AH158" s="23"/>
      <c r="AI158" s="23"/>
      <c r="AJ158" s="23"/>
      <c r="AK158" s="23"/>
      <c r="AL158" s="23"/>
      <c r="AM158" s="23"/>
      <c r="AN158" s="21"/>
      <c r="AO158" s="23"/>
      <c r="AP158" s="24"/>
      <c r="AQ158" s="21"/>
      <c r="AR158" s="79"/>
      <c r="AS158" s="33"/>
    </row>
    <row r="159" spans="1:45" ht="12" customHeight="1" x14ac:dyDescent="0.25">
      <c r="A159" s="127"/>
      <c r="B159" s="127"/>
      <c r="C159" s="127"/>
      <c r="D159" s="35" t="s">
        <v>21</v>
      </c>
      <c r="E159" s="23">
        <f t="shared" si="208"/>
        <v>0</v>
      </c>
      <c r="F159" s="23">
        <f t="shared" si="209"/>
        <v>0</v>
      </c>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4"/>
      <c r="AQ159" s="24"/>
      <c r="AR159" s="33"/>
      <c r="AS159" s="33"/>
    </row>
    <row r="160" spans="1:45" ht="13.15" customHeight="1" x14ac:dyDescent="0.25">
      <c r="A160" s="130" t="s">
        <v>9</v>
      </c>
      <c r="B160" s="140"/>
      <c r="C160" s="130"/>
      <c r="D160" s="36" t="s">
        <v>3</v>
      </c>
      <c r="E160" s="37">
        <f t="shared" si="185"/>
        <v>806893.89999999991</v>
      </c>
      <c r="F160" s="37">
        <f t="shared" si="185"/>
        <v>804895.89579999994</v>
      </c>
      <c r="G160" s="37">
        <f>F160/E160*100</f>
        <v>99.752383281122832</v>
      </c>
      <c r="H160" s="37">
        <f>H162+H161+H163+H164</f>
        <v>21300.2</v>
      </c>
      <c r="I160" s="37">
        <f>I162+I161+I163+I164</f>
        <v>20048.599999999999</v>
      </c>
      <c r="J160" s="37">
        <f>I160/H160*100</f>
        <v>94.123998835691665</v>
      </c>
      <c r="K160" s="37">
        <f t="shared" ref="K160:AP160" si="221">K162+K161+K163+K164</f>
        <v>64276.500000000007</v>
      </c>
      <c r="L160" s="37">
        <f t="shared" si="221"/>
        <v>66508.400000000009</v>
      </c>
      <c r="M160" s="37">
        <f t="shared" ref="M160:M163" si="222">L160/K160*100</f>
        <v>103.47234214681882</v>
      </c>
      <c r="N160" s="37">
        <f t="shared" si="221"/>
        <v>61883.599999999991</v>
      </c>
      <c r="O160" s="37">
        <f t="shared" si="221"/>
        <v>60848.399999999994</v>
      </c>
      <c r="P160" s="37">
        <f t="shared" ref="P160:P163" si="223">O160/N160*100</f>
        <v>98.327181999754387</v>
      </c>
      <c r="Q160" s="37">
        <f t="shared" si="221"/>
        <v>67862.8</v>
      </c>
      <c r="R160" s="37">
        <f t="shared" si="221"/>
        <v>67672.2</v>
      </c>
      <c r="S160" s="37">
        <f>R160/Q160*100</f>
        <v>99.719139204394736</v>
      </c>
      <c r="T160" s="37">
        <f t="shared" si="221"/>
        <v>76299.399999999994</v>
      </c>
      <c r="U160" s="37">
        <f t="shared" si="221"/>
        <v>76037.899999999994</v>
      </c>
      <c r="V160" s="37">
        <f>U160/T160*100</f>
        <v>99.657271223626921</v>
      </c>
      <c r="W160" s="37">
        <f t="shared" si="221"/>
        <v>147611.69999999998</v>
      </c>
      <c r="X160" s="37">
        <f t="shared" si="221"/>
        <v>148097.59999999998</v>
      </c>
      <c r="Y160" s="37">
        <f>X160/W160*100</f>
        <v>100.32917444890886</v>
      </c>
      <c r="Z160" s="37">
        <f t="shared" si="221"/>
        <v>62610.200000000004</v>
      </c>
      <c r="AA160" s="37">
        <f t="shared" si="221"/>
        <v>61998.400000000001</v>
      </c>
      <c r="AB160" s="37">
        <f>AA160/Z160*100</f>
        <v>99.02284292335753</v>
      </c>
      <c r="AC160" s="37">
        <f t="shared" si="221"/>
        <v>29260.400000000001</v>
      </c>
      <c r="AD160" s="37">
        <f t="shared" si="221"/>
        <v>29764.199999999997</v>
      </c>
      <c r="AE160" s="37">
        <f>AD160/AC160*100</f>
        <v>101.72178097360253</v>
      </c>
      <c r="AF160" s="37">
        <f t="shared" si="221"/>
        <v>38827.699999999997</v>
      </c>
      <c r="AG160" s="37">
        <f t="shared" si="221"/>
        <v>32437.3</v>
      </c>
      <c r="AH160" s="37">
        <f>AG160/AF160*100</f>
        <v>83.541646814001354</v>
      </c>
      <c r="AI160" s="37">
        <f t="shared" si="221"/>
        <v>64462.200000000004</v>
      </c>
      <c r="AJ160" s="37">
        <f t="shared" si="221"/>
        <v>59518.1</v>
      </c>
      <c r="AK160" s="37">
        <f>AJ160/AI160*100</f>
        <v>92.330233842468914</v>
      </c>
      <c r="AL160" s="37">
        <f t="shared" si="221"/>
        <v>59419.4</v>
      </c>
      <c r="AM160" s="37">
        <f t="shared" si="221"/>
        <v>62673.2</v>
      </c>
      <c r="AN160" s="37">
        <f>AM160/AL160*100</f>
        <v>105.47598932335229</v>
      </c>
      <c r="AO160" s="37">
        <f t="shared" si="221"/>
        <v>113079.79999999999</v>
      </c>
      <c r="AP160" s="37">
        <f t="shared" si="221"/>
        <v>119291.59580000001</v>
      </c>
      <c r="AQ160" s="37">
        <f>AP160/AO160*100</f>
        <v>105.49328509601186</v>
      </c>
      <c r="AR160" s="33"/>
      <c r="AS160" s="33"/>
    </row>
    <row r="161" spans="1:45" ht="12.75" customHeight="1" x14ac:dyDescent="0.25">
      <c r="A161" s="130"/>
      <c r="B161" s="130"/>
      <c r="C161" s="130"/>
      <c r="D161" s="36" t="s">
        <v>20</v>
      </c>
      <c r="E161" s="37">
        <f t="shared" si="185"/>
        <v>33590.899999999994</v>
      </c>
      <c r="F161" s="37">
        <f t="shared" si="185"/>
        <v>33278.999999999993</v>
      </c>
      <c r="G161" s="37">
        <f>F161/E161*100</f>
        <v>99.071474714878121</v>
      </c>
      <c r="H161" s="37">
        <f>H91+H96+H101+H106+H111+H116+H121+H131+H136+H141+H146+H151+H156</f>
        <v>2727</v>
      </c>
      <c r="I161" s="37">
        <f>I91+I96+I101+I106+I111+I116+I121+I131+I136+I141+I146+I151+I156</f>
        <v>2727</v>
      </c>
      <c r="J161" s="37">
        <f>I161/H161*100</f>
        <v>100</v>
      </c>
      <c r="K161" s="37">
        <f>K91+K96+K101+K106+K111+K116+K121+K131+K136+K141+K146+K151+K156</f>
        <v>2741.4</v>
      </c>
      <c r="L161" s="37">
        <f>L91+L96+L101+L106+L111+L116+L121+L131+L136+L141+L146+L151+L156</f>
        <v>2741.4</v>
      </c>
      <c r="M161" s="37">
        <f t="shared" si="222"/>
        <v>100</v>
      </c>
      <c r="N161" s="37">
        <f>N91+N96+N101+N106+N111+N116+N121+N131+N136+N141+N146+N151+N156</f>
        <v>2740.2</v>
      </c>
      <c r="O161" s="37">
        <f>O91+O96+O101+O106+O111+O116+O121+O131+O136+O141+O146+O151+O156</f>
        <v>2740.2</v>
      </c>
      <c r="P161" s="37">
        <f t="shared" si="223"/>
        <v>100</v>
      </c>
      <c r="Q161" s="37">
        <f>Q91+Q96+Q101+Q106+Q111+Q116+Q121+Q131+Q136+Q141+Q146+Q151+Q156</f>
        <v>2840.8</v>
      </c>
      <c r="R161" s="37">
        <f>R91+R96+R101+R106+R111+R116+R121+R131+R136+R141+R146+R151+R156</f>
        <v>2660.2</v>
      </c>
      <c r="S161" s="37">
        <f>R161/Q161*100</f>
        <v>93.642635877217671</v>
      </c>
      <c r="T161" s="37">
        <f>T91+T96+T101+T106+T111+T116+T121+T131+T136+T141+T146+T151+T156</f>
        <v>3620.4</v>
      </c>
      <c r="U161" s="37">
        <f>U91+U96+U101+U106+U111+U116+U121+U131+U136+U141+U146+U151+U156</f>
        <v>3348.9</v>
      </c>
      <c r="V161" s="37">
        <f>U161/T161*100</f>
        <v>92.500828637719593</v>
      </c>
      <c r="W161" s="37">
        <f>W91+W96+W101+W106+W111+W116+W121+W131+W136+W141+W146+W151+W156</f>
        <v>7134.9000000000005</v>
      </c>
      <c r="X161" s="37">
        <f>X91+X96+X101+X106+X111+X116+X121+X131+X136+X141+X146+X151+X156</f>
        <v>7587</v>
      </c>
      <c r="Y161" s="37">
        <f>X161/W161*100</f>
        <v>106.33645881512004</v>
      </c>
      <c r="Z161" s="37">
        <f>Z91+Z96+Z101+Z106+Z111+Z116+Z121+Z131+Z136+Z141+Z146+Z151+Z156</f>
        <v>0</v>
      </c>
      <c r="AA161" s="37">
        <f>AA91+AA96+AA101+AA106+AA111+AA116+AA121+AA131+AA136+AA141+AA146+AA151+AA156</f>
        <v>0</v>
      </c>
      <c r="AB161" s="37"/>
      <c r="AC161" s="37">
        <f>AC91+AC96+AC101+AC106+AC111+AC116+AC121+AC131+AC136+AC141+AC146+AC151+AC156</f>
        <v>253.89999999999998</v>
      </c>
      <c r="AD161" s="37">
        <f>AD91+AD96+AD101+AD106+AD111+AD116+AD121+AD131+AD136+AD141+AD146+AD151+AD156</f>
        <v>250.6</v>
      </c>
      <c r="AE161" s="37">
        <f>AD161/AC161*100</f>
        <v>98.700275699094135</v>
      </c>
      <c r="AF161" s="37">
        <f>AF91+AF96+AF101+AF106+AF111+AF116+AF121+AF131+AF136+AF141+AF146+AF151+AF156</f>
        <v>2921.8</v>
      </c>
      <c r="AG161" s="37">
        <f>AG91+AG96+AG101+AG106+AG111+AG116+AG121+AG131+AG136+AG141+AG146+AG151+AG156</f>
        <v>2639.6</v>
      </c>
      <c r="AH161" s="37">
        <f>AG161/AF161*100</f>
        <v>90.341570264905187</v>
      </c>
      <c r="AI161" s="37">
        <f>AI91+AI96+AI101+AI106+AI111+AI116+AI121+AI131+AI136+AI141+AI146+AI151+AI156</f>
        <v>2851.8</v>
      </c>
      <c r="AJ161" s="37">
        <f>AJ91+AJ96+AJ101+AJ106+AJ111+AJ116+AJ121+AJ131+AJ136+AJ141+AJ146+AJ151+AJ156</f>
        <v>2747</v>
      </c>
      <c r="AK161" s="37">
        <f>AJ161/AI161*100</f>
        <v>96.325127989340061</v>
      </c>
      <c r="AL161" s="37">
        <f>AL91+AL96+AL101+AL106+AL111+AL116+AL121+AL131+AL136+AL141+AL146+AL151+AL156</f>
        <v>2851.8</v>
      </c>
      <c r="AM161" s="37">
        <f>AM91+AM96+AM101+AM106+AM111+AM116+AM121+AM131+AM136+AM141+AM146+AM151+AM156</f>
        <v>2847</v>
      </c>
      <c r="AN161" s="37">
        <f>AM161/AL161*100</f>
        <v>99.831685251420154</v>
      </c>
      <c r="AO161" s="37">
        <f>AO91+AO96+AO101+AO106+AO111+AO116+AO121+AO131+AO136+AO141+AO146+AO151+AO156</f>
        <v>2906.9</v>
      </c>
      <c r="AP161" s="37">
        <f>AP91+AP96+AP101+AP106+AP111+AP116+AP121+AP131+AP136+AP141+AP146+AP151+AP156</f>
        <v>2990.1</v>
      </c>
      <c r="AQ161" s="37">
        <f>AP161/AO161*100</f>
        <v>102.86215556090681</v>
      </c>
      <c r="AR161" s="33"/>
      <c r="AS161" s="33"/>
    </row>
    <row r="162" spans="1:45" ht="23.25" customHeight="1" x14ac:dyDescent="0.25">
      <c r="A162" s="130"/>
      <c r="B162" s="130"/>
      <c r="C162" s="130"/>
      <c r="D162" s="36" t="s">
        <v>4</v>
      </c>
      <c r="E162" s="37">
        <f t="shared" si="185"/>
        <v>647737.69999999984</v>
      </c>
      <c r="F162" s="37">
        <f t="shared" si="185"/>
        <v>647735.4</v>
      </c>
      <c r="G162" s="37">
        <f t="shared" ref="G162:G163" si="224">F162/E162*100</f>
        <v>99.999644917996932</v>
      </c>
      <c r="H162" s="37">
        <f t="shared" ref="H162:I162" si="225">H92+H97+H102+H107+H112+H117+H122+H132+H137+H142+H147+H152+H157</f>
        <v>15330</v>
      </c>
      <c r="I162" s="37">
        <f t="shared" si="225"/>
        <v>15330</v>
      </c>
      <c r="J162" s="37">
        <f t="shared" ref="J162:J163" si="226">I162/H162*100</f>
        <v>100</v>
      </c>
      <c r="K162" s="37">
        <f t="shared" ref="K162:L162" si="227">K92+K97+K102+K107+K112+K117+K122+K132+K137+K142+K147+K152+K157</f>
        <v>46744.100000000006</v>
      </c>
      <c r="L162" s="37">
        <f t="shared" si="227"/>
        <v>46683.3</v>
      </c>
      <c r="M162" s="37">
        <f t="shared" si="222"/>
        <v>99.869930108826566</v>
      </c>
      <c r="N162" s="37">
        <f t="shared" ref="N162:O162" si="228">N92+N97+N102+N107+N112+N117+N122+N132+N137+N142+N147+N152+N157</f>
        <v>47676.6</v>
      </c>
      <c r="O162" s="37">
        <f t="shared" si="228"/>
        <v>47682.5</v>
      </c>
      <c r="P162" s="37">
        <f t="shared" si="223"/>
        <v>100.01237504352241</v>
      </c>
      <c r="Q162" s="37">
        <f t="shared" ref="Q162:R162" si="229">Q92+Q97+Q102+Q107+Q112+Q117+Q122+Q132+Q137+Q142+Q147+Q152+Q157</f>
        <v>50339.9</v>
      </c>
      <c r="R162" s="37">
        <f t="shared" si="229"/>
        <v>50339.9</v>
      </c>
      <c r="S162" s="37">
        <f t="shared" ref="S162:S163" si="230">R162/Q162*100</f>
        <v>100</v>
      </c>
      <c r="T162" s="37">
        <f t="shared" ref="T162:U162" si="231">T92+T97+T102+T107+T112+T117+T122+T132+T137+T142+T147+T152+T157</f>
        <v>63812.2</v>
      </c>
      <c r="U162" s="37">
        <f t="shared" si="231"/>
        <v>63812.2</v>
      </c>
      <c r="V162" s="37">
        <f t="shared" ref="V162:V163" si="232">U162/T162*100</f>
        <v>100</v>
      </c>
      <c r="W162" s="37">
        <f t="shared" ref="W162:X162" si="233">W92+W97+W102+W107+W112+W117+W122+W132+W137+W142+W147+W152+W157</f>
        <v>134037.9</v>
      </c>
      <c r="X162" s="37">
        <f t="shared" si="233"/>
        <v>134092.79999999999</v>
      </c>
      <c r="Y162" s="37">
        <f t="shared" ref="Y162:Y163" si="234">X162/W162*100</f>
        <v>100.04095856470445</v>
      </c>
      <c r="Z162" s="37">
        <f t="shared" ref="Z162:AA162" si="235">Z92+Z97+Z102+Z107+Z112+Z117+Z122+Z132+Z137+Z142+Z147+Z152+Z157</f>
        <v>52253.8</v>
      </c>
      <c r="AA162" s="37">
        <f t="shared" si="235"/>
        <v>52315.9</v>
      </c>
      <c r="AB162" s="37">
        <f t="shared" ref="AB162:AB163" si="236">AA162/Z162*100</f>
        <v>100.11884303151157</v>
      </c>
      <c r="AC162" s="37">
        <f t="shared" ref="AC162:AD162" si="237">AC92+AC97+AC102+AC107+AC112+AC117+AC122+AC132+AC137+AC142+AC147+AC152+AC157</f>
        <v>23319.7</v>
      </c>
      <c r="AD162" s="37">
        <f t="shared" si="237"/>
        <v>23989.7</v>
      </c>
      <c r="AE162" s="37">
        <f t="shared" ref="AE162:AE163" si="238">AD162/AC162*100</f>
        <v>102.87310728697196</v>
      </c>
      <c r="AF162" s="37">
        <f t="shared" ref="AF162:AG162" si="239">AF92+AF97+AF102+AF107+AF112+AF117+AF122+AF132+AF137+AF142+AF147+AF152+AF157</f>
        <v>28018.6</v>
      </c>
      <c r="AG162" s="37">
        <f t="shared" si="239"/>
        <v>25818.799999999999</v>
      </c>
      <c r="AH162" s="37">
        <f t="shared" ref="AH162:AH163" si="240">AG162/AF162*100</f>
        <v>92.148786877288657</v>
      </c>
      <c r="AI162" s="37">
        <f t="shared" ref="AI162:AJ162" si="241">AI92+AI97+AI102+AI107+AI112+AI117+AI122+AI132+AI137+AI142+AI147+AI152+AI157</f>
        <v>47174</v>
      </c>
      <c r="AJ162" s="37">
        <f t="shared" si="241"/>
        <v>45981.599999999999</v>
      </c>
      <c r="AK162" s="37">
        <f t="shared" ref="AK162:AK163" si="242">AJ162/AI162*100</f>
        <v>97.472336456522655</v>
      </c>
      <c r="AL162" s="37">
        <f t="shared" ref="AL162:AM162" si="243">AL92+AL97+AL102+AL107+AL112+AL117+AL122+AL132+AL137+AL142+AL147+AL152+AL157</f>
        <v>45831.199999999997</v>
      </c>
      <c r="AM162" s="37">
        <f t="shared" si="243"/>
        <v>48981.2</v>
      </c>
      <c r="AN162" s="37">
        <f t="shared" ref="AN162:AN163" si="244">AM162/AL162*100</f>
        <v>106.87304718183246</v>
      </c>
      <c r="AO162" s="37">
        <f t="shared" ref="AO162:AP162" si="245">AO92+AO97+AO102+AO107+AO112+AO117+AO122+AO132+AO137+AO142+AO147+AO152+AO157</f>
        <v>93199.7</v>
      </c>
      <c r="AP162" s="37">
        <f t="shared" si="245"/>
        <v>92707.5</v>
      </c>
      <c r="AQ162" s="37">
        <f t="shared" ref="AQ162:AQ163" si="246">AP162/AO162*100</f>
        <v>99.471886712081698</v>
      </c>
      <c r="AR162" s="33"/>
      <c r="AS162" s="33"/>
    </row>
    <row r="163" spans="1:45" x14ac:dyDescent="0.25">
      <c r="A163" s="130"/>
      <c r="B163" s="130"/>
      <c r="C163" s="130"/>
      <c r="D163" s="36" t="s">
        <v>43</v>
      </c>
      <c r="E163" s="37">
        <f t="shared" si="185"/>
        <v>125565.3</v>
      </c>
      <c r="F163" s="37">
        <f t="shared" si="185"/>
        <v>123881.49579999999</v>
      </c>
      <c r="G163" s="37">
        <f t="shared" si="224"/>
        <v>98.659021083053986</v>
      </c>
      <c r="H163" s="37">
        <f t="shared" ref="H163:I163" si="247">H93+H98+H103+H108+H113+H118+H123+H133+H138+H143+H148+H153+H158</f>
        <v>3243.2</v>
      </c>
      <c r="I163" s="37">
        <f t="shared" si="247"/>
        <v>1991.6</v>
      </c>
      <c r="J163" s="37">
        <f t="shared" si="226"/>
        <v>61.408485446472618</v>
      </c>
      <c r="K163" s="37">
        <f t="shared" ref="K163:L163" si="248">K93+K98+K103+K108+K113+K118+K123+K133+K138+K143+K148+K153+K158</f>
        <v>14791</v>
      </c>
      <c r="L163" s="37">
        <f t="shared" si="248"/>
        <v>17083.7</v>
      </c>
      <c r="M163" s="37">
        <f t="shared" si="222"/>
        <v>115.50064228246907</v>
      </c>
      <c r="N163" s="37">
        <f t="shared" ref="N163:O163" si="249">N93+N98+N103+N108+N113+N118+N123+N133+N138+N143+N148+N153+N158</f>
        <v>11466.8</v>
      </c>
      <c r="O163" s="37">
        <f t="shared" si="249"/>
        <v>10425.700000000001</v>
      </c>
      <c r="P163" s="37">
        <f t="shared" si="223"/>
        <v>90.920745107615048</v>
      </c>
      <c r="Q163" s="37">
        <f t="shared" ref="Q163:R163" si="250">Q93+Q98+Q103+Q108+Q113+Q118+Q123+Q133+Q138+Q143+Q148+Q153+Q158</f>
        <v>14682.099999999999</v>
      </c>
      <c r="R163" s="37">
        <f t="shared" si="250"/>
        <v>14672.099999999999</v>
      </c>
      <c r="S163" s="37">
        <f t="shared" si="230"/>
        <v>99.93188985226908</v>
      </c>
      <c r="T163" s="37">
        <f t="shared" ref="T163:U163" si="251">T93+T98+T103+T108+T113+T118+T123+T133+T138+T143+T148+T153+T158</f>
        <v>8866.7999999999993</v>
      </c>
      <c r="U163" s="37">
        <f t="shared" si="251"/>
        <v>8876.7999999999993</v>
      </c>
      <c r="V163" s="37">
        <f t="shared" si="232"/>
        <v>100.11278025894347</v>
      </c>
      <c r="W163" s="37">
        <f t="shared" ref="W163:X163" si="252">W93+W98+W103+W108+W113+W118+W123+W133+W138+W143+W148+W153+W158</f>
        <v>6438.9</v>
      </c>
      <c r="X163" s="37">
        <f t="shared" si="252"/>
        <v>6417.8</v>
      </c>
      <c r="Y163" s="37">
        <f t="shared" si="234"/>
        <v>99.67230427557503</v>
      </c>
      <c r="Z163" s="37">
        <f t="shared" ref="Z163:AA163" si="253">Z93+Z98+Z103+Z108+Z113+Z118+Z123+Z133+Z138+Z143+Z148+Z153+Z158</f>
        <v>10356.400000000001</v>
      </c>
      <c r="AA163" s="37">
        <f t="shared" si="253"/>
        <v>9682.5</v>
      </c>
      <c r="AB163" s="37">
        <f t="shared" si="236"/>
        <v>93.492912595110255</v>
      </c>
      <c r="AC163" s="37">
        <f t="shared" ref="AC163:AD163" si="254">AC93+AC98+AC103+AC108+AC113+AC118+AC123+AC133+AC138+AC143+AC148+AC153+AC158</f>
        <v>5686.8</v>
      </c>
      <c r="AD163" s="37">
        <f t="shared" si="254"/>
        <v>5523.9</v>
      </c>
      <c r="AE163" s="37">
        <f t="shared" si="238"/>
        <v>97.1354716184849</v>
      </c>
      <c r="AF163" s="37">
        <f t="shared" ref="AF163:AG163" si="255">AF93+AF98+AF103+AF108+AF113+AF118+AF123+AF133+AF138+AF143+AF148+AF153+AF158</f>
        <v>7887.3</v>
      </c>
      <c r="AG163" s="37">
        <f t="shared" si="255"/>
        <v>3978.9</v>
      </c>
      <c r="AH163" s="37">
        <f t="shared" si="240"/>
        <v>50.4469209995816</v>
      </c>
      <c r="AI163" s="37">
        <f t="shared" ref="AI163:AJ163" si="256">AI93+AI98+AI103+AI108+AI113+AI118+AI123+AI133+AI138+AI143+AI148+AI153+AI158</f>
        <v>14436.400000000001</v>
      </c>
      <c r="AJ163" s="37">
        <f t="shared" si="256"/>
        <v>10789.5</v>
      </c>
      <c r="AK163" s="37">
        <f t="shared" si="242"/>
        <v>74.738161868609893</v>
      </c>
      <c r="AL163" s="37">
        <f t="shared" ref="AL163:AM163" si="257">AL93+AL98+AL103+AL108+AL113+AL118+AL123+AL133+AL138+AL143+AL148+AL153+AL158</f>
        <v>10736.4</v>
      </c>
      <c r="AM163" s="37">
        <f t="shared" si="257"/>
        <v>10845</v>
      </c>
      <c r="AN163" s="37">
        <f t="shared" si="244"/>
        <v>101.01151223873926</v>
      </c>
      <c r="AO163" s="37">
        <f t="shared" ref="AO163:AP163" si="258">AO93+AO98+AO103+AO108+AO113+AO118+AO123+AO133+AO138+AO143+AO148+AO153+AO158</f>
        <v>16973.2</v>
      </c>
      <c r="AP163" s="37">
        <f t="shared" si="258"/>
        <v>23593.995800000008</v>
      </c>
      <c r="AQ163" s="37">
        <f t="shared" si="246"/>
        <v>139.00735158956476</v>
      </c>
      <c r="AR163" s="33"/>
      <c r="AS163" s="33"/>
    </row>
    <row r="164" spans="1:45" ht="13.9" customHeight="1" x14ac:dyDescent="0.25">
      <c r="A164" s="130"/>
      <c r="B164" s="130"/>
      <c r="C164" s="130"/>
      <c r="D164" s="36" t="s">
        <v>21</v>
      </c>
      <c r="E164" s="37">
        <f t="shared" si="185"/>
        <v>0</v>
      </c>
      <c r="F164" s="37">
        <f t="shared" si="185"/>
        <v>0</v>
      </c>
      <c r="G164" s="37"/>
      <c r="H164" s="37">
        <f>H94+H99+H104+H109+H114+H119+H124+H134+H139+H144+H149+H154</f>
        <v>0</v>
      </c>
      <c r="I164" s="37">
        <f>I94+I99+I104+I109+I114+I119+I124+I134+I139+I144+I149+I154</f>
        <v>0</v>
      </c>
      <c r="J164" s="37"/>
      <c r="K164" s="37">
        <f>K94+K99+K104+K109+K114+K119+K124+K134+K139+K144+K149+K154</f>
        <v>0</v>
      </c>
      <c r="L164" s="37">
        <f>L94+L99+L104+L109+L114+L119+L124+L134+L139+L144+L149+L154</f>
        <v>0</v>
      </c>
      <c r="M164" s="37"/>
      <c r="N164" s="37">
        <f>N94+N99+N104+N109+N114+N119+N124+N134+N139+N144+N149+N154</f>
        <v>0</v>
      </c>
      <c r="O164" s="37">
        <f>O94+O99+O104+O109+O114+O119+O124+O134+O139+O144+O149+O154</f>
        <v>0</v>
      </c>
      <c r="P164" s="37"/>
      <c r="Q164" s="37">
        <f>Q94+Q99+Q104+Q109+Q114+Q119+Q124+Q134+Q139+Q144+Q149+Q154</f>
        <v>0</v>
      </c>
      <c r="R164" s="37">
        <f>R94+R99+R104+R109+R114+R119+R124+R134+R139+R144+R149+R154</f>
        <v>0</v>
      </c>
      <c r="S164" s="37"/>
      <c r="T164" s="37">
        <f>T94+T99+T104+T109+T114+T119+T124+T134+T139+T144+T149+T154</f>
        <v>0</v>
      </c>
      <c r="U164" s="37">
        <f>U94+U99+U104+U109+U114+U119+U124+U134+U139+U144+U149+U154</f>
        <v>0</v>
      </c>
      <c r="V164" s="37"/>
      <c r="W164" s="37">
        <f>W94+W99+W104+W109+W114+W119+W124+W134+W139+W144+W149+W154</f>
        <v>0</v>
      </c>
      <c r="X164" s="37">
        <f>X94+X99+X104+X109+X114+X119+X124+X134+X139+X144+X149+X154</f>
        <v>0</v>
      </c>
      <c r="Y164" s="37"/>
      <c r="Z164" s="37">
        <f>Z94+Z99+Z104+Z109+Z114+Z119+Z124+Z134+Z139+Z144+Z149+Z154</f>
        <v>0</v>
      </c>
      <c r="AA164" s="37">
        <f>AA94+AA99+AA104+AA109+AA114+AA119+AA124+AA134+AA139+AA144+AA149+AA154</f>
        <v>0</v>
      </c>
      <c r="AB164" s="37"/>
      <c r="AC164" s="37">
        <f>AC94+AC99+AC104+AC109+AC114+AC119+AC124+AC134+AC139+AC144+AC149+AC154</f>
        <v>0</v>
      </c>
      <c r="AD164" s="37">
        <f>AD94+AD99+AD104+AD109+AD114+AD119+AD124+AD134+AD139+AD144+AD149+AD154</f>
        <v>0</v>
      </c>
      <c r="AE164" s="37"/>
      <c r="AF164" s="37">
        <f>AF94+AF99+AF104+AF109+AF114+AF119+AF124+AF134+AF139+AF144+AF149+AF154</f>
        <v>0</v>
      </c>
      <c r="AG164" s="37">
        <f>AG94+AG99+AG104+AG109+AG114+AG119+AG124+AG134+AG139+AG144+AG149+AG154</f>
        <v>0</v>
      </c>
      <c r="AH164" s="37"/>
      <c r="AI164" s="37">
        <f>AI94+AI99+AI104+AI109+AI114+AI119+AI124+AI134+AI139+AI144+AI149+AI154</f>
        <v>0</v>
      </c>
      <c r="AJ164" s="37">
        <f>AJ94+AJ99+AJ104+AJ109+AJ114+AJ119+AJ124+AJ134+AJ139+AJ144+AJ149+AJ154</f>
        <v>0</v>
      </c>
      <c r="AK164" s="37"/>
      <c r="AL164" s="37">
        <f>AL94+AL99+AL104+AL109+AL114+AL119+AL124+AL134+AL139+AL144+AL149+AL154</f>
        <v>0</v>
      </c>
      <c r="AM164" s="37">
        <f>AM94+AM99+AM104+AM109+AM114+AM119+AM124+AM134+AM139+AM144+AM149+AM154</f>
        <v>0</v>
      </c>
      <c r="AN164" s="37"/>
      <c r="AO164" s="37">
        <f>AO94+AO99+AO104+AO109+AO114+AO119+AO124+AO134+AO139+AO144+AO149+AO154</f>
        <v>0</v>
      </c>
      <c r="AP164" s="23"/>
      <c r="AQ164" s="37"/>
      <c r="AR164" s="33"/>
      <c r="AS164" s="33"/>
    </row>
    <row r="165" spans="1:45" ht="15.75" x14ac:dyDescent="0.25">
      <c r="A165" s="41" t="s">
        <v>62</v>
      </c>
      <c r="B165" s="34" t="s">
        <v>10</v>
      </c>
      <c r="C165" s="34"/>
      <c r="D165" s="34"/>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c r="AI165" s="85"/>
      <c r="AJ165" s="85"/>
      <c r="AK165" s="85"/>
      <c r="AL165" s="85"/>
      <c r="AM165" s="85"/>
      <c r="AN165" s="85"/>
      <c r="AO165" s="85"/>
      <c r="AP165" s="34"/>
      <c r="AQ165" s="34"/>
      <c r="AR165" s="33"/>
      <c r="AS165" s="33"/>
    </row>
    <row r="166" spans="1:45" ht="14.45" customHeight="1" x14ac:dyDescent="0.25">
      <c r="A166" s="127" t="s">
        <v>63</v>
      </c>
      <c r="B166" s="127" t="s">
        <v>96</v>
      </c>
      <c r="C166" s="127" t="s">
        <v>168</v>
      </c>
      <c r="D166" s="35" t="s">
        <v>3</v>
      </c>
      <c r="E166" s="23">
        <f t="shared" ref="E166:F181" si="259">H166+K166+N166+Q166+T166+W166+Z166+AC166+AF166+AI166+AL166+AO166</f>
        <v>0</v>
      </c>
      <c r="F166" s="23">
        <f t="shared" si="259"/>
        <v>0</v>
      </c>
      <c r="G166" s="23"/>
      <c r="H166" s="23">
        <f>H167+H168+H169+H170</f>
        <v>0</v>
      </c>
      <c r="I166" s="23">
        <f>I167+I168+I169+I170</f>
        <v>0</v>
      </c>
      <c r="J166" s="23"/>
      <c r="K166" s="23">
        <f t="shared" ref="K166:AO166" si="260">K167+K168+K169+K170</f>
        <v>0</v>
      </c>
      <c r="L166" s="23">
        <f t="shared" si="260"/>
        <v>0</v>
      </c>
      <c r="M166" s="23"/>
      <c r="N166" s="23">
        <f t="shared" si="260"/>
        <v>0</v>
      </c>
      <c r="O166" s="23"/>
      <c r="P166" s="21"/>
      <c r="Q166" s="23">
        <f t="shared" si="260"/>
        <v>0</v>
      </c>
      <c r="R166" s="23"/>
      <c r="S166" s="21"/>
      <c r="T166" s="23">
        <f t="shared" si="260"/>
        <v>0</v>
      </c>
      <c r="U166" s="23"/>
      <c r="V166" s="21"/>
      <c r="W166" s="23">
        <f t="shared" si="260"/>
        <v>0</v>
      </c>
      <c r="X166" s="23"/>
      <c r="Y166" s="21"/>
      <c r="Z166" s="23">
        <f t="shared" si="260"/>
        <v>0</v>
      </c>
      <c r="AA166" s="23"/>
      <c r="AB166" s="21"/>
      <c r="AC166" s="23">
        <f t="shared" si="260"/>
        <v>0</v>
      </c>
      <c r="AD166" s="23"/>
      <c r="AE166" s="21"/>
      <c r="AF166" s="23">
        <f t="shared" si="260"/>
        <v>0</v>
      </c>
      <c r="AG166" s="23">
        <f t="shared" si="260"/>
        <v>0</v>
      </c>
      <c r="AH166" s="21"/>
      <c r="AI166" s="23">
        <f t="shared" si="260"/>
        <v>0</v>
      </c>
      <c r="AJ166" s="23">
        <f t="shared" si="260"/>
        <v>0</v>
      </c>
      <c r="AK166" s="23"/>
      <c r="AL166" s="23">
        <f t="shared" si="260"/>
        <v>0</v>
      </c>
      <c r="AM166" s="23"/>
      <c r="AN166" s="23"/>
      <c r="AO166" s="23">
        <f t="shared" si="260"/>
        <v>0</v>
      </c>
      <c r="AP166" s="23"/>
      <c r="AQ166" s="21"/>
      <c r="AR166" s="33"/>
      <c r="AS166" s="33"/>
    </row>
    <row r="167" spans="1:45" ht="12" customHeight="1" x14ac:dyDescent="0.25">
      <c r="A167" s="127"/>
      <c r="B167" s="127"/>
      <c r="C167" s="127"/>
      <c r="D167" s="35" t="s">
        <v>20</v>
      </c>
      <c r="E167" s="23">
        <f t="shared" si="259"/>
        <v>0</v>
      </c>
      <c r="F167" s="23">
        <f t="shared" si="259"/>
        <v>0</v>
      </c>
      <c r="G167" s="23"/>
      <c r="H167" s="23"/>
      <c r="I167" s="23"/>
      <c r="J167" s="23"/>
      <c r="K167" s="23"/>
      <c r="L167" s="23"/>
      <c r="M167" s="23"/>
      <c r="N167" s="23"/>
      <c r="O167" s="23"/>
      <c r="P167" s="21"/>
      <c r="Q167" s="23"/>
      <c r="R167" s="23"/>
      <c r="S167" s="21"/>
      <c r="T167" s="23"/>
      <c r="U167" s="23"/>
      <c r="V167" s="21"/>
      <c r="W167" s="23"/>
      <c r="X167" s="23"/>
      <c r="Y167" s="21"/>
      <c r="Z167" s="23"/>
      <c r="AA167" s="23"/>
      <c r="AB167" s="21"/>
      <c r="AC167" s="23"/>
      <c r="AD167" s="23"/>
      <c r="AE167" s="21"/>
      <c r="AF167" s="23"/>
      <c r="AG167" s="23"/>
      <c r="AH167" s="21"/>
      <c r="AI167" s="23"/>
      <c r="AJ167" s="23"/>
      <c r="AK167" s="23"/>
      <c r="AL167" s="23"/>
      <c r="AM167" s="23"/>
      <c r="AN167" s="23"/>
      <c r="AO167" s="23"/>
      <c r="AP167" s="23"/>
      <c r="AQ167" s="21"/>
      <c r="AR167" s="33"/>
      <c r="AS167" s="33"/>
    </row>
    <row r="168" spans="1:45" ht="24" customHeight="1" x14ac:dyDescent="0.25">
      <c r="A168" s="127"/>
      <c r="B168" s="127"/>
      <c r="C168" s="127"/>
      <c r="D168" s="35" t="s">
        <v>4</v>
      </c>
      <c r="E168" s="23">
        <f t="shared" si="259"/>
        <v>0</v>
      </c>
      <c r="F168" s="23">
        <f t="shared" si="259"/>
        <v>0</v>
      </c>
      <c r="G168" s="23"/>
      <c r="H168" s="23"/>
      <c r="I168" s="23"/>
      <c r="J168" s="23"/>
      <c r="K168" s="23"/>
      <c r="L168" s="23"/>
      <c r="M168" s="23"/>
      <c r="N168" s="23"/>
      <c r="O168" s="23"/>
      <c r="P168" s="21"/>
      <c r="Q168" s="23"/>
      <c r="R168" s="23"/>
      <c r="S168" s="21"/>
      <c r="T168" s="23"/>
      <c r="U168" s="23"/>
      <c r="V168" s="21"/>
      <c r="W168" s="23"/>
      <c r="X168" s="23"/>
      <c r="Y168" s="21"/>
      <c r="Z168" s="23"/>
      <c r="AA168" s="23"/>
      <c r="AB168" s="21"/>
      <c r="AC168" s="23"/>
      <c r="AD168" s="23"/>
      <c r="AE168" s="21"/>
      <c r="AF168" s="23"/>
      <c r="AG168" s="23"/>
      <c r="AH168" s="21"/>
      <c r="AI168" s="23"/>
      <c r="AJ168" s="23"/>
      <c r="AK168" s="23"/>
      <c r="AL168" s="23"/>
      <c r="AM168" s="23"/>
      <c r="AN168" s="23"/>
      <c r="AO168" s="23"/>
      <c r="AP168" s="24"/>
      <c r="AQ168" s="21"/>
      <c r="AR168" s="33"/>
      <c r="AS168" s="33"/>
    </row>
    <row r="169" spans="1:45" x14ac:dyDescent="0.25">
      <c r="A169" s="127"/>
      <c r="B169" s="127"/>
      <c r="C169" s="127"/>
      <c r="D169" s="35" t="s">
        <v>43</v>
      </c>
      <c r="E169" s="23">
        <f t="shared" si="259"/>
        <v>0</v>
      </c>
      <c r="F169" s="23">
        <f t="shared" si="259"/>
        <v>0</v>
      </c>
      <c r="G169" s="23"/>
      <c r="H169" s="23"/>
      <c r="I169" s="23"/>
      <c r="J169" s="23"/>
      <c r="K169" s="23"/>
      <c r="L169" s="23"/>
      <c r="M169" s="23"/>
      <c r="N169" s="23"/>
      <c r="O169" s="23"/>
      <c r="P169" s="21"/>
      <c r="Q169" s="23"/>
      <c r="R169" s="23"/>
      <c r="S169" s="21"/>
      <c r="T169" s="23"/>
      <c r="U169" s="23"/>
      <c r="V169" s="21"/>
      <c r="W169" s="23"/>
      <c r="X169" s="23"/>
      <c r="Y169" s="21"/>
      <c r="Z169" s="23"/>
      <c r="AA169" s="23"/>
      <c r="AB169" s="21"/>
      <c r="AC169" s="23"/>
      <c r="AD169" s="23"/>
      <c r="AE169" s="21"/>
      <c r="AF169" s="23"/>
      <c r="AG169" s="23"/>
      <c r="AH169" s="21"/>
      <c r="AI169" s="23">
        <f>15-15</f>
        <v>0</v>
      </c>
      <c r="AJ169" s="23">
        <v>0</v>
      </c>
      <c r="AK169" s="23"/>
      <c r="AL169" s="23">
        <f>9.8-9.8</f>
        <v>0</v>
      </c>
      <c r="AM169" s="23"/>
      <c r="AN169" s="23"/>
      <c r="AO169" s="23"/>
      <c r="AP169" s="24"/>
      <c r="AQ169" s="21"/>
      <c r="AR169" s="89"/>
      <c r="AS169" s="33"/>
    </row>
    <row r="170" spans="1:45" ht="15.75" customHeight="1" x14ac:dyDescent="0.25">
      <c r="A170" s="127"/>
      <c r="B170" s="127"/>
      <c r="C170" s="127"/>
      <c r="D170" s="35" t="s">
        <v>21</v>
      </c>
      <c r="E170" s="23">
        <f t="shared" si="259"/>
        <v>0</v>
      </c>
      <c r="F170" s="23">
        <f t="shared" si="259"/>
        <v>0</v>
      </c>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4"/>
      <c r="AQ170" s="24"/>
      <c r="AR170" s="33"/>
      <c r="AS170" s="33"/>
    </row>
    <row r="171" spans="1:45" ht="12.6" customHeight="1" x14ac:dyDescent="0.25">
      <c r="A171" s="127" t="s">
        <v>64</v>
      </c>
      <c r="B171" s="127" t="s">
        <v>97</v>
      </c>
      <c r="C171" s="127" t="s">
        <v>168</v>
      </c>
      <c r="D171" s="35" t="s">
        <v>3</v>
      </c>
      <c r="E171" s="23">
        <f t="shared" si="259"/>
        <v>507.1</v>
      </c>
      <c r="F171" s="23">
        <f t="shared" si="259"/>
        <v>507.1</v>
      </c>
      <c r="G171" s="23">
        <f>F171/E171*100</f>
        <v>100</v>
      </c>
      <c r="H171" s="23">
        <f>H172+H173+H174+H175</f>
        <v>0</v>
      </c>
      <c r="I171" s="23"/>
      <c r="J171" s="21"/>
      <c r="K171" s="23">
        <f t="shared" ref="K171:AP171" si="261">K172+K173+K174+K175</f>
        <v>0</v>
      </c>
      <c r="L171" s="23"/>
      <c r="M171" s="21"/>
      <c r="N171" s="23">
        <f t="shared" si="261"/>
        <v>0</v>
      </c>
      <c r="O171" s="23"/>
      <c r="P171" s="21"/>
      <c r="Q171" s="23">
        <f t="shared" si="261"/>
        <v>0</v>
      </c>
      <c r="R171" s="23"/>
      <c r="S171" s="21"/>
      <c r="T171" s="23">
        <f t="shared" si="261"/>
        <v>0</v>
      </c>
      <c r="U171" s="23"/>
      <c r="V171" s="21"/>
      <c r="W171" s="23">
        <f t="shared" si="261"/>
        <v>0</v>
      </c>
      <c r="X171" s="23"/>
      <c r="Y171" s="21"/>
      <c r="Z171" s="23">
        <f t="shared" si="261"/>
        <v>0</v>
      </c>
      <c r="AA171" s="23"/>
      <c r="AB171" s="21"/>
      <c r="AC171" s="23">
        <f t="shared" si="261"/>
        <v>187.5</v>
      </c>
      <c r="AD171" s="23">
        <f t="shared" si="261"/>
        <v>135.80000000000001</v>
      </c>
      <c r="AE171" s="23">
        <f>AD171/AC171*100</f>
        <v>72.426666666666677</v>
      </c>
      <c r="AF171" s="23">
        <f t="shared" si="261"/>
        <v>58</v>
      </c>
      <c r="AG171" s="23">
        <f t="shared" si="261"/>
        <v>40</v>
      </c>
      <c r="AH171" s="23">
        <f>AG171/AF171*100</f>
        <v>68.965517241379317</v>
      </c>
      <c r="AI171" s="23">
        <f t="shared" si="261"/>
        <v>0</v>
      </c>
      <c r="AJ171" s="23">
        <f t="shared" si="261"/>
        <v>0</v>
      </c>
      <c r="AK171" s="23"/>
      <c r="AL171" s="23">
        <f t="shared" si="261"/>
        <v>129.6</v>
      </c>
      <c r="AM171" s="23">
        <f t="shared" si="261"/>
        <v>118.9</v>
      </c>
      <c r="AN171" s="23">
        <f>AM171/AL171*100</f>
        <v>91.743827160493836</v>
      </c>
      <c r="AO171" s="23">
        <f t="shared" si="261"/>
        <v>132</v>
      </c>
      <c r="AP171" s="23">
        <f t="shared" si="261"/>
        <v>212.4</v>
      </c>
      <c r="AQ171" s="23">
        <f>AP171/AO171*100</f>
        <v>160.90909090909091</v>
      </c>
      <c r="AR171" s="33"/>
      <c r="AS171" s="33"/>
    </row>
    <row r="172" spans="1:45" ht="13.15" customHeight="1" x14ac:dyDescent="0.25">
      <c r="A172" s="127"/>
      <c r="B172" s="127"/>
      <c r="C172" s="127"/>
      <c r="D172" s="35" t="s">
        <v>20</v>
      </c>
      <c r="E172" s="23">
        <f t="shared" si="259"/>
        <v>0</v>
      </c>
      <c r="F172" s="23">
        <f t="shared" si="259"/>
        <v>0</v>
      </c>
      <c r="G172" s="23"/>
      <c r="H172" s="23"/>
      <c r="I172" s="23"/>
      <c r="J172" s="21"/>
      <c r="K172" s="23"/>
      <c r="L172" s="23"/>
      <c r="M172" s="21"/>
      <c r="N172" s="23"/>
      <c r="O172" s="23"/>
      <c r="P172" s="21"/>
      <c r="Q172" s="23"/>
      <c r="R172" s="23"/>
      <c r="S172" s="21"/>
      <c r="T172" s="23"/>
      <c r="U172" s="23"/>
      <c r="V172" s="21"/>
      <c r="W172" s="23"/>
      <c r="X172" s="23"/>
      <c r="Y172" s="21"/>
      <c r="Z172" s="23"/>
      <c r="AA172" s="23"/>
      <c r="AB172" s="21"/>
      <c r="AC172" s="23"/>
      <c r="AD172" s="23"/>
      <c r="AE172" s="23"/>
      <c r="AF172" s="23"/>
      <c r="AG172" s="23"/>
      <c r="AH172" s="23"/>
      <c r="AI172" s="23"/>
      <c r="AJ172" s="23"/>
      <c r="AK172" s="23"/>
      <c r="AL172" s="23"/>
      <c r="AM172" s="23"/>
      <c r="AN172" s="23"/>
      <c r="AO172" s="23"/>
      <c r="AP172" s="23"/>
      <c r="AQ172" s="23"/>
      <c r="AR172" s="33"/>
      <c r="AS172" s="33"/>
    </row>
    <row r="173" spans="1:45" ht="24" x14ac:dyDescent="0.25">
      <c r="A173" s="127"/>
      <c r="B173" s="127"/>
      <c r="C173" s="127"/>
      <c r="D173" s="35" t="s">
        <v>4</v>
      </c>
      <c r="E173" s="23">
        <f t="shared" si="259"/>
        <v>0</v>
      </c>
      <c r="F173" s="23">
        <f t="shared" si="259"/>
        <v>0</v>
      </c>
      <c r="G173" s="23"/>
      <c r="H173" s="23"/>
      <c r="I173" s="23"/>
      <c r="J173" s="21"/>
      <c r="K173" s="23"/>
      <c r="L173" s="23"/>
      <c r="M173" s="21"/>
      <c r="N173" s="23"/>
      <c r="O173" s="23"/>
      <c r="P173" s="21"/>
      <c r="Q173" s="23"/>
      <c r="R173" s="23"/>
      <c r="S173" s="21"/>
      <c r="T173" s="23"/>
      <c r="U173" s="23"/>
      <c r="V173" s="21"/>
      <c r="W173" s="23"/>
      <c r="X173" s="23"/>
      <c r="Y173" s="21"/>
      <c r="Z173" s="23"/>
      <c r="AA173" s="23"/>
      <c r="AB173" s="21"/>
      <c r="AC173" s="23"/>
      <c r="AD173" s="23"/>
      <c r="AE173" s="23"/>
      <c r="AF173" s="23"/>
      <c r="AG173" s="23"/>
      <c r="AH173" s="23"/>
      <c r="AI173" s="23"/>
      <c r="AJ173" s="23"/>
      <c r="AK173" s="23"/>
      <c r="AL173" s="23"/>
      <c r="AM173" s="23"/>
      <c r="AN173" s="23"/>
      <c r="AO173" s="23"/>
      <c r="AP173" s="24"/>
      <c r="AQ173" s="23"/>
      <c r="AR173" s="33"/>
      <c r="AS173" s="33"/>
    </row>
    <row r="174" spans="1:45" ht="84" x14ac:dyDescent="0.25">
      <c r="A174" s="127"/>
      <c r="B174" s="127"/>
      <c r="C174" s="127"/>
      <c r="D174" s="35" t="s">
        <v>43</v>
      </c>
      <c r="E174" s="23">
        <f t="shared" si="259"/>
        <v>507.1</v>
      </c>
      <c r="F174" s="23">
        <f t="shared" si="259"/>
        <v>507.1</v>
      </c>
      <c r="G174" s="23">
        <f t="shared" ref="G174" si="262">F174/E174*100</f>
        <v>100</v>
      </c>
      <c r="H174" s="23"/>
      <c r="I174" s="23"/>
      <c r="J174" s="21"/>
      <c r="K174" s="23"/>
      <c r="L174" s="23"/>
      <c r="M174" s="21"/>
      <c r="N174" s="23"/>
      <c r="O174" s="23"/>
      <c r="P174" s="21"/>
      <c r="Q174" s="23"/>
      <c r="R174" s="23"/>
      <c r="S174" s="21"/>
      <c r="T174" s="23"/>
      <c r="U174" s="23"/>
      <c r="V174" s="21"/>
      <c r="W174" s="23"/>
      <c r="X174" s="23"/>
      <c r="Y174" s="21"/>
      <c r="Z174" s="23"/>
      <c r="AA174" s="23"/>
      <c r="AB174" s="21"/>
      <c r="AC174" s="23">
        <f>17.5+170</f>
        <v>187.5</v>
      </c>
      <c r="AD174" s="23">
        <v>135.80000000000001</v>
      </c>
      <c r="AE174" s="23">
        <f t="shared" ref="AE174" si="263">AD174/AC174*100</f>
        <v>72.426666666666677</v>
      </c>
      <c r="AF174" s="23">
        <v>58</v>
      </c>
      <c r="AG174" s="23">
        <v>40</v>
      </c>
      <c r="AH174" s="23">
        <f t="shared" ref="AH174" si="264">AG174/AF174*100</f>
        <v>68.965517241379317</v>
      </c>
      <c r="AI174" s="23">
        <v>0</v>
      </c>
      <c r="AJ174" s="23">
        <v>0</v>
      </c>
      <c r="AK174" s="23"/>
      <c r="AL174" s="23">
        <v>129.6</v>
      </c>
      <c r="AM174" s="23">
        <v>118.9</v>
      </c>
      <c r="AN174" s="23">
        <f t="shared" ref="AN174" si="265">AM174/AL174*100</f>
        <v>91.743827160493836</v>
      </c>
      <c r="AO174" s="23">
        <v>132</v>
      </c>
      <c r="AP174" s="24">
        <v>212.4</v>
      </c>
      <c r="AQ174" s="23">
        <f t="shared" ref="AQ174" si="266">AP174/AO174*100</f>
        <v>160.90909090909091</v>
      </c>
      <c r="AR174" s="89" t="s">
        <v>198</v>
      </c>
      <c r="AS174" s="89" t="s">
        <v>210</v>
      </c>
    </row>
    <row r="175" spans="1:45" ht="13.15" customHeight="1" x14ac:dyDescent="0.25">
      <c r="A175" s="127"/>
      <c r="B175" s="127"/>
      <c r="C175" s="127"/>
      <c r="D175" s="35" t="s">
        <v>21</v>
      </c>
      <c r="E175" s="23">
        <f t="shared" si="259"/>
        <v>0</v>
      </c>
      <c r="F175" s="23">
        <f t="shared" si="259"/>
        <v>0</v>
      </c>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4"/>
      <c r="AQ175" s="24"/>
      <c r="AR175" s="33"/>
      <c r="AS175" s="33"/>
    </row>
    <row r="176" spans="1:45" ht="13.15" customHeight="1" x14ac:dyDescent="0.25">
      <c r="A176" s="127" t="s">
        <v>65</v>
      </c>
      <c r="B176" s="127" t="s">
        <v>98</v>
      </c>
      <c r="C176" s="127" t="s">
        <v>168</v>
      </c>
      <c r="D176" s="35" t="s">
        <v>3</v>
      </c>
      <c r="E176" s="23">
        <f t="shared" si="259"/>
        <v>330.2</v>
      </c>
      <c r="F176" s="23">
        <f t="shared" si="259"/>
        <v>330.2</v>
      </c>
      <c r="G176" s="23">
        <f>F176/E176*100</f>
        <v>100</v>
      </c>
      <c r="H176" s="23">
        <f>H177+H178+H179+H180</f>
        <v>0</v>
      </c>
      <c r="I176" s="23"/>
      <c r="J176" s="21"/>
      <c r="K176" s="23">
        <f t="shared" ref="K176:AP176" si="267">K177+K178+K179+K180</f>
        <v>154</v>
      </c>
      <c r="L176" s="23"/>
      <c r="M176" s="21"/>
      <c r="N176" s="23">
        <f t="shared" si="267"/>
        <v>0</v>
      </c>
      <c r="O176" s="23">
        <f t="shared" si="267"/>
        <v>154</v>
      </c>
      <c r="P176" s="23"/>
      <c r="Q176" s="23">
        <f t="shared" si="267"/>
        <v>0</v>
      </c>
      <c r="R176" s="23"/>
      <c r="S176" s="21"/>
      <c r="T176" s="23">
        <f t="shared" si="267"/>
        <v>0</v>
      </c>
      <c r="U176" s="23">
        <f t="shared" si="267"/>
        <v>0</v>
      </c>
      <c r="V176" s="23"/>
      <c r="W176" s="23">
        <f t="shared" si="267"/>
        <v>0</v>
      </c>
      <c r="X176" s="23">
        <f t="shared" si="267"/>
        <v>0</v>
      </c>
      <c r="Y176" s="21"/>
      <c r="Z176" s="23">
        <f t="shared" si="267"/>
        <v>0</v>
      </c>
      <c r="AA176" s="23"/>
      <c r="AB176" s="21"/>
      <c r="AC176" s="23">
        <f t="shared" si="267"/>
        <v>0</v>
      </c>
      <c r="AD176" s="23"/>
      <c r="AE176" s="21"/>
      <c r="AF176" s="23">
        <f t="shared" si="267"/>
        <v>0</v>
      </c>
      <c r="AG176" s="23">
        <f t="shared" si="267"/>
        <v>0</v>
      </c>
      <c r="AH176" s="23"/>
      <c r="AI176" s="23">
        <f t="shared" si="267"/>
        <v>0</v>
      </c>
      <c r="AJ176" s="23">
        <f t="shared" si="267"/>
        <v>0</v>
      </c>
      <c r="AK176" s="23"/>
      <c r="AL176" s="23">
        <f t="shared" si="267"/>
        <v>0</v>
      </c>
      <c r="AM176" s="23">
        <f t="shared" si="267"/>
        <v>0</v>
      </c>
      <c r="AN176" s="21"/>
      <c r="AO176" s="23">
        <f t="shared" si="267"/>
        <v>176.2</v>
      </c>
      <c r="AP176" s="23">
        <f t="shared" si="267"/>
        <v>176.2</v>
      </c>
      <c r="AQ176" s="23">
        <f>AP176/AO176*100</f>
        <v>100</v>
      </c>
      <c r="AR176" s="33"/>
      <c r="AS176" s="33"/>
    </row>
    <row r="177" spans="1:45" x14ac:dyDescent="0.25">
      <c r="A177" s="127"/>
      <c r="B177" s="127"/>
      <c r="C177" s="127"/>
      <c r="D177" s="35" t="s">
        <v>20</v>
      </c>
      <c r="E177" s="23">
        <f t="shared" si="259"/>
        <v>0</v>
      </c>
      <c r="F177" s="23">
        <f t="shared" si="259"/>
        <v>0</v>
      </c>
      <c r="G177" s="23"/>
      <c r="H177" s="23"/>
      <c r="I177" s="23"/>
      <c r="J177" s="21"/>
      <c r="K177" s="23"/>
      <c r="L177" s="23"/>
      <c r="M177" s="21"/>
      <c r="N177" s="23"/>
      <c r="O177" s="23"/>
      <c r="P177" s="23"/>
      <c r="Q177" s="23"/>
      <c r="R177" s="23"/>
      <c r="S177" s="21"/>
      <c r="T177" s="23"/>
      <c r="U177" s="23"/>
      <c r="V177" s="23"/>
      <c r="W177" s="23"/>
      <c r="X177" s="23"/>
      <c r="Y177" s="21"/>
      <c r="Z177" s="23"/>
      <c r="AA177" s="23"/>
      <c r="AB177" s="21"/>
      <c r="AC177" s="23"/>
      <c r="AD177" s="23"/>
      <c r="AE177" s="21"/>
      <c r="AF177" s="23"/>
      <c r="AG177" s="23"/>
      <c r="AH177" s="23"/>
      <c r="AI177" s="23"/>
      <c r="AJ177" s="23"/>
      <c r="AK177" s="23"/>
      <c r="AL177" s="23"/>
      <c r="AM177" s="23"/>
      <c r="AN177" s="21"/>
      <c r="AO177" s="23"/>
      <c r="AP177" s="23"/>
      <c r="AQ177" s="23"/>
      <c r="AR177" s="33"/>
      <c r="AS177" s="33"/>
    </row>
    <row r="178" spans="1:45" ht="24" x14ac:dyDescent="0.25">
      <c r="A178" s="127"/>
      <c r="B178" s="127"/>
      <c r="C178" s="127"/>
      <c r="D178" s="35" t="s">
        <v>4</v>
      </c>
      <c r="E178" s="23">
        <f t="shared" si="259"/>
        <v>0</v>
      </c>
      <c r="F178" s="23">
        <f t="shared" si="259"/>
        <v>0</v>
      </c>
      <c r="G178" s="23"/>
      <c r="H178" s="23"/>
      <c r="I178" s="23"/>
      <c r="J178" s="21"/>
      <c r="K178" s="23"/>
      <c r="L178" s="23"/>
      <c r="M178" s="21"/>
      <c r="N178" s="23"/>
      <c r="O178" s="23"/>
      <c r="P178" s="23"/>
      <c r="Q178" s="23"/>
      <c r="R178" s="23"/>
      <c r="S178" s="21"/>
      <c r="T178" s="23"/>
      <c r="U178" s="23"/>
      <c r="V178" s="23"/>
      <c r="W178" s="23"/>
      <c r="X178" s="23"/>
      <c r="Y178" s="21"/>
      <c r="Z178" s="23"/>
      <c r="AA178" s="23"/>
      <c r="AB178" s="21"/>
      <c r="AC178" s="23"/>
      <c r="AD178" s="23"/>
      <c r="AE178" s="21"/>
      <c r="AF178" s="23"/>
      <c r="AG178" s="23"/>
      <c r="AH178" s="23"/>
      <c r="AI178" s="23"/>
      <c r="AJ178" s="23"/>
      <c r="AK178" s="23"/>
      <c r="AL178" s="23"/>
      <c r="AM178" s="23"/>
      <c r="AN178" s="21"/>
      <c r="AO178" s="23"/>
      <c r="AP178" s="24"/>
      <c r="AQ178" s="23"/>
      <c r="AR178" s="33"/>
      <c r="AS178" s="33"/>
    </row>
    <row r="179" spans="1:45" ht="48" customHeight="1" x14ac:dyDescent="0.25">
      <c r="A179" s="127"/>
      <c r="B179" s="127"/>
      <c r="C179" s="127"/>
      <c r="D179" s="35" t="s">
        <v>43</v>
      </c>
      <c r="E179" s="23">
        <f t="shared" si="259"/>
        <v>330.2</v>
      </c>
      <c r="F179" s="23">
        <f t="shared" si="259"/>
        <v>330.2</v>
      </c>
      <c r="G179" s="23">
        <f t="shared" ref="G179" si="268">F179/E179*100</f>
        <v>100</v>
      </c>
      <c r="H179" s="23"/>
      <c r="I179" s="23"/>
      <c r="J179" s="21"/>
      <c r="K179" s="23">
        <v>154</v>
      </c>
      <c r="L179" s="23"/>
      <c r="M179" s="21"/>
      <c r="N179" s="23">
        <f>106-106</f>
        <v>0</v>
      </c>
      <c r="O179" s="23">
        <v>154</v>
      </c>
      <c r="P179" s="23"/>
      <c r="Q179" s="23"/>
      <c r="R179" s="23"/>
      <c r="S179" s="21"/>
      <c r="T179" s="23"/>
      <c r="U179" s="23"/>
      <c r="V179" s="23"/>
      <c r="W179" s="23"/>
      <c r="X179" s="23"/>
      <c r="Y179" s="21"/>
      <c r="Z179" s="23"/>
      <c r="AA179" s="23"/>
      <c r="AB179" s="21"/>
      <c r="AC179" s="23"/>
      <c r="AD179" s="23"/>
      <c r="AE179" s="21"/>
      <c r="AF179" s="23"/>
      <c r="AG179" s="23"/>
      <c r="AH179" s="23"/>
      <c r="AI179" s="23"/>
      <c r="AJ179" s="23"/>
      <c r="AK179" s="23"/>
      <c r="AL179" s="23"/>
      <c r="AM179" s="23"/>
      <c r="AN179" s="21"/>
      <c r="AO179" s="23">
        <f>96.2+80</f>
        <v>176.2</v>
      </c>
      <c r="AP179" s="23">
        <f>96.2+80</f>
        <v>176.2</v>
      </c>
      <c r="AQ179" s="23">
        <f t="shared" ref="AQ179" si="269">AP179/AO179*100</f>
        <v>100</v>
      </c>
      <c r="AR179" s="89" t="s">
        <v>199</v>
      </c>
      <c r="AS179" s="89"/>
    </row>
    <row r="180" spans="1:45" ht="12.6" customHeight="1" x14ac:dyDescent="0.25">
      <c r="A180" s="127"/>
      <c r="B180" s="127"/>
      <c r="C180" s="127"/>
      <c r="D180" s="35" t="s">
        <v>21</v>
      </c>
      <c r="E180" s="23">
        <f t="shared" si="259"/>
        <v>0</v>
      </c>
      <c r="F180" s="23">
        <f t="shared" si="259"/>
        <v>0</v>
      </c>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4"/>
      <c r="AQ180" s="23"/>
      <c r="AR180" s="33"/>
      <c r="AS180" s="33"/>
    </row>
    <row r="181" spans="1:45" ht="12" customHeight="1" x14ac:dyDescent="0.25">
      <c r="A181" s="127" t="s">
        <v>66</v>
      </c>
      <c r="B181" s="127" t="s">
        <v>144</v>
      </c>
      <c r="C181" s="127" t="s">
        <v>168</v>
      </c>
      <c r="D181" s="35" t="s">
        <v>3</v>
      </c>
      <c r="E181" s="23">
        <f t="shared" si="259"/>
        <v>16372.300000000001</v>
      </c>
      <c r="F181" s="23">
        <f t="shared" si="259"/>
        <v>15226.084130000001</v>
      </c>
      <c r="G181" s="23">
        <f>F181/E181*100</f>
        <v>92.999054073037996</v>
      </c>
      <c r="H181" s="23">
        <f>H182+H183+H184+H185</f>
        <v>804</v>
      </c>
      <c r="I181" s="23">
        <f>I182+I183+I184+I185</f>
        <v>1300</v>
      </c>
      <c r="J181" s="23">
        <f>I181/H181*100</f>
        <v>161.69154228855723</v>
      </c>
      <c r="K181" s="23">
        <f t="shared" ref="K181:AP181" si="270">K182+K183+K184+K185</f>
        <v>1582.8</v>
      </c>
      <c r="L181" s="23">
        <f t="shared" si="270"/>
        <v>1582.8</v>
      </c>
      <c r="M181" s="23">
        <f t="shared" ref="M181:M184" si="271">L181/K181*100</f>
        <v>100</v>
      </c>
      <c r="N181" s="23">
        <f t="shared" si="270"/>
        <v>1848.8</v>
      </c>
      <c r="O181" s="23">
        <f t="shared" si="270"/>
        <v>1352.8000000000002</v>
      </c>
      <c r="P181" s="23">
        <f t="shared" ref="P181:P184" si="272">O181/N181*100</f>
        <v>73.171787105149306</v>
      </c>
      <c r="Q181" s="23">
        <f t="shared" si="270"/>
        <v>285</v>
      </c>
      <c r="R181" s="23">
        <f t="shared" si="270"/>
        <v>285</v>
      </c>
      <c r="S181" s="23">
        <f>R181/Q181*100</f>
        <v>100</v>
      </c>
      <c r="T181" s="23">
        <f t="shared" si="270"/>
        <v>1600</v>
      </c>
      <c r="U181" s="23">
        <f t="shared" si="270"/>
        <v>1600</v>
      </c>
      <c r="V181" s="23">
        <f>U181/T181*100</f>
        <v>100</v>
      </c>
      <c r="W181" s="23">
        <f t="shared" si="270"/>
        <v>500</v>
      </c>
      <c r="X181" s="23">
        <f t="shared" si="270"/>
        <v>500</v>
      </c>
      <c r="Y181" s="23">
        <f>X181/W181*100</f>
        <v>100</v>
      </c>
      <c r="Z181" s="23">
        <f t="shared" si="270"/>
        <v>1600</v>
      </c>
      <c r="AA181" s="23">
        <f t="shared" si="270"/>
        <v>1600</v>
      </c>
      <c r="AB181" s="23">
        <f>AA181/Z181*100</f>
        <v>100</v>
      </c>
      <c r="AC181" s="23">
        <f t="shared" si="270"/>
        <v>1307.5999999999999</v>
      </c>
      <c r="AD181" s="23">
        <f t="shared" si="270"/>
        <v>950</v>
      </c>
      <c r="AE181" s="23">
        <f>AD181/AC181*100</f>
        <v>72.652187213215058</v>
      </c>
      <c r="AF181" s="23">
        <f t="shared" si="270"/>
        <v>1241.5999999999999</v>
      </c>
      <c r="AG181" s="23">
        <f t="shared" si="270"/>
        <v>1000</v>
      </c>
      <c r="AH181" s="23">
        <f>AG181/AF181*100</f>
        <v>80.541237113402062</v>
      </c>
      <c r="AI181" s="23">
        <f t="shared" si="270"/>
        <v>2128.8000000000002</v>
      </c>
      <c r="AJ181" s="23">
        <f t="shared" si="270"/>
        <v>1300</v>
      </c>
      <c r="AK181" s="23">
        <f>AJ181/AI181*100</f>
        <v>61.067267944381811</v>
      </c>
      <c r="AL181" s="23">
        <f t="shared" si="270"/>
        <v>1962.8</v>
      </c>
      <c r="AM181" s="23">
        <f t="shared" si="270"/>
        <v>1400</v>
      </c>
      <c r="AN181" s="23">
        <f>AM181/AL181*100</f>
        <v>71.32667617689016</v>
      </c>
      <c r="AO181" s="23">
        <f t="shared" si="270"/>
        <v>1510.9</v>
      </c>
      <c r="AP181" s="23">
        <f t="shared" si="270"/>
        <v>2355.4841300000007</v>
      </c>
      <c r="AQ181" s="23">
        <f>AP181/AO181*100</f>
        <v>155.89940631411744</v>
      </c>
      <c r="AR181" s="33"/>
      <c r="AS181" s="33"/>
    </row>
    <row r="182" spans="1:45" ht="13.15" customHeight="1" x14ac:dyDescent="0.25">
      <c r="A182" s="127"/>
      <c r="B182" s="127"/>
      <c r="C182" s="127"/>
      <c r="D182" s="35" t="s">
        <v>20</v>
      </c>
      <c r="E182" s="23">
        <f t="shared" ref="E182:F200" si="273">H182+K182+N182+Q182+T182+W182+Z182+AC182+AF182+AI182+AL182+AO182</f>
        <v>0</v>
      </c>
      <c r="F182" s="23">
        <f t="shared" si="273"/>
        <v>0</v>
      </c>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33"/>
      <c r="AS182" s="33"/>
    </row>
    <row r="183" spans="1:45" ht="24" x14ac:dyDescent="0.25">
      <c r="A183" s="127"/>
      <c r="B183" s="127"/>
      <c r="C183" s="127"/>
      <c r="D183" s="35" t="s">
        <v>4</v>
      </c>
      <c r="E183" s="23">
        <f t="shared" si="273"/>
        <v>0</v>
      </c>
      <c r="F183" s="23">
        <f t="shared" si="273"/>
        <v>0</v>
      </c>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4"/>
      <c r="AQ183" s="23"/>
      <c r="AR183" s="33"/>
      <c r="AS183" s="33"/>
    </row>
    <row r="184" spans="1:45" ht="40.15" customHeight="1" x14ac:dyDescent="0.25">
      <c r="A184" s="127"/>
      <c r="B184" s="127"/>
      <c r="C184" s="127"/>
      <c r="D184" s="35" t="s">
        <v>43</v>
      </c>
      <c r="E184" s="23">
        <f t="shared" si="273"/>
        <v>16372.300000000001</v>
      </c>
      <c r="F184" s="23">
        <f t="shared" si="273"/>
        <v>15226.084130000001</v>
      </c>
      <c r="G184" s="23">
        <f t="shared" ref="G184" si="274">F184/E184*100</f>
        <v>92.999054073037996</v>
      </c>
      <c r="H184" s="23">
        <v>804</v>
      </c>
      <c r="I184" s="23">
        <v>1300</v>
      </c>
      <c r="J184" s="23">
        <f t="shared" ref="J184" si="275">I184/H184*100</f>
        <v>161.69154228855723</v>
      </c>
      <c r="K184" s="23">
        <v>1582.8</v>
      </c>
      <c r="L184" s="23">
        <v>1582.8</v>
      </c>
      <c r="M184" s="23">
        <f t="shared" si="271"/>
        <v>100</v>
      </c>
      <c r="N184" s="23">
        <v>1848.8</v>
      </c>
      <c r="O184" s="23">
        <v>1352.8000000000002</v>
      </c>
      <c r="P184" s="23">
        <f t="shared" si="272"/>
        <v>73.171787105149306</v>
      </c>
      <c r="Q184" s="23">
        <v>285</v>
      </c>
      <c r="R184" s="23">
        <v>285</v>
      </c>
      <c r="S184" s="23">
        <f t="shared" ref="S184" si="276">R184/Q184*100</f>
        <v>100</v>
      </c>
      <c r="T184" s="23">
        <v>1600</v>
      </c>
      <c r="U184" s="23">
        <v>1600</v>
      </c>
      <c r="V184" s="23">
        <f t="shared" ref="V184" si="277">U184/T184*100</f>
        <v>100</v>
      </c>
      <c r="W184" s="23">
        <v>500</v>
      </c>
      <c r="X184" s="23">
        <v>500</v>
      </c>
      <c r="Y184" s="23">
        <f t="shared" ref="Y184" si="278">X184/W184*100</f>
        <v>100</v>
      </c>
      <c r="Z184" s="23">
        <v>1600</v>
      </c>
      <c r="AA184" s="23">
        <v>1600</v>
      </c>
      <c r="AB184" s="23">
        <f t="shared" ref="AB184" si="279">AA184/Z184*100</f>
        <v>100</v>
      </c>
      <c r="AC184" s="23">
        <f>1807.6-500</f>
        <v>1307.5999999999999</v>
      </c>
      <c r="AD184" s="23">
        <v>950</v>
      </c>
      <c r="AE184" s="23">
        <f t="shared" ref="AE184" si="280">AD184/AC184*100</f>
        <v>72.652187213215058</v>
      </c>
      <c r="AF184" s="23">
        <f>1796.6-555</f>
        <v>1241.5999999999999</v>
      </c>
      <c r="AG184" s="23">
        <v>1000</v>
      </c>
      <c r="AH184" s="23">
        <f t="shared" ref="AH184" si="281">AG184/AF184*100</f>
        <v>80.541237113402062</v>
      </c>
      <c r="AI184" s="23">
        <v>2128.8000000000002</v>
      </c>
      <c r="AJ184" s="23">
        <v>1300</v>
      </c>
      <c r="AK184" s="23">
        <f t="shared" ref="AK184" si="282">AJ184/AI184*100</f>
        <v>61.067267944381811</v>
      </c>
      <c r="AL184" s="23">
        <v>1962.8</v>
      </c>
      <c r="AM184" s="23">
        <v>1400</v>
      </c>
      <c r="AN184" s="23">
        <f t="shared" ref="AN184" si="283">AM184/AL184*100</f>
        <v>71.32667617689016</v>
      </c>
      <c r="AO184" s="23">
        <f>1510.9+493.4+0.5-493.9</f>
        <v>1510.9</v>
      </c>
      <c r="AP184" s="23">
        <v>2355.4841300000007</v>
      </c>
      <c r="AQ184" s="23">
        <f t="shared" ref="AQ184" si="284">AP184/AO184*100</f>
        <v>155.89940631411744</v>
      </c>
      <c r="AR184" s="89" t="s">
        <v>187</v>
      </c>
      <c r="AS184" s="89" t="s">
        <v>207</v>
      </c>
    </row>
    <row r="185" spans="1:45" ht="13.9" customHeight="1" x14ac:dyDescent="0.25">
      <c r="A185" s="127"/>
      <c r="B185" s="127"/>
      <c r="C185" s="127"/>
      <c r="D185" s="35" t="s">
        <v>21</v>
      </c>
      <c r="E185" s="23">
        <f t="shared" si="273"/>
        <v>0</v>
      </c>
      <c r="F185" s="23">
        <f t="shared" si="273"/>
        <v>0</v>
      </c>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4"/>
      <c r="AQ185" s="24"/>
      <c r="AR185" s="33"/>
      <c r="AS185" s="33"/>
    </row>
    <row r="186" spans="1:45" ht="13.15" customHeight="1" x14ac:dyDescent="0.25">
      <c r="A186" s="127" t="s">
        <v>67</v>
      </c>
      <c r="B186" s="127" t="s">
        <v>167</v>
      </c>
      <c r="C186" s="127" t="s">
        <v>168</v>
      </c>
      <c r="D186" s="35" t="s">
        <v>3</v>
      </c>
      <c r="E186" s="23">
        <f t="shared" si="273"/>
        <v>32181.5</v>
      </c>
      <c r="F186" s="23">
        <f t="shared" si="273"/>
        <v>30660.9</v>
      </c>
      <c r="G186" s="23">
        <f>F186/E186*100</f>
        <v>95.274925034569563</v>
      </c>
      <c r="H186" s="23">
        <f>H187+H188+H189+H190</f>
        <v>847.6</v>
      </c>
      <c r="I186" s="23">
        <f>I187+I188+I189+I190</f>
        <v>559.29999999999995</v>
      </c>
      <c r="J186" s="23">
        <f>I186/H186*100</f>
        <v>65.98631429919773</v>
      </c>
      <c r="K186" s="23">
        <f t="shared" ref="K186:AP186" si="285">K187+K188+K189+K190</f>
        <v>4601.8999999999996</v>
      </c>
      <c r="L186" s="23">
        <f t="shared" si="285"/>
        <v>3275.1</v>
      </c>
      <c r="M186" s="23">
        <f t="shared" ref="M186:M189" si="286">L186/K186*100</f>
        <v>71.168430430908984</v>
      </c>
      <c r="N186" s="23">
        <f t="shared" si="285"/>
        <v>3515</v>
      </c>
      <c r="O186" s="23">
        <f t="shared" si="285"/>
        <v>2865.5</v>
      </c>
      <c r="P186" s="23">
        <f t="shared" ref="P186:P189" si="287">O186/N186*100</f>
        <v>81.522048364153633</v>
      </c>
      <c r="Q186" s="23">
        <f t="shared" si="285"/>
        <v>2732.1</v>
      </c>
      <c r="R186" s="23">
        <f t="shared" si="285"/>
        <v>2892.3999999999996</v>
      </c>
      <c r="S186" s="23">
        <f>R186/Q186*100</f>
        <v>105.86728157827312</v>
      </c>
      <c r="T186" s="23">
        <f t="shared" si="285"/>
        <v>2010.3999999999999</v>
      </c>
      <c r="U186" s="23">
        <f t="shared" si="285"/>
        <v>1946.3</v>
      </c>
      <c r="V186" s="23">
        <f>U186/T186*100</f>
        <v>96.811579785117402</v>
      </c>
      <c r="W186" s="23">
        <f t="shared" si="285"/>
        <v>3249.6</v>
      </c>
      <c r="X186" s="23">
        <f t="shared" si="285"/>
        <v>2511.6</v>
      </c>
      <c r="Y186" s="23">
        <f>X186/W186*100</f>
        <v>77.28951255539144</v>
      </c>
      <c r="Z186" s="23">
        <f t="shared" si="285"/>
        <v>3439.9</v>
      </c>
      <c r="AA186" s="23">
        <f t="shared" si="285"/>
        <v>3450.3</v>
      </c>
      <c r="AB186" s="23">
        <f>AA186/Z186*100</f>
        <v>100.30233437018519</v>
      </c>
      <c r="AC186" s="23">
        <f t="shared" si="285"/>
        <v>2048.2999999999997</v>
      </c>
      <c r="AD186" s="23">
        <f t="shared" si="285"/>
        <v>2843.3999999999996</v>
      </c>
      <c r="AE186" s="23">
        <f>AD186/AC186*100</f>
        <v>138.81755602206709</v>
      </c>
      <c r="AF186" s="23">
        <f t="shared" si="285"/>
        <v>2747.9</v>
      </c>
      <c r="AG186" s="23">
        <f t="shared" si="285"/>
        <v>2350.6000000000004</v>
      </c>
      <c r="AH186" s="23">
        <f>AG186/AF186*100</f>
        <v>85.541686378689192</v>
      </c>
      <c r="AI186" s="23">
        <f t="shared" si="285"/>
        <v>2087.8000000000002</v>
      </c>
      <c r="AJ186" s="23">
        <f t="shared" si="285"/>
        <v>2093.4</v>
      </c>
      <c r="AK186" s="23">
        <f>AJ186/AI186*100</f>
        <v>100.26822492575917</v>
      </c>
      <c r="AL186" s="23">
        <f t="shared" si="285"/>
        <v>1869.8</v>
      </c>
      <c r="AM186" s="23">
        <f t="shared" si="285"/>
        <v>1917</v>
      </c>
      <c r="AN186" s="23">
        <f>AM186/AL186*100</f>
        <v>102.5243341533854</v>
      </c>
      <c r="AO186" s="23">
        <f t="shared" si="285"/>
        <v>3031.2</v>
      </c>
      <c r="AP186" s="23">
        <f t="shared" si="285"/>
        <v>3956</v>
      </c>
      <c r="AQ186" s="23">
        <f>AP186/AO186*100</f>
        <v>130.50936922670891</v>
      </c>
      <c r="AR186" s="33"/>
      <c r="AS186" s="33"/>
    </row>
    <row r="187" spans="1:45" x14ac:dyDescent="0.25">
      <c r="A187" s="127"/>
      <c r="B187" s="127"/>
      <c r="C187" s="127"/>
      <c r="D187" s="35" t="s">
        <v>20</v>
      </c>
      <c r="E187" s="23">
        <f t="shared" si="273"/>
        <v>0</v>
      </c>
      <c r="F187" s="23">
        <f t="shared" si="273"/>
        <v>0</v>
      </c>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33"/>
      <c r="AS187" s="33"/>
    </row>
    <row r="188" spans="1:45" ht="85.9" customHeight="1" x14ac:dyDescent="0.25">
      <c r="A188" s="127"/>
      <c r="B188" s="127"/>
      <c r="C188" s="127"/>
      <c r="D188" s="35" t="s">
        <v>4</v>
      </c>
      <c r="E188" s="23">
        <f t="shared" si="273"/>
        <v>1563</v>
      </c>
      <c r="F188" s="23">
        <f t="shared" si="273"/>
        <v>1563</v>
      </c>
      <c r="G188" s="23">
        <f t="shared" ref="G188:G189" si="288">F188/E188*100</f>
        <v>100</v>
      </c>
      <c r="H188" s="23">
        <v>59.6</v>
      </c>
      <c r="I188" s="23">
        <v>7.3</v>
      </c>
      <c r="J188" s="23">
        <f t="shared" ref="J188:J189" si="289">I188/H188*100</f>
        <v>12.248322147651006</v>
      </c>
      <c r="K188" s="23">
        <v>147</v>
      </c>
      <c r="L188" s="23">
        <v>101.4</v>
      </c>
      <c r="M188" s="23">
        <f t="shared" si="286"/>
        <v>68.979591836734699</v>
      </c>
      <c r="N188" s="23">
        <f>255.9-7.6</f>
        <v>248.3</v>
      </c>
      <c r="O188" s="23">
        <v>200.4</v>
      </c>
      <c r="P188" s="23">
        <f t="shared" si="287"/>
        <v>80.708819975835681</v>
      </c>
      <c r="Q188" s="23">
        <v>170</v>
      </c>
      <c r="R188" s="23">
        <v>134.19999999999999</v>
      </c>
      <c r="S188" s="23">
        <f t="shared" ref="S188:S189" si="290">R188/Q188*100</f>
        <v>78.941176470588232</v>
      </c>
      <c r="T188" s="23">
        <f>158-19.9</f>
        <v>138.1</v>
      </c>
      <c r="U188" s="23">
        <v>93.6</v>
      </c>
      <c r="V188" s="23">
        <f t="shared" ref="V188:V189" si="291">U188/T188*100</f>
        <v>67.776973207820419</v>
      </c>
      <c r="W188" s="23">
        <v>105</v>
      </c>
      <c r="X188" s="23">
        <v>156.1</v>
      </c>
      <c r="Y188" s="23">
        <f t="shared" ref="Y188:Y189" si="292">X188/W188*100</f>
        <v>148.66666666666666</v>
      </c>
      <c r="Z188" s="23">
        <v>102</v>
      </c>
      <c r="AA188" s="23">
        <v>110.3</v>
      </c>
      <c r="AB188" s="23">
        <f t="shared" ref="AB188:AB189" si="293">AA188/Z188*100</f>
        <v>108.13725490196077</v>
      </c>
      <c r="AC188" s="23">
        <f>87+14.9</f>
        <v>101.9</v>
      </c>
      <c r="AD188" s="23">
        <v>100.2</v>
      </c>
      <c r="AE188" s="23">
        <f t="shared" ref="AE188:AE189" si="294">AD188/AC188*100</f>
        <v>98.331697742885183</v>
      </c>
      <c r="AF188" s="23">
        <f>149-19.9</f>
        <v>129.1</v>
      </c>
      <c r="AG188" s="23">
        <v>112.3</v>
      </c>
      <c r="AH188" s="23">
        <f t="shared" ref="AH188:AH189" si="295">AG188/AF188*100</f>
        <v>86.986831913245538</v>
      </c>
      <c r="AI188" s="23">
        <v>94</v>
      </c>
      <c r="AJ188" s="23">
        <v>93.6</v>
      </c>
      <c r="AK188" s="23">
        <f t="shared" ref="AK188:AK189" si="296">AJ188/AI188*100</f>
        <v>99.574468085106389</v>
      </c>
      <c r="AL188" s="23">
        <f>87+32.5</f>
        <v>119.5</v>
      </c>
      <c r="AM188" s="23">
        <v>100.9</v>
      </c>
      <c r="AN188" s="23">
        <f t="shared" ref="AN188:AN189" si="297">AM188/AL188*100</f>
        <v>84.435146443514654</v>
      </c>
      <c r="AO188" s="23">
        <v>148.5</v>
      </c>
      <c r="AP188" s="24">
        <v>352.7</v>
      </c>
      <c r="AQ188" s="23">
        <f t="shared" ref="AQ188:AQ189" si="298">AP188/AO188*100</f>
        <v>237.50841750841749</v>
      </c>
      <c r="AR188" s="89" t="s">
        <v>188</v>
      </c>
      <c r="AS188" s="59" t="s">
        <v>210</v>
      </c>
    </row>
    <row r="189" spans="1:45" ht="171.6" customHeight="1" x14ac:dyDescent="0.25">
      <c r="A189" s="127"/>
      <c r="B189" s="127"/>
      <c r="C189" s="127"/>
      <c r="D189" s="35" t="s">
        <v>43</v>
      </c>
      <c r="E189" s="23">
        <f t="shared" si="273"/>
        <v>30618.5</v>
      </c>
      <c r="F189" s="23">
        <f t="shared" si="273"/>
        <v>29097.899999999998</v>
      </c>
      <c r="G189" s="23">
        <f t="shared" si="288"/>
        <v>95.033721442918491</v>
      </c>
      <c r="H189" s="23">
        <v>788</v>
      </c>
      <c r="I189" s="23">
        <v>552</v>
      </c>
      <c r="J189" s="23">
        <f t="shared" si="289"/>
        <v>70.050761421319791</v>
      </c>
      <c r="K189" s="23">
        <v>4454.8999999999996</v>
      </c>
      <c r="L189" s="23">
        <v>3173.7</v>
      </c>
      <c r="M189" s="23">
        <f t="shared" si="286"/>
        <v>71.240656355922695</v>
      </c>
      <c r="N189" s="23">
        <f>3241.1+32.2-6.6</f>
        <v>3266.7</v>
      </c>
      <c r="O189" s="23">
        <v>2665.1</v>
      </c>
      <c r="P189" s="23">
        <f t="shared" si="287"/>
        <v>81.583861389169499</v>
      </c>
      <c r="Q189" s="23">
        <v>2562.1</v>
      </c>
      <c r="R189" s="23">
        <v>2758.2</v>
      </c>
      <c r="S189" s="23">
        <f t="shared" si="290"/>
        <v>107.65387767846688</v>
      </c>
      <c r="T189" s="23">
        <v>1872.3</v>
      </c>
      <c r="U189" s="23">
        <v>1852.7</v>
      </c>
      <c r="V189" s="23">
        <f t="shared" si="291"/>
        <v>98.953159215937632</v>
      </c>
      <c r="W189" s="23">
        <f>3203.3-29.8-26.6-2.3</f>
        <v>3144.6</v>
      </c>
      <c r="X189" s="23">
        <v>2355.5</v>
      </c>
      <c r="Y189" s="23">
        <f t="shared" si="292"/>
        <v>74.906188386440249</v>
      </c>
      <c r="Z189" s="23">
        <f>2999+338.9</f>
        <v>3337.9</v>
      </c>
      <c r="AA189" s="23">
        <v>3340</v>
      </c>
      <c r="AB189" s="23">
        <f t="shared" si="293"/>
        <v>100.06291380808293</v>
      </c>
      <c r="AC189" s="23">
        <f>1910.3+36.1</f>
        <v>1946.3999999999999</v>
      </c>
      <c r="AD189" s="23">
        <v>2743.2</v>
      </c>
      <c r="AE189" s="23">
        <f t="shared" si="294"/>
        <v>140.93711467324289</v>
      </c>
      <c r="AF189" s="23">
        <f>2631.3-0.6-11.9</f>
        <v>2618.8000000000002</v>
      </c>
      <c r="AG189" s="23">
        <v>2238.3000000000002</v>
      </c>
      <c r="AH189" s="23">
        <f t="shared" si="295"/>
        <v>85.470444478387051</v>
      </c>
      <c r="AI189" s="23">
        <v>1993.8</v>
      </c>
      <c r="AJ189" s="23">
        <v>1999.8</v>
      </c>
      <c r="AK189" s="23">
        <f t="shared" si="296"/>
        <v>100.30093289196509</v>
      </c>
      <c r="AL189" s="23">
        <v>1750.3</v>
      </c>
      <c r="AM189" s="23">
        <v>1816.1</v>
      </c>
      <c r="AN189" s="23">
        <f t="shared" si="297"/>
        <v>103.75935553905045</v>
      </c>
      <c r="AO189" s="23">
        <f>3376.6-1.8-9.5-503.4+20.8</f>
        <v>2882.7</v>
      </c>
      <c r="AP189" s="24">
        <v>3603.3</v>
      </c>
      <c r="AQ189" s="23">
        <f t="shared" si="298"/>
        <v>124.99739827245293</v>
      </c>
      <c r="AR189" s="89" t="s">
        <v>189</v>
      </c>
      <c r="AS189" s="79" t="s">
        <v>302</v>
      </c>
    </row>
    <row r="190" spans="1:45" ht="15.75" customHeight="1" x14ac:dyDescent="0.25">
      <c r="A190" s="127"/>
      <c r="B190" s="127"/>
      <c r="C190" s="127"/>
      <c r="D190" s="35" t="s">
        <v>21</v>
      </c>
      <c r="E190" s="23">
        <f t="shared" si="273"/>
        <v>0</v>
      </c>
      <c r="F190" s="23">
        <f t="shared" si="273"/>
        <v>0</v>
      </c>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4"/>
      <c r="AQ190" s="24"/>
      <c r="AR190" s="33"/>
      <c r="AS190" s="33"/>
    </row>
    <row r="191" spans="1:45" ht="15.75" customHeight="1" x14ac:dyDescent="0.25">
      <c r="A191" s="127" t="s">
        <v>68</v>
      </c>
      <c r="B191" s="127" t="s">
        <v>99</v>
      </c>
      <c r="C191" s="127" t="s">
        <v>168</v>
      </c>
      <c r="D191" s="35" t="s">
        <v>3</v>
      </c>
      <c r="E191" s="23">
        <f t="shared" si="273"/>
        <v>0</v>
      </c>
      <c r="F191" s="23">
        <f t="shared" si="273"/>
        <v>0</v>
      </c>
      <c r="G191" s="23"/>
      <c r="H191" s="23">
        <f>H192+H193+H194+H195</f>
        <v>0</v>
      </c>
      <c r="I191" s="23"/>
      <c r="J191" s="23"/>
      <c r="K191" s="23">
        <f t="shared" ref="K191:AO191" si="299">K192+K193+K194+K195</f>
        <v>0</v>
      </c>
      <c r="L191" s="23"/>
      <c r="M191" s="23"/>
      <c r="N191" s="23">
        <f t="shared" si="299"/>
        <v>0</v>
      </c>
      <c r="O191" s="23"/>
      <c r="P191" s="23"/>
      <c r="Q191" s="23">
        <f t="shared" si="299"/>
        <v>0</v>
      </c>
      <c r="R191" s="23"/>
      <c r="S191" s="23"/>
      <c r="T191" s="23">
        <f t="shared" si="299"/>
        <v>0</v>
      </c>
      <c r="U191" s="23"/>
      <c r="V191" s="23"/>
      <c r="W191" s="23">
        <f t="shared" si="299"/>
        <v>0</v>
      </c>
      <c r="X191" s="23"/>
      <c r="Y191" s="23"/>
      <c r="Z191" s="23">
        <f t="shared" si="299"/>
        <v>0</v>
      </c>
      <c r="AA191" s="23"/>
      <c r="AB191" s="23"/>
      <c r="AC191" s="23">
        <f t="shared" si="299"/>
        <v>0</v>
      </c>
      <c r="AD191" s="23"/>
      <c r="AE191" s="23"/>
      <c r="AF191" s="23">
        <f t="shared" si="299"/>
        <v>0</v>
      </c>
      <c r="AG191" s="23"/>
      <c r="AH191" s="23"/>
      <c r="AI191" s="23">
        <f t="shared" si="299"/>
        <v>0</v>
      </c>
      <c r="AJ191" s="23"/>
      <c r="AK191" s="23"/>
      <c r="AL191" s="23">
        <f t="shared" si="299"/>
        <v>0</v>
      </c>
      <c r="AM191" s="23"/>
      <c r="AN191" s="23"/>
      <c r="AO191" s="23">
        <f t="shared" si="299"/>
        <v>0</v>
      </c>
      <c r="AP191" s="23"/>
      <c r="AQ191" s="24"/>
      <c r="AR191" s="33"/>
      <c r="AS191" s="33"/>
    </row>
    <row r="192" spans="1:45" x14ac:dyDescent="0.25">
      <c r="A192" s="127"/>
      <c r="B192" s="127"/>
      <c r="C192" s="127"/>
      <c r="D192" s="35" t="s">
        <v>20</v>
      </c>
      <c r="E192" s="23">
        <f t="shared" si="273"/>
        <v>0</v>
      </c>
      <c r="F192" s="23">
        <f t="shared" si="273"/>
        <v>0</v>
      </c>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4"/>
      <c r="AR192" s="33"/>
      <c r="AS192" s="33"/>
    </row>
    <row r="193" spans="1:45" ht="26.25" customHeight="1" x14ac:dyDescent="0.25">
      <c r="A193" s="127"/>
      <c r="B193" s="127"/>
      <c r="C193" s="127"/>
      <c r="D193" s="35" t="s">
        <v>4</v>
      </c>
      <c r="E193" s="23">
        <f t="shared" si="273"/>
        <v>0</v>
      </c>
      <c r="F193" s="23">
        <f t="shared" si="273"/>
        <v>0</v>
      </c>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4"/>
      <c r="AR193" s="33"/>
      <c r="AS193" s="33"/>
    </row>
    <row r="194" spans="1:45" x14ac:dyDescent="0.25">
      <c r="A194" s="127"/>
      <c r="B194" s="127"/>
      <c r="C194" s="127"/>
      <c r="D194" s="35" t="s">
        <v>43</v>
      </c>
      <c r="E194" s="23">
        <f t="shared" si="273"/>
        <v>0</v>
      </c>
      <c r="F194" s="23">
        <f t="shared" si="273"/>
        <v>0</v>
      </c>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4"/>
      <c r="AR194" s="33"/>
      <c r="AS194" s="33"/>
    </row>
    <row r="195" spans="1:45" ht="15.75" customHeight="1" x14ac:dyDescent="0.25">
      <c r="A195" s="127"/>
      <c r="B195" s="127"/>
      <c r="C195" s="127"/>
      <c r="D195" s="35" t="s">
        <v>21</v>
      </c>
      <c r="E195" s="23">
        <f t="shared" si="273"/>
        <v>0</v>
      </c>
      <c r="F195" s="23">
        <f t="shared" si="273"/>
        <v>0</v>
      </c>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4"/>
      <c r="AR195" s="33"/>
      <c r="AS195" s="33"/>
    </row>
    <row r="196" spans="1:45" ht="12" customHeight="1" x14ac:dyDescent="0.25">
      <c r="A196" s="167" t="s">
        <v>11</v>
      </c>
      <c r="B196" s="167"/>
      <c r="C196" s="167"/>
      <c r="D196" s="36" t="s">
        <v>3</v>
      </c>
      <c r="E196" s="37">
        <f t="shared" si="273"/>
        <v>49391.1</v>
      </c>
      <c r="F196" s="37">
        <f t="shared" si="273"/>
        <v>46724.284130000007</v>
      </c>
      <c r="G196" s="37">
        <f>F196/E196*100</f>
        <v>94.600614543915825</v>
      </c>
      <c r="H196" s="37">
        <f>H197+H198+H199+H200</f>
        <v>1651.6</v>
      </c>
      <c r="I196" s="37">
        <f>I197+I198+I199+I200</f>
        <v>1859.3</v>
      </c>
      <c r="J196" s="37">
        <f>I196/H196*100</f>
        <v>112.5756841850327</v>
      </c>
      <c r="K196" s="37">
        <f t="shared" ref="K196:AO196" si="300">K197+K198+K199+K200</f>
        <v>6338.7</v>
      </c>
      <c r="L196" s="37">
        <f t="shared" si="300"/>
        <v>4857.8999999999996</v>
      </c>
      <c r="M196" s="37">
        <f t="shared" ref="M196:M199" si="301">L196/K196*100</f>
        <v>76.638742959912904</v>
      </c>
      <c r="N196" s="37">
        <f t="shared" si="300"/>
        <v>5363.8</v>
      </c>
      <c r="O196" s="37">
        <f t="shared" si="300"/>
        <v>4372.2999999999993</v>
      </c>
      <c r="P196" s="37">
        <f t="shared" ref="P196:P199" si="302">O196/N196*100</f>
        <v>81.514970729706533</v>
      </c>
      <c r="Q196" s="37">
        <f t="shared" si="300"/>
        <v>3017.1</v>
      </c>
      <c r="R196" s="37">
        <f t="shared" si="300"/>
        <v>3177.3999999999996</v>
      </c>
      <c r="S196" s="37">
        <f>R196/Q196*100</f>
        <v>105.31304895429385</v>
      </c>
      <c r="T196" s="37">
        <f t="shared" si="300"/>
        <v>3610.4</v>
      </c>
      <c r="U196" s="37">
        <f t="shared" si="300"/>
        <v>3546.2999999999997</v>
      </c>
      <c r="V196" s="37">
        <f>U196/T196*100</f>
        <v>98.224573454464874</v>
      </c>
      <c r="W196" s="37">
        <f t="shared" si="300"/>
        <v>3749.6</v>
      </c>
      <c r="X196" s="37">
        <f t="shared" si="300"/>
        <v>3011.6</v>
      </c>
      <c r="Y196" s="37">
        <f>X196/W196*100</f>
        <v>80.317900576061447</v>
      </c>
      <c r="Z196" s="37">
        <f t="shared" si="300"/>
        <v>5039.8999999999996</v>
      </c>
      <c r="AA196" s="37">
        <f t="shared" si="300"/>
        <v>5050.3</v>
      </c>
      <c r="AB196" s="37">
        <f>AA196/Z196*100</f>
        <v>100.20635330066074</v>
      </c>
      <c r="AC196" s="37">
        <f t="shared" si="300"/>
        <v>3543.4</v>
      </c>
      <c r="AD196" s="37">
        <f t="shared" si="300"/>
        <v>3929.2</v>
      </c>
      <c r="AE196" s="37">
        <f>AD196/AC196*100</f>
        <v>110.88784782976802</v>
      </c>
      <c r="AF196" s="37">
        <f t="shared" si="300"/>
        <v>4047.5</v>
      </c>
      <c r="AG196" s="37">
        <f t="shared" si="300"/>
        <v>3390.6000000000004</v>
      </c>
      <c r="AH196" s="37">
        <f>AG196/AF196*100</f>
        <v>83.77022853613343</v>
      </c>
      <c r="AI196" s="37">
        <f t="shared" si="300"/>
        <v>4216.6000000000004</v>
      </c>
      <c r="AJ196" s="37">
        <f t="shared" si="300"/>
        <v>3393.4</v>
      </c>
      <c r="AK196" s="37">
        <f>AJ196/AI196*100</f>
        <v>80.477161694256026</v>
      </c>
      <c r="AL196" s="37">
        <f t="shared" si="300"/>
        <v>3962.2</v>
      </c>
      <c r="AM196" s="37">
        <f t="shared" si="300"/>
        <v>3435.9</v>
      </c>
      <c r="AN196" s="37">
        <f>AM196/AL196*100</f>
        <v>86.716975417697256</v>
      </c>
      <c r="AO196" s="37">
        <f t="shared" si="300"/>
        <v>4850.3</v>
      </c>
      <c r="AP196" s="37">
        <f t="shared" ref="AP196" si="303">AP197+AP198+AP199+AP200</f>
        <v>6700.0841300000002</v>
      </c>
      <c r="AQ196" s="37">
        <f>AP196/AO196*100</f>
        <v>138.13751994721977</v>
      </c>
      <c r="AR196" s="33"/>
      <c r="AS196" s="33"/>
    </row>
    <row r="197" spans="1:45" x14ac:dyDescent="0.25">
      <c r="A197" s="167"/>
      <c r="B197" s="167"/>
      <c r="C197" s="167"/>
      <c r="D197" s="36" t="s">
        <v>20</v>
      </c>
      <c r="E197" s="37">
        <f t="shared" si="273"/>
        <v>0</v>
      </c>
      <c r="F197" s="37">
        <f t="shared" si="273"/>
        <v>0</v>
      </c>
      <c r="G197" s="22"/>
      <c r="H197" s="37">
        <f t="shared" ref="H197:I200" si="304">H167+H172+H177+H182+H187+H192</f>
        <v>0</v>
      </c>
      <c r="I197" s="37">
        <f t="shared" si="304"/>
        <v>0</v>
      </c>
      <c r="J197" s="22"/>
      <c r="K197" s="37">
        <f t="shared" ref="K197:AO200" si="305">K167+K172+K177+K182+K187+K192</f>
        <v>0</v>
      </c>
      <c r="L197" s="37">
        <f t="shared" si="305"/>
        <v>0</v>
      </c>
      <c r="M197" s="37"/>
      <c r="N197" s="37">
        <f t="shared" si="305"/>
        <v>0</v>
      </c>
      <c r="O197" s="37">
        <f t="shared" si="305"/>
        <v>0</v>
      </c>
      <c r="P197" s="37"/>
      <c r="Q197" s="37">
        <f t="shared" si="305"/>
        <v>0</v>
      </c>
      <c r="R197" s="37">
        <f t="shared" si="305"/>
        <v>0</v>
      </c>
      <c r="S197" s="22"/>
      <c r="T197" s="37">
        <f t="shared" si="305"/>
        <v>0</v>
      </c>
      <c r="U197" s="37">
        <f t="shared" si="305"/>
        <v>0</v>
      </c>
      <c r="V197" s="22"/>
      <c r="W197" s="37">
        <f t="shared" si="305"/>
        <v>0</v>
      </c>
      <c r="X197" s="37">
        <f t="shared" si="305"/>
        <v>0</v>
      </c>
      <c r="Y197" s="22"/>
      <c r="Z197" s="37">
        <f t="shared" si="305"/>
        <v>0</v>
      </c>
      <c r="AA197" s="37">
        <f t="shared" si="305"/>
        <v>0</v>
      </c>
      <c r="AB197" s="22"/>
      <c r="AC197" s="37">
        <f t="shared" si="305"/>
        <v>0</v>
      </c>
      <c r="AD197" s="37">
        <f t="shared" si="305"/>
        <v>0</v>
      </c>
      <c r="AE197" s="22"/>
      <c r="AF197" s="37">
        <f t="shared" si="305"/>
        <v>0</v>
      </c>
      <c r="AG197" s="37">
        <f t="shared" si="305"/>
        <v>0</v>
      </c>
      <c r="AH197" s="22"/>
      <c r="AI197" s="37">
        <f t="shared" si="305"/>
        <v>0</v>
      </c>
      <c r="AJ197" s="37">
        <f t="shared" si="305"/>
        <v>0</v>
      </c>
      <c r="AK197" s="22"/>
      <c r="AL197" s="37">
        <f t="shared" si="305"/>
        <v>0</v>
      </c>
      <c r="AM197" s="37">
        <f t="shared" si="305"/>
        <v>0</v>
      </c>
      <c r="AN197" s="22"/>
      <c r="AO197" s="37">
        <f t="shared" si="305"/>
        <v>0</v>
      </c>
      <c r="AP197" s="37">
        <f t="shared" ref="AP197" si="306">AP167+AP172+AP177+AP182+AP187+AP192</f>
        <v>0</v>
      </c>
      <c r="AQ197" s="22"/>
      <c r="AR197" s="33"/>
      <c r="AS197" s="33"/>
    </row>
    <row r="198" spans="1:45" ht="24" customHeight="1" x14ac:dyDescent="0.25">
      <c r="A198" s="167"/>
      <c r="B198" s="167"/>
      <c r="C198" s="167"/>
      <c r="D198" s="36" t="s">
        <v>4</v>
      </c>
      <c r="E198" s="37">
        <f t="shared" si="273"/>
        <v>1563</v>
      </c>
      <c r="F198" s="37">
        <f t="shared" si="273"/>
        <v>1563</v>
      </c>
      <c r="G198" s="37">
        <f>F198/E198*100</f>
        <v>100</v>
      </c>
      <c r="H198" s="37">
        <f t="shared" si="304"/>
        <v>59.6</v>
      </c>
      <c r="I198" s="37">
        <f t="shared" si="304"/>
        <v>7.3</v>
      </c>
      <c r="J198" s="37">
        <f>I198/H198*100</f>
        <v>12.248322147651006</v>
      </c>
      <c r="K198" s="37">
        <f t="shared" si="305"/>
        <v>147</v>
      </c>
      <c r="L198" s="37">
        <f t="shared" si="305"/>
        <v>101.4</v>
      </c>
      <c r="M198" s="37">
        <f t="shared" si="301"/>
        <v>68.979591836734699</v>
      </c>
      <c r="N198" s="37">
        <f t="shared" si="305"/>
        <v>248.3</v>
      </c>
      <c r="O198" s="37">
        <f t="shared" si="305"/>
        <v>200.4</v>
      </c>
      <c r="P198" s="37">
        <f t="shared" si="302"/>
        <v>80.708819975835681</v>
      </c>
      <c r="Q198" s="37">
        <f t="shared" si="305"/>
        <v>170</v>
      </c>
      <c r="R198" s="37">
        <f t="shared" si="305"/>
        <v>134.19999999999999</v>
      </c>
      <c r="S198" s="37">
        <f>R198/Q198*100</f>
        <v>78.941176470588232</v>
      </c>
      <c r="T198" s="37">
        <f t="shared" si="305"/>
        <v>138.1</v>
      </c>
      <c r="U198" s="37">
        <f t="shared" si="305"/>
        <v>93.6</v>
      </c>
      <c r="V198" s="37">
        <f>U198/T198*100</f>
        <v>67.776973207820419</v>
      </c>
      <c r="W198" s="37">
        <f t="shared" si="305"/>
        <v>105</v>
      </c>
      <c r="X198" s="37">
        <f t="shared" si="305"/>
        <v>156.1</v>
      </c>
      <c r="Y198" s="37">
        <f>X198/W198*100</f>
        <v>148.66666666666666</v>
      </c>
      <c r="Z198" s="37">
        <f t="shared" si="305"/>
        <v>102</v>
      </c>
      <c r="AA198" s="37">
        <f t="shared" si="305"/>
        <v>110.3</v>
      </c>
      <c r="AB198" s="37">
        <f>AA198/Z198*100</f>
        <v>108.13725490196077</v>
      </c>
      <c r="AC198" s="37">
        <f t="shared" si="305"/>
        <v>101.9</v>
      </c>
      <c r="AD198" s="37">
        <f t="shared" si="305"/>
        <v>100.2</v>
      </c>
      <c r="AE198" s="37">
        <f>AD198/AC198*100</f>
        <v>98.331697742885183</v>
      </c>
      <c r="AF198" s="37">
        <f t="shared" si="305"/>
        <v>129.1</v>
      </c>
      <c r="AG198" s="37">
        <f t="shared" si="305"/>
        <v>112.3</v>
      </c>
      <c r="AH198" s="37">
        <f>AG198/AF198*100</f>
        <v>86.986831913245538</v>
      </c>
      <c r="AI198" s="37">
        <f t="shared" si="305"/>
        <v>94</v>
      </c>
      <c r="AJ198" s="37">
        <f t="shared" si="305"/>
        <v>93.6</v>
      </c>
      <c r="AK198" s="37">
        <f>AJ198/AI198*100</f>
        <v>99.574468085106389</v>
      </c>
      <c r="AL198" s="37">
        <f t="shared" si="305"/>
        <v>119.5</v>
      </c>
      <c r="AM198" s="37">
        <f t="shared" si="305"/>
        <v>100.9</v>
      </c>
      <c r="AN198" s="37">
        <f>AM198/AL198*100</f>
        <v>84.435146443514654</v>
      </c>
      <c r="AO198" s="37">
        <f t="shared" si="305"/>
        <v>148.5</v>
      </c>
      <c r="AP198" s="37">
        <f t="shared" ref="AP198" si="307">AP168+AP173+AP178+AP183+AP188+AP193</f>
        <v>352.7</v>
      </c>
      <c r="AQ198" s="37">
        <f>AP198/AO198*100</f>
        <v>237.50841750841749</v>
      </c>
      <c r="AR198" s="33"/>
      <c r="AS198" s="33"/>
    </row>
    <row r="199" spans="1:45" x14ac:dyDescent="0.25">
      <c r="A199" s="167"/>
      <c r="B199" s="167"/>
      <c r="C199" s="167"/>
      <c r="D199" s="36" t="s">
        <v>43</v>
      </c>
      <c r="E199" s="37">
        <f t="shared" si="273"/>
        <v>47828.1</v>
      </c>
      <c r="F199" s="37">
        <f t="shared" si="273"/>
        <v>45161.28413</v>
      </c>
      <c r="G199" s="37">
        <f>F199/E199*100</f>
        <v>94.42416514559433</v>
      </c>
      <c r="H199" s="37">
        <f t="shared" si="304"/>
        <v>1592</v>
      </c>
      <c r="I199" s="37">
        <f t="shared" si="304"/>
        <v>1852</v>
      </c>
      <c r="J199" s="37">
        <f>I199/H199*100</f>
        <v>116.33165829145729</v>
      </c>
      <c r="K199" s="37">
        <f t="shared" si="305"/>
        <v>6191.7</v>
      </c>
      <c r="L199" s="37">
        <f t="shared" si="305"/>
        <v>4756.5</v>
      </c>
      <c r="M199" s="37">
        <f t="shared" si="301"/>
        <v>76.820582392557782</v>
      </c>
      <c r="N199" s="37">
        <f t="shared" si="305"/>
        <v>5115.5</v>
      </c>
      <c r="O199" s="37">
        <f t="shared" si="305"/>
        <v>4171.8999999999996</v>
      </c>
      <c r="P199" s="37">
        <f t="shared" si="302"/>
        <v>81.554100283452243</v>
      </c>
      <c r="Q199" s="37">
        <f t="shared" si="305"/>
        <v>2847.1</v>
      </c>
      <c r="R199" s="37">
        <f t="shared" si="305"/>
        <v>3043.2</v>
      </c>
      <c r="S199" s="37">
        <f>R199/Q199*100</f>
        <v>106.88771030171051</v>
      </c>
      <c r="T199" s="37">
        <f t="shared" si="305"/>
        <v>3472.3</v>
      </c>
      <c r="U199" s="37">
        <f t="shared" si="305"/>
        <v>3452.7</v>
      </c>
      <c r="V199" s="37">
        <f>U199/T199*100</f>
        <v>99.435532644068758</v>
      </c>
      <c r="W199" s="37">
        <f t="shared" si="305"/>
        <v>3644.6</v>
      </c>
      <c r="X199" s="37">
        <f t="shared" si="305"/>
        <v>2855.5</v>
      </c>
      <c r="Y199" s="37">
        <f>X199/W199*100</f>
        <v>78.348789990671136</v>
      </c>
      <c r="Z199" s="37">
        <f t="shared" si="305"/>
        <v>4937.8999999999996</v>
      </c>
      <c r="AA199" s="37">
        <f t="shared" si="305"/>
        <v>4940</v>
      </c>
      <c r="AB199" s="37">
        <f>AA199/Z199*100</f>
        <v>100.04252820024708</v>
      </c>
      <c r="AC199" s="37">
        <f t="shared" si="305"/>
        <v>3441.5</v>
      </c>
      <c r="AD199" s="37">
        <f t="shared" si="305"/>
        <v>3829</v>
      </c>
      <c r="AE199" s="37">
        <f>AD199/AC199*100</f>
        <v>111.25962516344616</v>
      </c>
      <c r="AF199" s="37">
        <f t="shared" si="305"/>
        <v>3918.4</v>
      </c>
      <c r="AG199" s="37">
        <f t="shared" si="305"/>
        <v>3278.3</v>
      </c>
      <c r="AH199" s="37">
        <f>AG199/AF199*100</f>
        <v>83.664250714577378</v>
      </c>
      <c r="AI199" s="37">
        <f t="shared" si="305"/>
        <v>4122.6000000000004</v>
      </c>
      <c r="AJ199" s="37">
        <f t="shared" si="305"/>
        <v>3299.8</v>
      </c>
      <c r="AK199" s="37">
        <f>AJ199/AI199*100</f>
        <v>80.041721243875216</v>
      </c>
      <c r="AL199" s="37">
        <f t="shared" si="305"/>
        <v>3842.7</v>
      </c>
      <c r="AM199" s="37">
        <f t="shared" si="305"/>
        <v>3335</v>
      </c>
      <c r="AN199" s="37">
        <f>AM199/AL199*100</f>
        <v>86.787935566138401</v>
      </c>
      <c r="AO199" s="37">
        <f t="shared" si="305"/>
        <v>4701.8</v>
      </c>
      <c r="AP199" s="37">
        <f t="shared" ref="AP199" si="308">AP169+AP174+AP179+AP184+AP189+AP194</f>
        <v>6347.3841300000004</v>
      </c>
      <c r="AQ199" s="37">
        <f>AP199/AO199*100</f>
        <v>134.99902441618104</v>
      </c>
      <c r="AR199" s="33"/>
      <c r="AS199" s="33"/>
    </row>
    <row r="200" spans="1:45" ht="13.5" customHeight="1" x14ac:dyDescent="0.25">
      <c r="A200" s="167"/>
      <c r="B200" s="167"/>
      <c r="C200" s="167"/>
      <c r="D200" s="36" t="s">
        <v>21</v>
      </c>
      <c r="E200" s="37">
        <f t="shared" si="273"/>
        <v>0</v>
      </c>
      <c r="F200" s="37">
        <f t="shared" si="273"/>
        <v>0</v>
      </c>
      <c r="G200" s="37"/>
      <c r="H200" s="37">
        <f t="shared" si="304"/>
        <v>0</v>
      </c>
      <c r="I200" s="37">
        <f t="shared" si="304"/>
        <v>0</v>
      </c>
      <c r="J200" s="37"/>
      <c r="K200" s="37">
        <f t="shared" si="305"/>
        <v>0</v>
      </c>
      <c r="L200" s="37">
        <f t="shared" si="305"/>
        <v>0</v>
      </c>
      <c r="M200" s="37"/>
      <c r="N200" s="37">
        <f t="shared" si="305"/>
        <v>0</v>
      </c>
      <c r="O200" s="37">
        <f t="shared" si="305"/>
        <v>0</v>
      </c>
      <c r="P200" s="37"/>
      <c r="Q200" s="37">
        <f t="shared" si="305"/>
        <v>0</v>
      </c>
      <c r="R200" s="37">
        <f t="shared" si="305"/>
        <v>0</v>
      </c>
      <c r="S200" s="37"/>
      <c r="T200" s="37">
        <f t="shared" si="305"/>
        <v>0</v>
      </c>
      <c r="U200" s="37">
        <f t="shared" si="305"/>
        <v>0</v>
      </c>
      <c r="V200" s="37"/>
      <c r="W200" s="37">
        <f t="shared" si="305"/>
        <v>0</v>
      </c>
      <c r="X200" s="37">
        <f t="shared" si="305"/>
        <v>0</v>
      </c>
      <c r="Y200" s="37"/>
      <c r="Z200" s="37">
        <f t="shared" si="305"/>
        <v>0</v>
      </c>
      <c r="AA200" s="37"/>
      <c r="AB200" s="37"/>
      <c r="AC200" s="37">
        <f t="shared" si="305"/>
        <v>0</v>
      </c>
      <c r="AD200" s="37">
        <f t="shared" si="305"/>
        <v>0</v>
      </c>
      <c r="AE200" s="37"/>
      <c r="AF200" s="37">
        <f t="shared" si="305"/>
        <v>0</v>
      </c>
      <c r="AG200" s="37"/>
      <c r="AH200" s="37"/>
      <c r="AI200" s="37">
        <f t="shared" si="305"/>
        <v>0</v>
      </c>
      <c r="AJ200" s="37"/>
      <c r="AK200" s="37"/>
      <c r="AL200" s="37">
        <f t="shared" si="305"/>
        <v>0</v>
      </c>
      <c r="AM200" s="37">
        <f t="shared" si="305"/>
        <v>0</v>
      </c>
      <c r="AN200" s="37"/>
      <c r="AO200" s="37">
        <f t="shared" si="305"/>
        <v>0</v>
      </c>
      <c r="AP200" s="24"/>
      <c r="AQ200" s="25"/>
      <c r="AR200" s="33"/>
      <c r="AS200" s="33"/>
    </row>
    <row r="201" spans="1:45" ht="15" customHeight="1" x14ac:dyDescent="0.25">
      <c r="A201" s="43" t="s">
        <v>69</v>
      </c>
      <c r="B201" s="34" t="s">
        <v>12</v>
      </c>
      <c r="C201" s="34"/>
      <c r="D201" s="34"/>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c r="AG201" s="85"/>
      <c r="AH201" s="85"/>
      <c r="AI201" s="85"/>
      <c r="AJ201" s="85"/>
      <c r="AK201" s="85"/>
      <c r="AL201" s="85"/>
      <c r="AM201" s="85"/>
      <c r="AN201" s="85"/>
      <c r="AO201" s="85"/>
      <c r="AP201" s="34"/>
      <c r="AQ201" s="34"/>
      <c r="AR201" s="33"/>
      <c r="AS201" s="33"/>
    </row>
    <row r="202" spans="1:45" ht="14.45" customHeight="1" x14ac:dyDescent="0.25">
      <c r="A202" s="168" t="s">
        <v>70</v>
      </c>
      <c r="B202" s="127" t="s">
        <v>100</v>
      </c>
      <c r="C202" s="127" t="s">
        <v>168</v>
      </c>
      <c r="D202" s="35" t="s">
        <v>3</v>
      </c>
      <c r="E202" s="23">
        <f t="shared" ref="E202:F217" si="309">H202+K202+N202+Q202+T202+W202+Z202+AC202+AF202+AI202+AL202+AO202</f>
        <v>0</v>
      </c>
      <c r="F202" s="23">
        <f t="shared" si="309"/>
        <v>0</v>
      </c>
      <c r="G202" s="23"/>
      <c r="H202" s="23">
        <f>H203+H204+H205+H206</f>
        <v>0</v>
      </c>
      <c r="I202" s="23"/>
      <c r="J202" s="21"/>
      <c r="K202" s="23">
        <f t="shared" ref="K202:AO202" si="310">K203+K204+K205+K206</f>
        <v>0</v>
      </c>
      <c r="L202" s="23"/>
      <c r="M202" s="21"/>
      <c r="N202" s="23">
        <f t="shared" si="310"/>
        <v>0</v>
      </c>
      <c r="O202" s="23">
        <f t="shared" si="310"/>
        <v>0</v>
      </c>
      <c r="P202" s="23"/>
      <c r="Q202" s="23">
        <f t="shared" si="310"/>
        <v>0</v>
      </c>
      <c r="R202" s="23"/>
      <c r="S202" s="21"/>
      <c r="T202" s="23">
        <f t="shared" si="310"/>
        <v>0</v>
      </c>
      <c r="U202" s="23">
        <f t="shared" si="310"/>
        <v>0</v>
      </c>
      <c r="V202" s="21"/>
      <c r="W202" s="23">
        <f t="shared" si="310"/>
        <v>0</v>
      </c>
      <c r="X202" s="23"/>
      <c r="Y202" s="21"/>
      <c r="Z202" s="23">
        <f t="shared" si="310"/>
        <v>0</v>
      </c>
      <c r="AA202" s="23"/>
      <c r="AB202" s="21"/>
      <c r="AC202" s="23">
        <f t="shared" si="310"/>
        <v>0</v>
      </c>
      <c r="AD202" s="23"/>
      <c r="AE202" s="21"/>
      <c r="AF202" s="23">
        <f t="shared" si="310"/>
        <v>0</v>
      </c>
      <c r="AG202" s="23"/>
      <c r="AH202" s="21"/>
      <c r="AI202" s="23">
        <f t="shared" si="310"/>
        <v>0</v>
      </c>
      <c r="AJ202" s="23">
        <f t="shared" si="310"/>
        <v>0</v>
      </c>
      <c r="AK202" s="21"/>
      <c r="AL202" s="23">
        <f t="shared" si="310"/>
        <v>0</v>
      </c>
      <c r="AM202" s="23"/>
      <c r="AN202" s="21"/>
      <c r="AO202" s="23">
        <f t="shared" si="310"/>
        <v>0</v>
      </c>
      <c r="AP202" s="23"/>
      <c r="AQ202" s="21"/>
      <c r="AR202" s="33"/>
      <c r="AS202" s="33"/>
    </row>
    <row r="203" spans="1:45" ht="15" customHeight="1" x14ac:dyDescent="0.25">
      <c r="A203" s="168"/>
      <c r="B203" s="127"/>
      <c r="C203" s="127"/>
      <c r="D203" s="35" t="s">
        <v>20</v>
      </c>
      <c r="E203" s="23">
        <f t="shared" si="309"/>
        <v>0</v>
      </c>
      <c r="F203" s="23">
        <f t="shared" si="309"/>
        <v>0</v>
      </c>
      <c r="G203" s="23"/>
      <c r="H203" s="23"/>
      <c r="I203" s="23"/>
      <c r="J203" s="21"/>
      <c r="K203" s="23"/>
      <c r="L203" s="23"/>
      <c r="M203" s="21"/>
      <c r="N203" s="23"/>
      <c r="O203" s="23"/>
      <c r="P203" s="23"/>
      <c r="Q203" s="23"/>
      <c r="R203" s="23"/>
      <c r="S203" s="21"/>
      <c r="T203" s="23"/>
      <c r="U203" s="23"/>
      <c r="V203" s="21"/>
      <c r="W203" s="23"/>
      <c r="X203" s="23"/>
      <c r="Y203" s="21"/>
      <c r="Z203" s="23"/>
      <c r="AA203" s="23"/>
      <c r="AB203" s="21"/>
      <c r="AC203" s="23"/>
      <c r="AD203" s="23"/>
      <c r="AE203" s="21"/>
      <c r="AF203" s="23"/>
      <c r="AG203" s="23"/>
      <c r="AH203" s="21"/>
      <c r="AI203" s="23"/>
      <c r="AJ203" s="23"/>
      <c r="AK203" s="21"/>
      <c r="AL203" s="23"/>
      <c r="AM203" s="23"/>
      <c r="AN203" s="21"/>
      <c r="AO203" s="23"/>
      <c r="AP203" s="23"/>
      <c r="AQ203" s="21"/>
      <c r="AR203" s="33"/>
      <c r="AS203" s="33"/>
    </row>
    <row r="204" spans="1:45" ht="24" customHeight="1" x14ac:dyDescent="0.25">
      <c r="A204" s="168"/>
      <c r="B204" s="127"/>
      <c r="C204" s="127"/>
      <c r="D204" s="35" t="s">
        <v>4</v>
      </c>
      <c r="E204" s="23">
        <f t="shared" si="309"/>
        <v>0</v>
      </c>
      <c r="F204" s="23">
        <f t="shared" si="309"/>
        <v>0</v>
      </c>
      <c r="G204" s="23"/>
      <c r="H204" s="23"/>
      <c r="I204" s="23"/>
      <c r="J204" s="21"/>
      <c r="K204" s="23"/>
      <c r="L204" s="23"/>
      <c r="M204" s="21"/>
      <c r="N204" s="23"/>
      <c r="O204" s="23"/>
      <c r="P204" s="23"/>
      <c r="Q204" s="23"/>
      <c r="R204" s="23"/>
      <c r="S204" s="21"/>
      <c r="T204" s="23"/>
      <c r="U204" s="23"/>
      <c r="V204" s="21"/>
      <c r="W204" s="23"/>
      <c r="X204" s="23"/>
      <c r="Y204" s="21"/>
      <c r="Z204" s="23"/>
      <c r="AA204" s="23"/>
      <c r="AB204" s="21"/>
      <c r="AC204" s="23"/>
      <c r="AD204" s="23"/>
      <c r="AE204" s="21"/>
      <c r="AF204" s="23"/>
      <c r="AG204" s="23"/>
      <c r="AH204" s="21"/>
      <c r="AI204" s="23"/>
      <c r="AJ204" s="23"/>
      <c r="AK204" s="21"/>
      <c r="AL204" s="23"/>
      <c r="AM204" s="23"/>
      <c r="AN204" s="21"/>
      <c r="AO204" s="23"/>
      <c r="AP204" s="24"/>
      <c r="AQ204" s="21"/>
      <c r="AR204" s="33"/>
      <c r="AS204" s="33"/>
    </row>
    <row r="205" spans="1:45" x14ac:dyDescent="0.25">
      <c r="A205" s="168"/>
      <c r="B205" s="127"/>
      <c r="C205" s="127"/>
      <c r="D205" s="35" t="s">
        <v>43</v>
      </c>
      <c r="E205" s="23">
        <f t="shared" si="309"/>
        <v>0</v>
      </c>
      <c r="F205" s="23">
        <f t="shared" si="309"/>
        <v>0</v>
      </c>
      <c r="G205" s="23"/>
      <c r="H205" s="23"/>
      <c r="I205" s="23"/>
      <c r="J205" s="21"/>
      <c r="K205" s="23"/>
      <c r="L205" s="23"/>
      <c r="M205" s="21"/>
      <c r="N205" s="23"/>
      <c r="O205" s="23"/>
      <c r="P205" s="23"/>
      <c r="Q205" s="23"/>
      <c r="R205" s="23"/>
      <c r="S205" s="21"/>
      <c r="T205" s="23">
        <f>211-92-119</f>
        <v>0</v>
      </c>
      <c r="U205" s="23">
        <v>0</v>
      </c>
      <c r="V205" s="21"/>
      <c r="W205" s="23"/>
      <c r="X205" s="23"/>
      <c r="Y205" s="21"/>
      <c r="Z205" s="23"/>
      <c r="AA205" s="23"/>
      <c r="AB205" s="21"/>
      <c r="AC205" s="23"/>
      <c r="AD205" s="23"/>
      <c r="AE205" s="21"/>
      <c r="AF205" s="23"/>
      <c r="AG205" s="23"/>
      <c r="AH205" s="21"/>
      <c r="AI205" s="23"/>
      <c r="AJ205" s="23"/>
      <c r="AK205" s="21"/>
      <c r="AL205" s="23"/>
      <c r="AM205" s="23"/>
      <c r="AN205" s="21"/>
      <c r="AO205" s="23"/>
      <c r="AP205" s="24"/>
      <c r="AQ205" s="21"/>
      <c r="AS205" s="89"/>
    </row>
    <row r="206" spans="1:45" ht="15.75" customHeight="1" x14ac:dyDescent="0.25">
      <c r="A206" s="168"/>
      <c r="B206" s="127"/>
      <c r="C206" s="127"/>
      <c r="D206" s="35" t="s">
        <v>21</v>
      </c>
      <c r="E206" s="23">
        <f t="shared" si="309"/>
        <v>0</v>
      </c>
      <c r="F206" s="23">
        <f t="shared" si="309"/>
        <v>0</v>
      </c>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4"/>
      <c r="AQ206" s="24"/>
      <c r="AR206" s="33"/>
      <c r="AS206" s="33"/>
    </row>
    <row r="207" spans="1:45" ht="15.75" customHeight="1" x14ac:dyDescent="0.25">
      <c r="A207" s="168" t="s">
        <v>71</v>
      </c>
      <c r="B207" s="127" t="s">
        <v>101</v>
      </c>
      <c r="C207" s="127" t="s">
        <v>168</v>
      </c>
      <c r="D207" s="35" t="s">
        <v>3</v>
      </c>
      <c r="E207" s="23">
        <f t="shared" si="309"/>
        <v>0</v>
      </c>
      <c r="F207" s="23">
        <f t="shared" si="309"/>
        <v>0</v>
      </c>
      <c r="G207" s="23"/>
      <c r="H207" s="23">
        <f>H208+H209+H210+H211</f>
        <v>0</v>
      </c>
      <c r="I207" s="23"/>
      <c r="J207" s="23"/>
      <c r="K207" s="23">
        <f t="shared" ref="K207:AO207" si="311">K208+K209+K210+K211</f>
        <v>0</v>
      </c>
      <c r="L207" s="23"/>
      <c r="M207" s="23"/>
      <c r="N207" s="23">
        <f t="shared" si="311"/>
        <v>0</v>
      </c>
      <c r="O207" s="23"/>
      <c r="P207" s="23"/>
      <c r="Q207" s="23">
        <f t="shared" si="311"/>
        <v>0</v>
      </c>
      <c r="R207" s="23"/>
      <c r="S207" s="23"/>
      <c r="T207" s="23">
        <f t="shared" si="311"/>
        <v>0</v>
      </c>
      <c r="U207" s="23"/>
      <c r="V207" s="23"/>
      <c r="W207" s="23">
        <f t="shared" si="311"/>
        <v>0</v>
      </c>
      <c r="X207" s="23"/>
      <c r="Y207" s="23"/>
      <c r="Z207" s="23">
        <f t="shared" si="311"/>
        <v>0</v>
      </c>
      <c r="AA207" s="23"/>
      <c r="AB207" s="23"/>
      <c r="AC207" s="23">
        <f t="shared" si="311"/>
        <v>0</v>
      </c>
      <c r="AD207" s="23"/>
      <c r="AE207" s="23"/>
      <c r="AF207" s="23">
        <f t="shared" si="311"/>
        <v>0</v>
      </c>
      <c r="AG207" s="23"/>
      <c r="AH207" s="23"/>
      <c r="AI207" s="23">
        <f t="shared" si="311"/>
        <v>0</v>
      </c>
      <c r="AJ207" s="23"/>
      <c r="AK207" s="23"/>
      <c r="AL207" s="23">
        <f t="shared" si="311"/>
        <v>0</v>
      </c>
      <c r="AM207" s="23"/>
      <c r="AN207" s="23"/>
      <c r="AO207" s="23">
        <f t="shared" si="311"/>
        <v>0</v>
      </c>
      <c r="AP207" s="23"/>
      <c r="AQ207" s="24"/>
      <c r="AR207" s="33"/>
      <c r="AS207" s="33"/>
    </row>
    <row r="208" spans="1:45" x14ac:dyDescent="0.25">
      <c r="A208" s="168"/>
      <c r="B208" s="127"/>
      <c r="C208" s="127"/>
      <c r="D208" s="35" t="s">
        <v>20</v>
      </c>
      <c r="E208" s="23">
        <f t="shared" si="309"/>
        <v>0</v>
      </c>
      <c r="F208" s="23">
        <f t="shared" si="309"/>
        <v>0</v>
      </c>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4"/>
      <c r="AR208" s="33"/>
      <c r="AS208" s="33"/>
    </row>
    <row r="209" spans="1:45" ht="24" x14ac:dyDescent="0.25">
      <c r="A209" s="168"/>
      <c r="B209" s="127"/>
      <c r="C209" s="127"/>
      <c r="D209" s="35" t="s">
        <v>4</v>
      </c>
      <c r="E209" s="23">
        <f t="shared" si="309"/>
        <v>0</v>
      </c>
      <c r="F209" s="23">
        <f t="shared" si="309"/>
        <v>0</v>
      </c>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4"/>
      <c r="AQ209" s="24"/>
      <c r="AR209" s="33"/>
      <c r="AS209" s="33"/>
    </row>
    <row r="210" spans="1:45" x14ac:dyDescent="0.25">
      <c r="A210" s="168"/>
      <c r="B210" s="127"/>
      <c r="C210" s="127"/>
      <c r="D210" s="35" t="s">
        <v>43</v>
      </c>
      <c r="E210" s="23">
        <f t="shared" si="309"/>
        <v>0</v>
      </c>
      <c r="F210" s="23">
        <f t="shared" si="309"/>
        <v>0</v>
      </c>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4"/>
      <c r="AQ210" s="24"/>
      <c r="AR210" s="33"/>
      <c r="AS210" s="33"/>
    </row>
    <row r="211" spans="1:45" ht="15.75" customHeight="1" x14ac:dyDescent="0.25">
      <c r="A211" s="168"/>
      <c r="B211" s="127"/>
      <c r="C211" s="127"/>
      <c r="D211" s="35" t="s">
        <v>21</v>
      </c>
      <c r="E211" s="23">
        <f t="shared" si="309"/>
        <v>0</v>
      </c>
      <c r="F211" s="23">
        <f t="shared" si="309"/>
        <v>0</v>
      </c>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4"/>
      <c r="AQ211" s="24"/>
      <c r="AR211" s="33"/>
      <c r="AS211" s="33"/>
    </row>
    <row r="212" spans="1:45" ht="15.75" customHeight="1" x14ac:dyDescent="0.25">
      <c r="A212" s="168" t="s">
        <v>72</v>
      </c>
      <c r="B212" s="127" t="s">
        <v>102</v>
      </c>
      <c r="C212" s="127" t="s">
        <v>168</v>
      </c>
      <c r="D212" s="35" t="s">
        <v>3</v>
      </c>
      <c r="E212" s="23">
        <f t="shared" si="309"/>
        <v>0</v>
      </c>
      <c r="F212" s="23">
        <f t="shared" si="309"/>
        <v>0</v>
      </c>
      <c r="G212" s="23"/>
      <c r="H212" s="23">
        <f>H213+H214+H215+H216</f>
        <v>0</v>
      </c>
      <c r="I212" s="23"/>
      <c r="J212" s="23"/>
      <c r="K212" s="23">
        <f t="shared" ref="K212:AO212" si="312">K213+K214+K215+K216</f>
        <v>0</v>
      </c>
      <c r="L212" s="23"/>
      <c r="M212" s="23"/>
      <c r="N212" s="23">
        <f t="shared" si="312"/>
        <v>0</v>
      </c>
      <c r="O212" s="23"/>
      <c r="P212" s="23"/>
      <c r="Q212" s="23">
        <f t="shared" si="312"/>
        <v>0</v>
      </c>
      <c r="R212" s="23">
        <f t="shared" si="312"/>
        <v>0</v>
      </c>
      <c r="S212" s="23"/>
      <c r="T212" s="23">
        <f t="shared" si="312"/>
        <v>0</v>
      </c>
      <c r="U212" s="23">
        <f t="shared" si="312"/>
        <v>0</v>
      </c>
      <c r="V212" s="23"/>
      <c r="W212" s="23">
        <f t="shared" si="312"/>
        <v>0</v>
      </c>
      <c r="X212" s="23"/>
      <c r="Y212" s="23"/>
      <c r="Z212" s="23">
        <f t="shared" si="312"/>
        <v>0</v>
      </c>
      <c r="AA212" s="23">
        <f t="shared" si="312"/>
        <v>0</v>
      </c>
      <c r="AB212" s="23"/>
      <c r="AC212" s="23">
        <f t="shared" si="312"/>
        <v>0</v>
      </c>
      <c r="AD212" s="23">
        <f t="shared" si="312"/>
        <v>0</v>
      </c>
      <c r="AE212" s="23"/>
      <c r="AF212" s="23">
        <f t="shared" si="312"/>
        <v>0</v>
      </c>
      <c r="AG212" s="23">
        <f t="shared" si="312"/>
        <v>0</v>
      </c>
      <c r="AH212" s="23"/>
      <c r="AI212" s="23">
        <f t="shared" si="312"/>
        <v>0</v>
      </c>
      <c r="AJ212" s="23"/>
      <c r="AK212" s="23"/>
      <c r="AL212" s="23">
        <f t="shared" si="312"/>
        <v>0</v>
      </c>
      <c r="AM212" s="23"/>
      <c r="AN212" s="23"/>
      <c r="AO212" s="23">
        <f t="shared" si="312"/>
        <v>0</v>
      </c>
      <c r="AP212" s="23"/>
      <c r="AQ212" s="24"/>
      <c r="AR212" s="33"/>
      <c r="AS212" s="33"/>
    </row>
    <row r="213" spans="1:45" x14ac:dyDescent="0.25">
      <c r="A213" s="168"/>
      <c r="B213" s="127"/>
      <c r="C213" s="127"/>
      <c r="D213" s="35" t="s">
        <v>20</v>
      </c>
      <c r="E213" s="23">
        <f t="shared" si="309"/>
        <v>0</v>
      </c>
      <c r="F213" s="23">
        <f t="shared" si="309"/>
        <v>0</v>
      </c>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4"/>
      <c r="AR213" s="33"/>
      <c r="AS213" s="33"/>
    </row>
    <row r="214" spans="1:45" ht="24" x14ac:dyDescent="0.25">
      <c r="A214" s="168"/>
      <c r="B214" s="127"/>
      <c r="C214" s="127"/>
      <c r="D214" s="35" t="s">
        <v>4</v>
      </c>
      <c r="E214" s="23">
        <f t="shared" si="309"/>
        <v>0</v>
      </c>
      <c r="F214" s="23">
        <f t="shared" si="309"/>
        <v>0</v>
      </c>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4"/>
      <c r="AQ214" s="24"/>
      <c r="AR214" s="33"/>
      <c r="AS214" s="33"/>
    </row>
    <row r="215" spans="1:45" x14ac:dyDescent="0.25">
      <c r="A215" s="168"/>
      <c r="B215" s="127"/>
      <c r="C215" s="127"/>
      <c r="D215" s="35" t="s">
        <v>43</v>
      </c>
      <c r="E215" s="23">
        <f t="shared" si="309"/>
        <v>0</v>
      </c>
      <c r="F215" s="23">
        <f t="shared" si="309"/>
        <v>0</v>
      </c>
      <c r="G215" s="23"/>
      <c r="H215" s="23"/>
      <c r="I215" s="23"/>
      <c r="J215" s="23"/>
      <c r="K215" s="23"/>
      <c r="L215" s="23"/>
      <c r="M215" s="23"/>
      <c r="N215" s="23"/>
      <c r="O215" s="23"/>
      <c r="P215" s="23"/>
      <c r="Q215" s="23"/>
      <c r="R215" s="23"/>
      <c r="S215" s="23"/>
      <c r="T215" s="23"/>
      <c r="U215" s="23"/>
      <c r="V215" s="23"/>
      <c r="W215" s="23"/>
      <c r="X215" s="23"/>
      <c r="Y215" s="23"/>
      <c r="Z215" s="23"/>
      <c r="AA215" s="23">
        <v>0</v>
      </c>
      <c r="AB215" s="23"/>
      <c r="AC215" s="23"/>
      <c r="AD215" s="23"/>
      <c r="AE215" s="23"/>
      <c r="AF215" s="23"/>
      <c r="AG215" s="23"/>
      <c r="AH215" s="23"/>
      <c r="AI215" s="23"/>
      <c r="AJ215" s="23"/>
      <c r="AK215" s="23"/>
      <c r="AL215" s="23"/>
      <c r="AM215" s="23"/>
      <c r="AN215" s="23"/>
      <c r="AO215" s="23"/>
      <c r="AP215" s="23"/>
      <c r="AQ215" s="24"/>
      <c r="AR215" s="89"/>
      <c r="AS215" s="89"/>
    </row>
    <row r="216" spans="1:45" ht="15.75" customHeight="1" x14ac:dyDescent="0.25">
      <c r="A216" s="168"/>
      <c r="B216" s="127"/>
      <c r="C216" s="127"/>
      <c r="D216" s="35" t="s">
        <v>21</v>
      </c>
      <c r="E216" s="23">
        <f t="shared" si="309"/>
        <v>0</v>
      </c>
      <c r="F216" s="23">
        <f t="shared" si="309"/>
        <v>0</v>
      </c>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4"/>
      <c r="AR216" s="33"/>
      <c r="AS216" s="33"/>
    </row>
    <row r="217" spans="1:45" ht="15.75" customHeight="1" x14ac:dyDescent="0.25">
      <c r="A217" s="168" t="s">
        <v>73</v>
      </c>
      <c r="B217" s="127" t="s">
        <v>103</v>
      </c>
      <c r="C217" s="127" t="s">
        <v>168</v>
      </c>
      <c r="D217" s="35" t="s">
        <v>3</v>
      </c>
      <c r="E217" s="23">
        <f t="shared" si="309"/>
        <v>0</v>
      </c>
      <c r="F217" s="23">
        <f t="shared" si="309"/>
        <v>0</v>
      </c>
      <c r="G217" s="23"/>
      <c r="H217" s="23">
        <f>H218+H219+H220+H221</f>
        <v>0</v>
      </c>
      <c r="I217" s="23"/>
      <c r="J217" s="21"/>
      <c r="K217" s="23">
        <f t="shared" ref="K217:AO217" si="313">K218+K219+K220+K221</f>
        <v>0</v>
      </c>
      <c r="L217" s="23">
        <f t="shared" si="313"/>
        <v>0</v>
      </c>
      <c r="M217" s="21"/>
      <c r="N217" s="23">
        <f t="shared" si="313"/>
        <v>0</v>
      </c>
      <c r="O217" s="23">
        <f t="shared" si="313"/>
        <v>0</v>
      </c>
      <c r="P217" s="23"/>
      <c r="Q217" s="23">
        <f t="shared" si="313"/>
        <v>0</v>
      </c>
      <c r="R217" s="23"/>
      <c r="S217" s="21"/>
      <c r="T217" s="23">
        <f t="shared" si="313"/>
        <v>0</v>
      </c>
      <c r="U217" s="23"/>
      <c r="V217" s="21"/>
      <c r="W217" s="23">
        <f t="shared" si="313"/>
        <v>0</v>
      </c>
      <c r="X217" s="23">
        <f t="shared" si="313"/>
        <v>0</v>
      </c>
      <c r="Y217" s="21"/>
      <c r="Z217" s="23">
        <f t="shared" si="313"/>
        <v>0</v>
      </c>
      <c r="AA217" s="23"/>
      <c r="AB217" s="21"/>
      <c r="AC217" s="23">
        <f t="shared" si="313"/>
        <v>0</v>
      </c>
      <c r="AD217" s="23">
        <f t="shared" si="313"/>
        <v>0</v>
      </c>
      <c r="AE217" s="23"/>
      <c r="AF217" s="23">
        <f t="shared" si="313"/>
        <v>0</v>
      </c>
      <c r="AG217" s="23"/>
      <c r="AH217" s="21"/>
      <c r="AI217" s="23">
        <f t="shared" si="313"/>
        <v>0</v>
      </c>
      <c r="AJ217" s="23"/>
      <c r="AK217" s="21"/>
      <c r="AL217" s="23">
        <f t="shared" si="313"/>
        <v>0</v>
      </c>
      <c r="AM217" s="23"/>
      <c r="AN217" s="21"/>
      <c r="AO217" s="23">
        <f t="shared" si="313"/>
        <v>0</v>
      </c>
      <c r="AP217" s="23"/>
      <c r="AQ217" s="21"/>
      <c r="AR217" s="33"/>
      <c r="AS217" s="33"/>
    </row>
    <row r="218" spans="1:45" x14ac:dyDescent="0.25">
      <c r="A218" s="168"/>
      <c r="B218" s="127"/>
      <c r="C218" s="127"/>
      <c r="D218" s="35" t="s">
        <v>20</v>
      </c>
      <c r="E218" s="23">
        <f t="shared" ref="E218:F236" si="314">H218+K218+N218+Q218+T218+W218+Z218+AC218+AF218+AI218+AL218+AO218</f>
        <v>0</v>
      </c>
      <c r="F218" s="23">
        <f t="shared" si="314"/>
        <v>0</v>
      </c>
      <c r="G218" s="23"/>
      <c r="H218" s="23"/>
      <c r="I218" s="23"/>
      <c r="J218" s="21"/>
      <c r="K218" s="23"/>
      <c r="L218" s="23"/>
      <c r="M218" s="21"/>
      <c r="N218" s="23"/>
      <c r="O218" s="23"/>
      <c r="P218" s="23"/>
      <c r="Q218" s="23"/>
      <c r="R218" s="23"/>
      <c r="S218" s="21"/>
      <c r="T218" s="23"/>
      <c r="U218" s="23"/>
      <c r="V218" s="21"/>
      <c r="W218" s="23"/>
      <c r="X218" s="23"/>
      <c r="Y218" s="21"/>
      <c r="Z218" s="23"/>
      <c r="AA218" s="23"/>
      <c r="AB218" s="21"/>
      <c r="AC218" s="23"/>
      <c r="AD218" s="23"/>
      <c r="AE218" s="23"/>
      <c r="AF218" s="23"/>
      <c r="AG218" s="23"/>
      <c r="AH218" s="21"/>
      <c r="AI218" s="23"/>
      <c r="AJ218" s="23"/>
      <c r="AK218" s="21"/>
      <c r="AL218" s="23"/>
      <c r="AM218" s="23"/>
      <c r="AN218" s="21"/>
      <c r="AO218" s="23"/>
      <c r="AP218" s="23"/>
      <c r="AQ218" s="21"/>
      <c r="AR218" s="33"/>
      <c r="AS218" s="33"/>
    </row>
    <row r="219" spans="1:45" ht="24" x14ac:dyDescent="0.25">
      <c r="A219" s="168"/>
      <c r="B219" s="127"/>
      <c r="C219" s="127"/>
      <c r="D219" s="35" t="s">
        <v>4</v>
      </c>
      <c r="E219" s="23">
        <f t="shared" si="314"/>
        <v>0</v>
      </c>
      <c r="F219" s="23">
        <f t="shared" si="314"/>
        <v>0</v>
      </c>
      <c r="G219" s="23"/>
      <c r="H219" s="23"/>
      <c r="I219" s="23"/>
      <c r="J219" s="21"/>
      <c r="K219" s="23"/>
      <c r="L219" s="23"/>
      <c r="M219" s="21"/>
      <c r="N219" s="23"/>
      <c r="O219" s="23"/>
      <c r="P219" s="23"/>
      <c r="Q219" s="23"/>
      <c r="R219" s="23"/>
      <c r="S219" s="21"/>
      <c r="T219" s="23"/>
      <c r="U219" s="23"/>
      <c r="V219" s="21"/>
      <c r="W219" s="23"/>
      <c r="X219" s="23"/>
      <c r="Y219" s="21"/>
      <c r="Z219" s="23"/>
      <c r="AA219" s="23"/>
      <c r="AB219" s="21"/>
      <c r="AC219" s="23"/>
      <c r="AD219" s="23"/>
      <c r="AE219" s="23"/>
      <c r="AF219" s="23"/>
      <c r="AG219" s="23"/>
      <c r="AH219" s="21"/>
      <c r="AI219" s="23"/>
      <c r="AJ219" s="23"/>
      <c r="AK219" s="21"/>
      <c r="AL219" s="23"/>
      <c r="AM219" s="23"/>
      <c r="AN219" s="21"/>
      <c r="AO219" s="23"/>
      <c r="AP219" s="24"/>
      <c r="AQ219" s="21"/>
      <c r="AR219" s="33"/>
      <c r="AS219" s="33"/>
    </row>
    <row r="220" spans="1:45" x14ac:dyDescent="0.25">
      <c r="A220" s="168"/>
      <c r="B220" s="127"/>
      <c r="C220" s="127"/>
      <c r="D220" s="35" t="s">
        <v>43</v>
      </c>
      <c r="E220" s="23">
        <f t="shared" si="314"/>
        <v>0</v>
      </c>
      <c r="F220" s="23">
        <f t="shared" si="314"/>
        <v>0</v>
      </c>
      <c r="G220" s="23"/>
      <c r="H220" s="23"/>
      <c r="I220" s="23"/>
      <c r="J220" s="21"/>
      <c r="K220" s="23">
        <f>5-5</f>
        <v>0</v>
      </c>
      <c r="L220" s="23">
        <v>0</v>
      </c>
      <c r="M220" s="21"/>
      <c r="N220" s="23">
        <f>5-5</f>
        <v>0</v>
      </c>
      <c r="O220" s="23"/>
      <c r="P220" s="23"/>
      <c r="Q220" s="23"/>
      <c r="R220" s="23"/>
      <c r="S220" s="21"/>
      <c r="T220" s="23"/>
      <c r="U220" s="23"/>
      <c r="V220" s="21"/>
      <c r="W220" s="23"/>
      <c r="X220" s="23"/>
      <c r="Y220" s="21"/>
      <c r="Z220" s="23"/>
      <c r="AA220" s="23"/>
      <c r="AB220" s="21"/>
      <c r="AC220" s="23"/>
      <c r="AD220" s="23"/>
      <c r="AE220" s="23"/>
      <c r="AF220" s="23"/>
      <c r="AG220" s="23"/>
      <c r="AH220" s="21"/>
      <c r="AI220" s="23"/>
      <c r="AJ220" s="23"/>
      <c r="AK220" s="21"/>
      <c r="AL220" s="23">
        <f>15-15</f>
        <v>0</v>
      </c>
      <c r="AM220" s="23"/>
      <c r="AN220" s="21"/>
      <c r="AO220" s="23">
        <f>15+10-25</f>
        <v>0</v>
      </c>
      <c r="AP220" s="23"/>
      <c r="AQ220" s="21"/>
      <c r="AR220" s="89"/>
      <c r="AS220" s="89"/>
    </row>
    <row r="221" spans="1:45" ht="15.75" customHeight="1" x14ac:dyDescent="0.25">
      <c r="A221" s="168"/>
      <c r="B221" s="127"/>
      <c r="C221" s="127"/>
      <c r="D221" s="35" t="s">
        <v>21</v>
      </c>
      <c r="E221" s="23">
        <f t="shared" si="314"/>
        <v>0</v>
      </c>
      <c r="F221" s="23">
        <f t="shared" si="314"/>
        <v>0</v>
      </c>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4"/>
      <c r="AR221" s="33"/>
      <c r="AS221" s="33"/>
    </row>
    <row r="222" spans="1:45" ht="13.15" customHeight="1" x14ac:dyDescent="0.25">
      <c r="A222" s="165" t="s">
        <v>74</v>
      </c>
      <c r="B222" s="127" t="s">
        <v>139</v>
      </c>
      <c r="C222" s="127" t="s">
        <v>168</v>
      </c>
      <c r="D222" s="35" t="s">
        <v>3</v>
      </c>
      <c r="E222" s="23">
        <f t="shared" si="314"/>
        <v>135516</v>
      </c>
      <c r="F222" s="23">
        <f t="shared" si="314"/>
        <v>127797.09999999999</v>
      </c>
      <c r="G222" s="23">
        <f>F222/E222*100</f>
        <v>94.304067416393636</v>
      </c>
      <c r="H222" s="23">
        <f>H223+H224+H225+H226</f>
        <v>80</v>
      </c>
      <c r="I222" s="23">
        <f>I223+I224+I225+I226</f>
        <v>80</v>
      </c>
      <c r="J222" s="23">
        <f>I222/H222*100</f>
        <v>100</v>
      </c>
      <c r="K222" s="23">
        <f t="shared" ref="K222:AP222" si="315">K223+K224+K225+K226</f>
        <v>11775.500000000002</v>
      </c>
      <c r="L222" s="23">
        <f t="shared" si="315"/>
        <v>11775.500000000002</v>
      </c>
      <c r="M222" s="23">
        <f t="shared" ref="M222:M225" si="316">L222/K222*100</f>
        <v>100</v>
      </c>
      <c r="N222" s="23">
        <f t="shared" si="315"/>
        <v>8117.2</v>
      </c>
      <c r="O222" s="23">
        <f t="shared" si="315"/>
        <v>8117.2</v>
      </c>
      <c r="P222" s="23">
        <f t="shared" ref="P222:P225" si="317">O222/N222*100</f>
        <v>100</v>
      </c>
      <c r="Q222" s="23">
        <f t="shared" si="315"/>
        <v>16127.6</v>
      </c>
      <c r="R222" s="23">
        <f t="shared" si="315"/>
        <v>13388.1</v>
      </c>
      <c r="S222" s="23">
        <f>R222/Q222*100</f>
        <v>83.013591606934696</v>
      </c>
      <c r="T222" s="23">
        <f t="shared" si="315"/>
        <v>16909.599999999999</v>
      </c>
      <c r="U222" s="23">
        <f t="shared" si="315"/>
        <v>16709</v>
      </c>
      <c r="V222" s="23">
        <f>U222/T222*100</f>
        <v>98.81369163078962</v>
      </c>
      <c r="W222" s="23">
        <f t="shared" si="315"/>
        <v>17627.2</v>
      </c>
      <c r="X222" s="23">
        <f t="shared" si="315"/>
        <v>13845.699999999999</v>
      </c>
      <c r="Y222" s="23">
        <f>X222/W222*100</f>
        <v>78.547358627575562</v>
      </c>
      <c r="Z222" s="23">
        <f t="shared" si="315"/>
        <v>0</v>
      </c>
      <c r="AA222" s="23">
        <f t="shared" si="315"/>
        <v>5.2</v>
      </c>
      <c r="AB222" s="23"/>
      <c r="AC222" s="23">
        <f t="shared" si="315"/>
        <v>0</v>
      </c>
      <c r="AD222" s="23">
        <f t="shared" si="315"/>
        <v>1.5</v>
      </c>
      <c r="AE222" s="21"/>
      <c r="AF222" s="23">
        <f t="shared" si="315"/>
        <v>80</v>
      </c>
      <c r="AG222" s="23">
        <f t="shared" si="315"/>
        <v>0</v>
      </c>
      <c r="AH222" s="23">
        <f>AG222/AF222*100</f>
        <v>0</v>
      </c>
      <c r="AI222" s="23">
        <f t="shared" si="315"/>
        <v>17854.5</v>
      </c>
      <c r="AJ222" s="23">
        <f t="shared" si="315"/>
        <v>20375.2</v>
      </c>
      <c r="AK222" s="23">
        <f>AJ222/AI222*100</f>
        <v>114.11800946540089</v>
      </c>
      <c r="AL222" s="23">
        <f t="shared" si="315"/>
        <v>17063.899999999998</v>
      </c>
      <c r="AM222" s="23">
        <f t="shared" si="315"/>
        <v>13450</v>
      </c>
      <c r="AN222" s="23">
        <f>AM222/AL222*100</f>
        <v>78.821371433259699</v>
      </c>
      <c r="AO222" s="23">
        <f t="shared" si="315"/>
        <v>29880.5</v>
      </c>
      <c r="AP222" s="23">
        <f t="shared" si="315"/>
        <v>30049.7</v>
      </c>
      <c r="AQ222" s="23">
        <f>AP222/AO222*100</f>
        <v>100.5662555847459</v>
      </c>
      <c r="AR222" s="33"/>
      <c r="AS222" s="33"/>
    </row>
    <row r="223" spans="1:45" ht="48" customHeight="1" x14ac:dyDescent="0.25">
      <c r="A223" s="165"/>
      <c r="B223" s="127"/>
      <c r="C223" s="127"/>
      <c r="D223" s="35" t="s">
        <v>20</v>
      </c>
      <c r="E223" s="23">
        <f t="shared" si="314"/>
        <v>12819.599999999999</v>
      </c>
      <c r="F223" s="23">
        <f t="shared" si="314"/>
        <v>11913.300000000001</v>
      </c>
      <c r="G223" s="23">
        <f>F223/E223*100</f>
        <v>92.930356641392891</v>
      </c>
      <c r="H223" s="23"/>
      <c r="I223" s="23"/>
      <c r="J223" s="23"/>
      <c r="K223" s="23">
        <v>856.6</v>
      </c>
      <c r="L223" s="23">
        <v>856.6</v>
      </c>
      <c r="M223" s="23">
        <f t="shared" si="316"/>
        <v>100</v>
      </c>
      <c r="N223" s="23">
        <v>693.3</v>
      </c>
      <c r="O223" s="23">
        <v>693.3</v>
      </c>
      <c r="P223" s="23">
        <f t="shared" si="317"/>
        <v>100</v>
      </c>
      <c r="Q223" s="23">
        <f>1664-300</f>
        <v>1364</v>
      </c>
      <c r="R223" s="23">
        <v>1343.4</v>
      </c>
      <c r="S223" s="23">
        <f t="shared" ref="S223:S224" si="318">R223/Q223*100</f>
        <v>98.489736070381241</v>
      </c>
      <c r="T223" s="23">
        <f>1824-91.5</f>
        <v>1732.5</v>
      </c>
      <c r="U223" s="23">
        <v>1663.9</v>
      </c>
      <c r="V223" s="23">
        <f>U223/T223*100</f>
        <v>96.040404040404042</v>
      </c>
      <c r="W223" s="23">
        <f>1958+657.9</f>
        <v>2615.9</v>
      </c>
      <c r="X223" s="23">
        <v>1409.3</v>
      </c>
      <c r="Y223" s="23">
        <f>X223/W223*100</f>
        <v>53.874383577353868</v>
      </c>
      <c r="Z223" s="23"/>
      <c r="AA223" s="23">
        <v>0</v>
      </c>
      <c r="AB223" s="23"/>
      <c r="AC223" s="23"/>
      <c r="AD223" s="23"/>
      <c r="AE223" s="21"/>
      <c r="AF223" s="23">
        <v>0</v>
      </c>
      <c r="AG223" s="23">
        <v>0</v>
      </c>
      <c r="AH223" s="23"/>
      <c r="AI223" s="23">
        <v>2006</v>
      </c>
      <c r="AJ223" s="23">
        <v>2081.5</v>
      </c>
      <c r="AK223" s="23">
        <f t="shared" ref="AK223:AK224" si="319">AJ223/AI223*100</f>
        <v>103.76370887337987</v>
      </c>
      <c r="AL223" s="23">
        <v>1741</v>
      </c>
      <c r="AM223" s="23">
        <v>1191.9000000000001</v>
      </c>
      <c r="AN223" s="23">
        <f>AM223/AL223*100</f>
        <v>68.460654796094204</v>
      </c>
      <c r="AO223" s="23">
        <f>2888+69.5+968.2-2115.4</f>
        <v>1810.2999999999997</v>
      </c>
      <c r="AP223" s="23">
        <v>2673.4</v>
      </c>
      <c r="AQ223" s="23">
        <f>AP223/AO223*100</f>
        <v>147.67718057780482</v>
      </c>
      <c r="AR223" s="116" t="s">
        <v>148</v>
      </c>
      <c r="AS223" s="116" t="s">
        <v>303</v>
      </c>
    </row>
    <row r="224" spans="1:45" ht="48" customHeight="1" x14ac:dyDescent="0.25">
      <c r="A224" s="165"/>
      <c r="B224" s="127"/>
      <c r="C224" s="127"/>
      <c r="D224" s="35" t="s">
        <v>4</v>
      </c>
      <c r="E224" s="23">
        <f t="shared" si="314"/>
        <v>103012.9</v>
      </c>
      <c r="F224" s="23">
        <f t="shared" si="314"/>
        <v>97166.399999999994</v>
      </c>
      <c r="G224" s="23">
        <f>F224/E224*100</f>
        <v>94.32449722316332</v>
      </c>
      <c r="H224" s="23">
        <v>80</v>
      </c>
      <c r="I224" s="23">
        <v>80</v>
      </c>
      <c r="J224" s="23">
        <f>I224/H224*100</f>
        <v>100</v>
      </c>
      <c r="K224" s="23">
        <v>9754.7000000000007</v>
      </c>
      <c r="L224" s="23">
        <v>9754.7000000000007</v>
      </c>
      <c r="M224" s="23">
        <f t="shared" si="316"/>
        <v>100</v>
      </c>
      <c r="N224" s="23">
        <v>6292.7</v>
      </c>
      <c r="O224" s="23">
        <v>6292.7</v>
      </c>
      <c r="P224" s="23">
        <f t="shared" si="317"/>
        <v>100</v>
      </c>
      <c r="Q224" s="23">
        <f>12004.6-414.1</f>
        <v>11590.5</v>
      </c>
      <c r="R224" s="23">
        <v>10213.6</v>
      </c>
      <c r="S224" s="23">
        <f t="shared" si="318"/>
        <v>88.120443466632153</v>
      </c>
      <c r="T224" s="23">
        <f>13102.3-277.3</f>
        <v>12825</v>
      </c>
      <c r="U224" s="23">
        <v>12672.5</v>
      </c>
      <c r="V224" s="23">
        <f>U224/T224*100</f>
        <v>98.810916179337227</v>
      </c>
      <c r="W224" s="23">
        <f>12254.3+3535-1565.5-2650+478.5</f>
        <v>12052.3</v>
      </c>
      <c r="X224" s="23">
        <v>10586.9</v>
      </c>
      <c r="Y224" s="23">
        <f>X224/W224*100</f>
        <v>87.841324892344204</v>
      </c>
      <c r="Z224" s="23"/>
      <c r="AA224" s="23">
        <v>5.2</v>
      </c>
      <c r="AB224" s="23"/>
      <c r="AC224" s="23"/>
      <c r="AD224" s="23">
        <v>1.5</v>
      </c>
      <c r="AE224" s="21"/>
      <c r="AF224" s="23">
        <v>80</v>
      </c>
      <c r="AG224" s="23">
        <v>0</v>
      </c>
      <c r="AH224" s="23">
        <f>AG224/AF224*100</f>
        <v>0</v>
      </c>
      <c r="AI224" s="23">
        <f>13860.9-478.5</f>
        <v>13382.4</v>
      </c>
      <c r="AJ224" s="23">
        <v>15261.3</v>
      </c>
      <c r="AK224" s="23">
        <f t="shared" si="319"/>
        <v>114.04008249641319</v>
      </c>
      <c r="AL224" s="23">
        <v>12947.8</v>
      </c>
      <c r="AM224" s="23">
        <v>9691.7000000000007</v>
      </c>
      <c r="AN224" s="23">
        <f>AM224/AL224*100</f>
        <v>74.852098425987435</v>
      </c>
      <c r="AO224" s="23">
        <f>21339+375.8+2621.3-328.6</f>
        <v>24007.5</v>
      </c>
      <c r="AP224" s="23">
        <v>22606.3</v>
      </c>
      <c r="AQ224" s="23">
        <f>AP224/AO224*100</f>
        <v>94.163490575861715</v>
      </c>
      <c r="AR224" s="118"/>
      <c r="AS224" s="118"/>
    </row>
    <row r="225" spans="1:45" ht="48" customHeight="1" x14ac:dyDescent="0.25">
      <c r="A225" s="165"/>
      <c r="B225" s="127"/>
      <c r="C225" s="127"/>
      <c r="D225" s="35" t="s">
        <v>43</v>
      </c>
      <c r="E225" s="23">
        <f t="shared" si="314"/>
        <v>19683.5</v>
      </c>
      <c r="F225" s="23">
        <f t="shared" si="314"/>
        <v>18717.400000000001</v>
      </c>
      <c r="G225" s="23">
        <f>F225/E225*100</f>
        <v>95.091828180963759</v>
      </c>
      <c r="H225" s="23"/>
      <c r="I225" s="23"/>
      <c r="J225" s="21"/>
      <c r="K225" s="23">
        <v>1164.2</v>
      </c>
      <c r="L225" s="23">
        <v>1164.2</v>
      </c>
      <c r="M225" s="23">
        <f t="shared" si="316"/>
        <v>100</v>
      </c>
      <c r="N225" s="23">
        <v>1131.2</v>
      </c>
      <c r="O225" s="23">
        <v>1131.2</v>
      </c>
      <c r="P225" s="23">
        <f t="shared" si="317"/>
        <v>100</v>
      </c>
      <c r="Q225" s="23">
        <f>2621.1-790+1342</f>
        <v>3173.1</v>
      </c>
      <c r="R225" s="23">
        <v>1831.1</v>
      </c>
      <c r="S225" s="23">
        <f>R225/Q225*100</f>
        <v>57.706974252308463</v>
      </c>
      <c r="T225" s="23">
        <f>2904.1-552</f>
        <v>2352.1</v>
      </c>
      <c r="U225" s="23">
        <v>2372.6</v>
      </c>
      <c r="V225" s="23">
        <f>U225/T225*100</f>
        <v>100.87156158326603</v>
      </c>
      <c r="W225" s="23">
        <f>2848+446.8-335.7-0.1</f>
        <v>2959.0000000000005</v>
      </c>
      <c r="X225" s="23">
        <v>1849.5</v>
      </c>
      <c r="Y225" s="23">
        <f>X225/W225*100</f>
        <v>62.504224400135165</v>
      </c>
      <c r="Z225" s="23"/>
      <c r="AA225" s="23">
        <v>0</v>
      </c>
      <c r="AB225" s="23"/>
      <c r="AC225" s="23"/>
      <c r="AD225" s="23"/>
      <c r="AE225" s="21"/>
      <c r="AF225" s="23"/>
      <c r="AG225" s="23"/>
      <c r="AH225" s="23"/>
      <c r="AI225" s="23">
        <f>2816.1-350</f>
        <v>2466.1</v>
      </c>
      <c r="AJ225" s="23">
        <v>3032.4</v>
      </c>
      <c r="AK225" s="23">
        <f>AJ225/AI225*100</f>
        <v>122.96338347998865</v>
      </c>
      <c r="AL225" s="23">
        <f>2725.1-350</f>
        <v>2375.1</v>
      </c>
      <c r="AM225" s="23">
        <v>2566.4</v>
      </c>
      <c r="AN225" s="23">
        <f>AM225/AL225*100</f>
        <v>108.05439770957013</v>
      </c>
      <c r="AO225" s="23">
        <f>3955.4+486+1212.5-642-836.4-112.9+0.1</f>
        <v>4062.7</v>
      </c>
      <c r="AP225" s="23">
        <v>4770</v>
      </c>
      <c r="AQ225" s="23">
        <f>AP225/AO225*100</f>
        <v>117.40960445024244</v>
      </c>
      <c r="AR225" s="117"/>
      <c r="AS225" s="117"/>
    </row>
    <row r="226" spans="1:45" ht="15.75" customHeight="1" x14ac:dyDescent="0.25">
      <c r="A226" s="165"/>
      <c r="B226" s="127"/>
      <c r="C226" s="127"/>
      <c r="D226" s="35" t="s">
        <v>21</v>
      </c>
      <c r="E226" s="23">
        <f t="shared" si="314"/>
        <v>0</v>
      </c>
      <c r="F226" s="23">
        <f t="shared" si="314"/>
        <v>0</v>
      </c>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33"/>
      <c r="AS226" s="33"/>
    </row>
    <row r="227" spans="1:45" ht="12.6" customHeight="1" x14ac:dyDescent="0.25">
      <c r="A227" s="165" t="s">
        <v>138</v>
      </c>
      <c r="B227" s="127" t="s">
        <v>140</v>
      </c>
      <c r="C227" s="127" t="s">
        <v>168</v>
      </c>
      <c r="D227" s="35" t="s">
        <v>3</v>
      </c>
      <c r="E227" s="23">
        <f t="shared" si="314"/>
        <v>29193</v>
      </c>
      <c r="F227" s="23">
        <f t="shared" si="314"/>
        <v>27109.700000000004</v>
      </c>
      <c r="G227" s="23">
        <f>F227/E227*100</f>
        <v>92.86370020210326</v>
      </c>
      <c r="H227" s="23">
        <f>H228+H229+H230+H231</f>
        <v>0</v>
      </c>
      <c r="I227" s="23"/>
      <c r="J227" s="21"/>
      <c r="K227" s="23">
        <f t="shared" ref="K227:L227" si="320">K228+K229+K230+K231</f>
        <v>1949.2</v>
      </c>
      <c r="L227" s="23">
        <f t="shared" si="320"/>
        <v>1949.2</v>
      </c>
      <c r="M227" s="23">
        <f t="shared" ref="M227:M230" si="321">L227/K227*100</f>
        <v>100</v>
      </c>
      <c r="N227" s="23">
        <f t="shared" ref="N227:O227" si="322">N228+N229+N230+N231</f>
        <v>1577.6999999999998</v>
      </c>
      <c r="O227" s="23">
        <f t="shared" si="322"/>
        <v>1577.6999999999998</v>
      </c>
      <c r="P227" s="23">
        <f t="shared" ref="P227:P230" si="323">O227/N227*100</f>
        <v>100</v>
      </c>
      <c r="Q227" s="23">
        <f t="shared" ref="Q227:R227" si="324">Q228+Q229+Q230+Q231</f>
        <v>3097</v>
      </c>
      <c r="R227" s="23">
        <f t="shared" si="324"/>
        <v>3057</v>
      </c>
      <c r="S227" s="23">
        <f>R227/Q227*100</f>
        <v>98.708427510494019</v>
      </c>
      <c r="T227" s="23">
        <f t="shared" ref="T227:U227" si="325">T228+T229+T230+T231</f>
        <v>3864.2999999999997</v>
      </c>
      <c r="U227" s="23">
        <f t="shared" si="325"/>
        <v>3786.4000000000005</v>
      </c>
      <c r="V227" s="23">
        <f>U227/T227*100</f>
        <v>97.98411096446965</v>
      </c>
      <c r="W227" s="23">
        <f t="shared" ref="W227:X227" si="326">W228+W229+W230+W231</f>
        <v>4473.3</v>
      </c>
      <c r="X227" s="23">
        <f t="shared" si="326"/>
        <v>3206.8999999999996</v>
      </c>
      <c r="Y227" s="23">
        <f>X227/W227*100</f>
        <v>71.689803947868455</v>
      </c>
      <c r="Z227" s="23">
        <f t="shared" ref="Z227:AA227" si="327">Z228+Z229+Z230+Z231</f>
        <v>0</v>
      </c>
      <c r="AA227" s="23">
        <f t="shared" si="327"/>
        <v>0</v>
      </c>
      <c r="AB227" s="23"/>
      <c r="AC227" s="23">
        <f t="shared" ref="AC227:AD227" si="328">AC228+AC229+AC230+AC231</f>
        <v>0</v>
      </c>
      <c r="AD227" s="23">
        <f t="shared" si="328"/>
        <v>0</v>
      </c>
      <c r="AE227" s="21"/>
      <c r="AF227" s="23">
        <f t="shared" ref="AF227" si="329">AF228+AF229+AF230+AF231</f>
        <v>0</v>
      </c>
      <c r="AG227" s="23"/>
      <c r="AH227" s="21"/>
      <c r="AI227" s="23">
        <f t="shared" ref="AI227:AJ227" si="330">AI228+AI229+AI230+AI231</f>
        <v>4482.2000000000007</v>
      </c>
      <c r="AJ227" s="23">
        <f t="shared" si="330"/>
        <v>4736.7000000000007</v>
      </c>
      <c r="AK227" s="23">
        <f>AJ227/AI227*100</f>
        <v>105.67801526036322</v>
      </c>
      <c r="AL227" s="23">
        <f t="shared" ref="AL227:AM227" si="331">AL228+AL229+AL230+AL231</f>
        <v>3461.6</v>
      </c>
      <c r="AM227" s="23">
        <f t="shared" si="331"/>
        <v>2712.4</v>
      </c>
      <c r="AN227" s="23">
        <f>AM227/AL227*100</f>
        <v>78.356829211925131</v>
      </c>
      <c r="AO227" s="23">
        <f t="shared" ref="AO227:AP227" si="332">AO228+AO229+AO230+AO231</f>
        <v>6287.6999999999989</v>
      </c>
      <c r="AP227" s="23">
        <f t="shared" si="332"/>
        <v>6083.4000000000005</v>
      </c>
      <c r="AQ227" s="23">
        <f>AP227/AO227*100</f>
        <v>96.750799179350196</v>
      </c>
      <c r="AR227" s="33"/>
      <c r="AS227" s="33"/>
    </row>
    <row r="228" spans="1:45" ht="49.9" customHeight="1" x14ac:dyDescent="0.25">
      <c r="A228" s="165"/>
      <c r="B228" s="127"/>
      <c r="C228" s="127"/>
      <c r="D228" s="35" t="s">
        <v>20</v>
      </c>
      <c r="E228" s="23">
        <f t="shared" si="314"/>
        <v>12819.599999999999</v>
      </c>
      <c r="F228" s="23">
        <f t="shared" si="314"/>
        <v>11913.300000000001</v>
      </c>
      <c r="G228" s="23">
        <f>F228/E228*100</f>
        <v>92.930356641392891</v>
      </c>
      <c r="H228" s="23"/>
      <c r="I228" s="23"/>
      <c r="J228" s="23"/>
      <c r="K228" s="23">
        <v>856.6</v>
      </c>
      <c r="L228" s="23">
        <v>856.6</v>
      </c>
      <c r="M228" s="23">
        <f t="shared" si="321"/>
        <v>100</v>
      </c>
      <c r="N228" s="23">
        <v>693.3</v>
      </c>
      <c r="O228" s="23">
        <v>693.3</v>
      </c>
      <c r="P228" s="23">
        <f t="shared" si="323"/>
        <v>100</v>
      </c>
      <c r="Q228" s="23">
        <f>1664-300</f>
        <v>1364</v>
      </c>
      <c r="R228" s="23">
        <v>1343.4</v>
      </c>
      <c r="S228" s="23">
        <f t="shared" ref="S228" si="333">R228/Q228*100</f>
        <v>98.489736070381241</v>
      </c>
      <c r="T228" s="23">
        <f>1824-91.5</f>
        <v>1732.5</v>
      </c>
      <c r="U228" s="23">
        <v>1663.9</v>
      </c>
      <c r="V228" s="23">
        <f>U228/T228*100</f>
        <v>96.040404040404042</v>
      </c>
      <c r="W228" s="23">
        <f>1958+657.9</f>
        <v>2615.9</v>
      </c>
      <c r="X228" s="23">
        <v>1409.3</v>
      </c>
      <c r="Y228" s="23">
        <f>X228/W228*100</f>
        <v>53.874383577353868</v>
      </c>
      <c r="Z228" s="23"/>
      <c r="AA228" s="23">
        <v>0</v>
      </c>
      <c r="AB228" s="23"/>
      <c r="AC228" s="23"/>
      <c r="AD228" s="23"/>
      <c r="AE228" s="21"/>
      <c r="AF228" s="23">
        <v>0</v>
      </c>
      <c r="AG228" s="23">
        <v>0</v>
      </c>
      <c r="AH228" s="23"/>
      <c r="AI228" s="23">
        <v>2006</v>
      </c>
      <c r="AJ228" s="23">
        <v>2081.5</v>
      </c>
      <c r="AK228" s="23">
        <f t="shared" ref="AK228:AK229" si="334">AJ228/AI228*100</f>
        <v>103.76370887337987</v>
      </c>
      <c r="AL228" s="23">
        <v>1741</v>
      </c>
      <c r="AM228" s="23">
        <v>1191.9000000000001</v>
      </c>
      <c r="AN228" s="23">
        <f>AM228/AL228*100</f>
        <v>68.460654796094204</v>
      </c>
      <c r="AO228" s="23">
        <f>2888+69.5+968.2-2115.4</f>
        <v>1810.2999999999997</v>
      </c>
      <c r="AP228" s="23">
        <v>2673.4</v>
      </c>
      <c r="AQ228" s="23">
        <f>AP228/AO228*100</f>
        <v>147.67718057780482</v>
      </c>
      <c r="AR228" s="116" t="s">
        <v>149</v>
      </c>
      <c r="AS228" s="116" t="s">
        <v>304</v>
      </c>
    </row>
    <row r="229" spans="1:45" ht="49.9" customHeight="1" x14ac:dyDescent="0.25">
      <c r="A229" s="165"/>
      <c r="B229" s="127"/>
      <c r="C229" s="127"/>
      <c r="D229" s="35" t="s">
        <v>4</v>
      </c>
      <c r="E229" s="23">
        <f t="shared" si="314"/>
        <v>15668.400000000001</v>
      </c>
      <c r="F229" s="23">
        <f t="shared" si="314"/>
        <v>14560.7</v>
      </c>
      <c r="G229" s="23">
        <f>F229/E229*100</f>
        <v>92.930356641392862</v>
      </c>
      <c r="H229" s="23">
        <v>0</v>
      </c>
      <c r="I229" s="23"/>
      <c r="J229" s="21"/>
      <c r="K229" s="23">
        <v>1046.9000000000001</v>
      </c>
      <c r="L229" s="23">
        <v>1046.9000000000001</v>
      </c>
      <c r="M229" s="23">
        <f t="shared" si="321"/>
        <v>100</v>
      </c>
      <c r="N229" s="23">
        <v>847.4</v>
      </c>
      <c r="O229" s="23">
        <v>847.4</v>
      </c>
      <c r="P229" s="23">
        <f t="shared" si="323"/>
        <v>100</v>
      </c>
      <c r="Q229" s="23">
        <v>1641.9</v>
      </c>
      <c r="R229" s="23">
        <v>1641.9</v>
      </c>
      <c r="S229" s="23">
        <f>R229/Q229*100</f>
        <v>100</v>
      </c>
      <c r="T229" s="23">
        <v>2033.7</v>
      </c>
      <c r="U229" s="23">
        <v>2033.7</v>
      </c>
      <c r="V229" s="23">
        <f t="shared" ref="V229:V230" si="335">U229/T229*100</f>
        <v>100</v>
      </c>
      <c r="W229" s="23">
        <f>1722.5-0.1</f>
        <v>1722.4</v>
      </c>
      <c r="X229" s="23">
        <v>1722.4</v>
      </c>
      <c r="Y229" s="23">
        <f>X229/W229*100</f>
        <v>100</v>
      </c>
      <c r="Z229" s="23"/>
      <c r="AA229" s="23">
        <v>0</v>
      </c>
      <c r="AB229" s="23"/>
      <c r="AC229" s="23">
        <v>0</v>
      </c>
      <c r="AD229" s="23"/>
      <c r="AE229" s="21"/>
      <c r="AF229" s="23">
        <v>0</v>
      </c>
      <c r="AG229" s="23"/>
      <c r="AH229" s="21"/>
      <c r="AI229" s="23">
        <f>2370+0.1</f>
        <v>2370.1</v>
      </c>
      <c r="AJ229" s="23">
        <v>2544.1</v>
      </c>
      <c r="AK229" s="23">
        <f t="shared" si="334"/>
        <v>107.34146238555336</v>
      </c>
      <c r="AL229" s="23">
        <f>2110-478.5</f>
        <v>1631.5</v>
      </c>
      <c r="AM229" s="23">
        <v>1456.9</v>
      </c>
      <c r="AN229" s="23">
        <f>AM229/AL229*100</f>
        <v>89.298191847992641</v>
      </c>
      <c r="AO229" s="23">
        <f>3445.1+85.3+1172.7-328.6</f>
        <v>4374.5</v>
      </c>
      <c r="AP229" s="23">
        <v>3267.4</v>
      </c>
      <c r="AQ229" s="23">
        <f>AP229/AO229*100</f>
        <v>74.691964795976688</v>
      </c>
      <c r="AR229" s="118"/>
      <c r="AS229" s="118"/>
    </row>
    <row r="230" spans="1:45" ht="49.9" customHeight="1" x14ac:dyDescent="0.25">
      <c r="A230" s="165"/>
      <c r="B230" s="127"/>
      <c r="C230" s="127"/>
      <c r="D230" s="35" t="s">
        <v>43</v>
      </c>
      <c r="E230" s="23">
        <f t="shared" si="314"/>
        <v>705</v>
      </c>
      <c r="F230" s="23">
        <f t="shared" si="314"/>
        <v>635.70000000000005</v>
      </c>
      <c r="G230" s="23">
        <f>F230/E230*100</f>
        <v>90.170212765957459</v>
      </c>
      <c r="H230" s="23"/>
      <c r="I230" s="23"/>
      <c r="J230" s="21"/>
      <c r="K230" s="23">
        <v>45.7</v>
      </c>
      <c r="L230" s="23">
        <v>45.7</v>
      </c>
      <c r="M230" s="23">
        <f t="shared" si="321"/>
        <v>100</v>
      </c>
      <c r="N230" s="23">
        <v>37</v>
      </c>
      <c r="O230" s="23">
        <v>37</v>
      </c>
      <c r="P230" s="23">
        <f t="shared" si="323"/>
        <v>100</v>
      </c>
      <c r="Q230" s="23">
        <v>91.1</v>
      </c>
      <c r="R230" s="23">
        <v>71.7</v>
      </c>
      <c r="S230" s="23">
        <f>R230/Q230*100</f>
        <v>78.704720087815588</v>
      </c>
      <c r="T230" s="23">
        <v>98.1</v>
      </c>
      <c r="U230" s="23">
        <v>88.8</v>
      </c>
      <c r="V230" s="23">
        <f t="shared" si="335"/>
        <v>90.519877675840974</v>
      </c>
      <c r="W230" s="23">
        <f>99+36</f>
        <v>135</v>
      </c>
      <c r="X230" s="23">
        <v>75.2</v>
      </c>
      <c r="Y230" s="23">
        <f>X230/W230*100</f>
        <v>55.703703703703709</v>
      </c>
      <c r="Z230" s="23">
        <v>0</v>
      </c>
      <c r="AA230" s="23">
        <v>0</v>
      </c>
      <c r="AB230" s="23"/>
      <c r="AC230" s="23">
        <v>0</v>
      </c>
      <c r="AD230" s="23"/>
      <c r="AE230" s="21"/>
      <c r="AF230" s="23"/>
      <c r="AG230" s="23"/>
      <c r="AH230" s="21"/>
      <c r="AI230" s="23">
        <v>106.1</v>
      </c>
      <c r="AJ230" s="23">
        <v>111.1</v>
      </c>
      <c r="AK230" s="23">
        <f>AJ230/AI230*100</f>
        <v>104.71253534401508</v>
      </c>
      <c r="AL230" s="23">
        <v>89.1</v>
      </c>
      <c r="AM230" s="23">
        <v>63.6</v>
      </c>
      <c r="AN230" s="23">
        <f>AM230/AL230*100</f>
        <v>71.380471380471391</v>
      </c>
      <c r="AO230" s="23">
        <f>164.6+2+49.2-112.9</f>
        <v>102.9</v>
      </c>
      <c r="AP230" s="23">
        <v>142.6</v>
      </c>
      <c r="AQ230" s="23">
        <f>AP230/AO230*100</f>
        <v>138.58114674441205</v>
      </c>
      <c r="AR230" s="117"/>
      <c r="AS230" s="117"/>
    </row>
    <row r="231" spans="1:45" ht="13.15" customHeight="1" x14ac:dyDescent="0.25">
      <c r="A231" s="165"/>
      <c r="B231" s="127"/>
      <c r="C231" s="127"/>
      <c r="D231" s="35" t="s">
        <v>21</v>
      </c>
      <c r="E231" s="23">
        <f t="shared" si="314"/>
        <v>0</v>
      </c>
      <c r="F231" s="23">
        <f t="shared" si="314"/>
        <v>0</v>
      </c>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33"/>
      <c r="AS231" s="33"/>
    </row>
    <row r="232" spans="1:45" x14ac:dyDescent="0.25">
      <c r="A232" s="167" t="s">
        <v>13</v>
      </c>
      <c r="B232" s="167"/>
      <c r="C232" s="167"/>
      <c r="D232" s="36" t="s">
        <v>3</v>
      </c>
      <c r="E232" s="37">
        <f t="shared" si="314"/>
        <v>135516</v>
      </c>
      <c r="F232" s="37">
        <f t="shared" si="314"/>
        <v>127797.09999999999</v>
      </c>
      <c r="G232" s="37">
        <f>F232/E232*100</f>
        <v>94.304067416393636</v>
      </c>
      <c r="H232" s="37">
        <f>H233+H234+H235+H236</f>
        <v>80</v>
      </c>
      <c r="I232" s="37">
        <f>I233+I234+I235+I236</f>
        <v>80</v>
      </c>
      <c r="J232" s="37">
        <f>I232/H232*100</f>
        <v>100</v>
      </c>
      <c r="K232" s="37">
        <f t="shared" ref="K232:AO232" si="336">K233+K234+K235+K236</f>
        <v>11775.500000000002</v>
      </c>
      <c r="L232" s="37">
        <f t="shared" si="336"/>
        <v>11775.500000000002</v>
      </c>
      <c r="M232" s="37">
        <f t="shared" ref="M232:M235" si="337">L232/K232*100</f>
        <v>100</v>
      </c>
      <c r="N232" s="37">
        <f t="shared" si="336"/>
        <v>8117.2</v>
      </c>
      <c r="O232" s="37">
        <f t="shared" si="336"/>
        <v>8117.2</v>
      </c>
      <c r="P232" s="37">
        <f t="shared" ref="P232:P235" si="338">O232/N232*100</f>
        <v>100</v>
      </c>
      <c r="Q232" s="37">
        <f t="shared" si="336"/>
        <v>16127.6</v>
      </c>
      <c r="R232" s="37">
        <f t="shared" si="336"/>
        <v>13388.1</v>
      </c>
      <c r="S232" s="37">
        <f>R232/Q232*100</f>
        <v>83.013591606934696</v>
      </c>
      <c r="T232" s="37">
        <f t="shared" si="336"/>
        <v>16909.599999999999</v>
      </c>
      <c r="U232" s="37">
        <f t="shared" si="336"/>
        <v>16709</v>
      </c>
      <c r="V232" s="37">
        <f>U232/T232*100</f>
        <v>98.81369163078962</v>
      </c>
      <c r="W232" s="37">
        <f t="shared" si="336"/>
        <v>17627.2</v>
      </c>
      <c r="X232" s="37">
        <f t="shared" si="336"/>
        <v>13845.699999999999</v>
      </c>
      <c r="Y232" s="37">
        <f>X232/W232*100</f>
        <v>78.547358627575562</v>
      </c>
      <c r="Z232" s="37">
        <f t="shared" si="336"/>
        <v>0</v>
      </c>
      <c r="AA232" s="37">
        <f t="shared" si="336"/>
        <v>5.2</v>
      </c>
      <c r="AB232" s="37"/>
      <c r="AC232" s="37">
        <f t="shared" si="336"/>
        <v>0</v>
      </c>
      <c r="AD232" s="37">
        <f t="shared" si="336"/>
        <v>1.5</v>
      </c>
      <c r="AE232" s="37"/>
      <c r="AF232" s="37">
        <f t="shared" si="336"/>
        <v>80</v>
      </c>
      <c r="AG232" s="37">
        <f t="shared" si="336"/>
        <v>0</v>
      </c>
      <c r="AH232" s="22"/>
      <c r="AI232" s="37">
        <f t="shared" si="336"/>
        <v>17854.5</v>
      </c>
      <c r="AJ232" s="37">
        <f t="shared" si="336"/>
        <v>20375.2</v>
      </c>
      <c r="AK232" s="37">
        <f>AJ232/AI232*100</f>
        <v>114.11800946540089</v>
      </c>
      <c r="AL232" s="37">
        <f t="shared" si="336"/>
        <v>17063.899999999998</v>
      </c>
      <c r="AM232" s="37">
        <f t="shared" si="336"/>
        <v>13450</v>
      </c>
      <c r="AN232" s="37">
        <f>AM232/AL232*100</f>
        <v>78.821371433259699</v>
      </c>
      <c r="AO232" s="37">
        <f t="shared" si="336"/>
        <v>29880.5</v>
      </c>
      <c r="AP232" s="37">
        <f t="shared" ref="AP232" si="339">AP233+AP234+AP235+AP236</f>
        <v>30049.7</v>
      </c>
      <c r="AQ232" s="37">
        <f>AP232/AO232*100</f>
        <v>100.5662555847459</v>
      </c>
      <c r="AR232" s="33"/>
      <c r="AS232" s="33"/>
    </row>
    <row r="233" spans="1:45" ht="15" customHeight="1" x14ac:dyDescent="0.25">
      <c r="A233" s="167"/>
      <c r="B233" s="167"/>
      <c r="C233" s="167"/>
      <c r="D233" s="36" t="s">
        <v>20</v>
      </c>
      <c r="E233" s="37">
        <f t="shared" si="314"/>
        <v>12819.599999999999</v>
      </c>
      <c r="F233" s="37">
        <f t="shared" si="314"/>
        <v>11913.300000000001</v>
      </c>
      <c r="G233" s="37">
        <f>F233/E233*100</f>
        <v>92.930356641392891</v>
      </c>
      <c r="H233" s="37">
        <f t="shared" ref="H233:I236" si="340">H203+H208+H213+H218+H223</f>
        <v>0</v>
      </c>
      <c r="I233" s="37">
        <f t="shared" si="340"/>
        <v>0</v>
      </c>
      <c r="J233" s="37"/>
      <c r="K233" s="37">
        <f t="shared" ref="K233:L236" si="341">K203+K208+K213+K218+K223</f>
        <v>856.6</v>
      </c>
      <c r="L233" s="37">
        <f t="shared" si="341"/>
        <v>856.6</v>
      </c>
      <c r="M233" s="37">
        <f t="shared" si="337"/>
        <v>100</v>
      </c>
      <c r="N233" s="37">
        <f t="shared" ref="N233:O236" si="342">N203+N208+N213+N218+N223</f>
        <v>693.3</v>
      </c>
      <c r="O233" s="37">
        <f t="shared" si="342"/>
        <v>693.3</v>
      </c>
      <c r="P233" s="37"/>
      <c r="Q233" s="37">
        <f t="shared" ref="Q233:R236" si="343">Q203+Q208+Q213+Q218+Q223</f>
        <v>1364</v>
      </c>
      <c r="R233" s="37">
        <f t="shared" si="343"/>
        <v>1343.4</v>
      </c>
      <c r="S233" s="37">
        <f>R233/Q233*100</f>
        <v>98.489736070381241</v>
      </c>
      <c r="T233" s="37">
        <f t="shared" ref="T233:U236" si="344">T203+T208+T213+T218+T223</f>
        <v>1732.5</v>
      </c>
      <c r="U233" s="37">
        <f t="shared" si="344"/>
        <v>1663.9</v>
      </c>
      <c r="V233" s="37">
        <f>U233/T233*100</f>
        <v>96.040404040404042</v>
      </c>
      <c r="W233" s="37">
        <f t="shared" ref="W233:X236" si="345">W203+W208+W213+W218+W223</f>
        <v>2615.9</v>
      </c>
      <c r="X233" s="37">
        <f t="shared" si="345"/>
        <v>1409.3</v>
      </c>
      <c r="Y233" s="37">
        <f t="shared" ref="Y233:Y235" si="346">X233/W233*100</f>
        <v>53.874383577353868</v>
      </c>
      <c r="Z233" s="37">
        <f t="shared" ref="Z233:AA236" si="347">Z203+Z208+Z213+Z218+Z223</f>
        <v>0</v>
      </c>
      <c r="AA233" s="37">
        <f t="shared" si="347"/>
        <v>0</v>
      </c>
      <c r="AB233" s="37"/>
      <c r="AC233" s="37">
        <f t="shared" ref="AC233:AD236" si="348">AC203+AC208+AC213+AC218+AC223</f>
        <v>0</v>
      </c>
      <c r="AD233" s="37">
        <f t="shared" si="348"/>
        <v>0</v>
      </c>
      <c r="AE233" s="37"/>
      <c r="AF233" s="37">
        <f t="shared" ref="AF233:AG235" si="349">AF203+AF208+AF213+AF218+AF223</f>
        <v>0</v>
      </c>
      <c r="AG233" s="37">
        <f t="shared" si="349"/>
        <v>0</v>
      </c>
      <c r="AH233" s="22"/>
      <c r="AI233" s="37">
        <f t="shared" ref="AI233:AJ235" si="350">AI203+AI208+AI213+AI218+AI223</f>
        <v>2006</v>
      </c>
      <c r="AJ233" s="37">
        <f t="shared" si="350"/>
        <v>2081.5</v>
      </c>
      <c r="AK233" s="37">
        <f>AJ233/AI233*100</f>
        <v>103.76370887337987</v>
      </c>
      <c r="AL233" s="37">
        <f t="shared" ref="AL233:AM235" si="351">AL203+AL208+AL213+AL218+AL223</f>
        <v>1741</v>
      </c>
      <c r="AM233" s="37">
        <f t="shared" si="351"/>
        <v>1191.9000000000001</v>
      </c>
      <c r="AN233" s="37">
        <f>AM233/AL233*100</f>
        <v>68.460654796094204</v>
      </c>
      <c r="AO233" s="37">
        <f t="shared" ref="AO233:AP235" si="352">AO203+AO208+AO213+AO218+AO223</f>
        <v>1810.2999999999997</v>
      </c>
      <c r="AP233" s="37">
        <f t="shared" si="352"/>
        <v>2673.4</v>
      </c>
      <c r="AQ233" s="37">
        <f>AP233/AO233*100</f>
        <v>147.67718057780482</v>
      </c>
      <c r="AR233" s="33"/>
      <c r="AS233" s="33"/>
    </row>
    <row r="234" spans="1:45" ht="25.5" customHeight="1" x14ac:dyDescent="0.25">
      <c r="A234" s="167"/>
      <c r="B234" s="167"/>
      <c r="C234" s="167"/>
      <c r="D234" s="36" t="s">
        <v>4</v>
      </c>
      <c r="E234" s="37">
        <f t="shared" si="314"/>
        <v>103012.9</v>
      </c>
      <c r="F234" s="37">
        <f t="shared" si="314"/>
        <v>97166.399999999994</v>
      </c>
      <c r="G234" s="37">
        <f t="shared" ref="G234:G235" si="353">F234/E234*100</f>
        <v>94.32449722316332</v>
      </c>
      <c r="H234" s="37">
        <f t="shared" si="340"/>
        <v>80</v>
      </c>
      <c r="I234" s="37">
        <f t="shared" si="340"/>
        <v>80</v>
      </c>
      <c r="J234" s="37">
        <f t="shared" ref="J234" si="354">I234/H234*100</f>
        <v>100</v>
      </c>
      <c r="K234" s="37">
        <f t="shared" si="341"/>
        <v>9754.7000000000007</v>
      </c>
      <c r="L234" s="37">
        <f t="shared" si="341"/>
        <v>9754.7000000000007</v>
      </c>
      <c r="M234" s="37">
        <f t="shared" si="337"/>
        <v>100</v>
      </c>
      <c r="N234" s="37">
        <f t="shared" si="342"/>
        <v>6292.7</v>
      </c>
      <c r="O234" s="37">
        <f t="shared" si="342"/>
        <v>6292.7</v>
      </c>
      <c r="P234" s="37">
        <f t="shared" si="338"/>
        <v>100</v>
      </c>
      <c r="Q234" s="37">
        <f t="shared" si="343"/>
        <v>11590.5</v>
      </c>
      <c r="R234" s="37">
        <f t="shared" si="343"/>
        <v>10213.6</v>
      </c>
      <c r="S234" s="37">
        <f t="shared" ref="S234:S235" si="355">R234/Q234*100</f>
        <v>88.120443466632153</v>
      </c>
      <c r="T234" s="37">
        <f t="shared" si="344"/>
        <v>12825</v>
      </c>
      <c r="U234" s="37">
        <f t="shared" si="344"/>
        <v>12672.5</v>
      </c>
      <c r="V234" s="37">
        <f t="shared" ref="V234:V235" si="356">U234/T234*100</f>
        <v>98.810916179337227</v>
      </c>
      <c r="W234" s="37">
        <f t="shared" si="345"/>
        <v>12052.3</v>
      </c>
      <c r="X234" s="37">
        <f t="shared" si="345"/>
        <v>10586.9</v>
      </c>
      <c r="Y234" s="37">
        <f t="shared" si="346"/>
        <v>87.841324892344204</v>
      </c>
      <c r="Z234" s="37">
        <f t="shared" si="347"/>
        <v>0</v>
      </c>
      <c r="AA234" s="37">
        <f t="shared" si="347"/>
        <v>5.2</v>
      </c>
      <c r="AB234" s="37"/>
      <c r="AC234" s="37">
        <f t="shared" si="348"/>
        <v>0</v>
      </c>
      <c r="AD234" s="37">
        <f t="shared" si="348"/>
        <v>1.5</v>
      </c>
      <c r="AE234" s="37"/>
      <c r="AF234" s="37">
        <f t="shared" si="349"/>
        <v>80</v>
      </c>
      <c r="AG234" s="37">
        <f t="shared" si="349"/>
        <v>0</v>
      </c>
      <c r="AH234" s="22"/>
      <c r="AI234" s="37">
        <f t="shared" si="350"/>
        <v>13382.4</v>
      </c>
      <c r="AJ234" s="37">
        <f t="shared" si="350"/>
        <v>15261.3</v>
      </c>
      <c r="AK234" s="37">
        <f t="shared" ref="AK234:AK235" si="357">AJ234/AI234*100</f>
        <v>114.04008249641319</v>
      </c>
      <c r="AL234" s="37">
        <f t="shared" si="351"/>
        <v>12947.8</v>
      </c>
      <c r="AM234" s="37">
        <f t="shared" si="351"/>
        <v>9691.7000000000007</v>
      </c>
      <c r="AN234" s="37">
        <f t="shared" ref="AN234:AN235" si="358">AM234/AL234*100</f>
        <v>74.852098425987435</v>
      </c>
      <c r="AO234" s="37">
        <f t="shared" si="352"/>
        <v>24007.5</v>
      </c>
      <c r="AP234" s="37">
        <f t="shared" si="352"/>
        <v>22606.3</v>
      </c>
      <c r="AQ234" s="37">
        <f t="shared" ref="AQ234:AQ235" si="359">AP234/AO234*100</f>
        <v>94.163490575861715</v>
      </c>
      <c r="AR234" s="33"/>
      <c r="AS234" s="33"/>
    </row>
    <row r="235" spans="1:45" x14ac:dyDescent="0.25">
      <c r="A235" s="167"/>
      <c r="B235" s="167"/>
      <c r="C235" s="167"/>
      <c r="D235" s="36" t="s">
        <v>43</v>
      </c>
      <c r="E235" s="37">
        <f t="shared" si="314"/>
        <v>19683.5</v>
      </c>
      <c r="F235" s="37">
        <f t="shared" si="314"/>
        <v>18717.400000000001</v>
      </c>
      <c r="G235" s="37">
        <f t="shared" si="353"/>
        <v>95.091828180963759</v>
      </c>
      <c r="H235" s="37">
        <f t="shared" si="340"/>
        <v>0</v>
      </c>
      <c r="I235" s="37">
        <f t="shared" si="340"/>
        <v>0</v>
      </c>
      <c r="J235" s="37"/>
      <c r="K235" s="37">
        <f t="shared" si="341"/>
        <v>1164.2</v>
      </c>
      <c r="L235" s="37">
        <f t="shared" si="341"/>
        <v>1164.2</v>
      </c>
      <c r="M235" s="37">
        <f t="shared" si="337"/>
        <v>100</v>
      </c>
      <c r="N235" s="37">
        <f t="shared" si="342"/>
        <v>1131.2</v>
      </c>
      <c r="O235" s="37">
        <f t="shared" si="342"/>
        <v>1131.2</v>
      </c>
      <c r="P235" s="37">
        <f t="shared" si="338"/>
        <v>100</v>
      </c>
      <c r="Q235" s="37">
        <f t="shared" si="343"/>
        <v>3173.1</v>
      </c>
      <c r="R235" s="37">
        <f t="shared" si="343"/>
        <v>1831.1</v>
      </c>
      <c r="S235" s="37">
        <f t="shared" si="355"/>
        <v>57.706974252308463</v>
      </c>
      <c r="T235" s="37">
        <f t="shared" si="344"/>
        <v>2352.1</v>
      </c>
      <c r="U235" s="37">
        <f t="shared" si="344"/>
        <v>2372.6</v>
      </c>
      <c r="V235" s="37">
        <f t="shared" si="356"/>
        <v>100.87156158326603</v>
      </c>
      <c r="W235" s="37">
        <f t="shared" si="345"/>
        <v>2959.0000000000005</v>
      </c>
      <c r="X235" s="37">
        <f t="shared" si="345"/>
        <v>1849.5</v>
      </c>
      <c r="Y235" s="37">
        <f t="shared" si="346"/>
        <v>62.504224400135165</v>
      </c>
      <c r="Z235" s="37">
        <f t="shared" si="347"/>
        <v>0</v>
      </c>
      <c r="AA235" s="37">
        <f t="shared" si="347"/>
        <v>0</v>
      </c>
      <c r="AB235" s="37"/>
      <c r="AC235" s="37">
        <f t="shared" si="348"/>
        <v>0</v>
      </c>
      <c r="AD235" s="37">
        <f t="shared" si="348"/>
        <v>0</v>
      </c>
      <c r="AE235" s="37"/>
      <c r="AF235" s="37">
        <f t="shared" si="349"/>
        <v>0</v>
      </c>
      <c r="AG235" s="37">
        <f t="shared" si="349"/>
        <v>0</v>
      </c>
      <c r="AH235" s="22"/>
      <c r="AI235" s="37">
        <f t="shared" si="350"/>
        <v>2466.1</v>
      </c>
      <c r="AJ235" s="37">
        <f t="shared" si="350"/>
        <v>3032.4</v>
      </c>
      <c r="AK235" s="37">
        <f t="shared" si="357"/>
        <v>122.96338347998865</v>
      </c>
      <c r="AL235" s="37">
        <f t="shared" si="351"/>
        <v>2375.1</v>
      </c>
      <c r="AM235" s="37">
        <f t="shared" si="351"/>
        <v>2566.4</v>
      </c>
      <c r="AN235" s="37">
        <f t="shared" si="358"/>
        <v>108.05439770957013</v>
      </c>
      <c r="AO235" s="37">
        <f t="shared" si="352"/>
        <v>4062.7</v>
      </c>
      <c r="AP235" s="37">
        <f t="shared" si="352"/>
        <v>4770</v>
      </c>
      <c r="AQ235" s="37">
        <f t="shared" si="359"/>
        <v>117.40960445024244</v>
      </c>
      <c r="AR235" s="33"/>
      <c r="AS235" s="33"/>
    </row>
    <row r="236" spans="1:45" ht="14.25" customHeight="1" x14ac:dyDescent="0.25">
      <c r="A236" s="167"/>
      <c r="B236" s="167"/>
      <c r="C236" s="167"/>
      <c r="D236" s="36" t="s">
        <v>21</v>
      </c>
      <c r="E236" s="37">
        <f t="shared" si="314"/>
        <v>0</v>
      </c>
      <c r="F236" s="37">
        <f t="shared" si="314"/>
        <v>0</v>
      </c>
      <c r="G236" s="37"/>
      <c r="H236" s="37">
        <f t="shared" si="340"/>
        <v>0</v>
      </c>
      <c r="I236" s="37">
        <f t="shared" si="340"/>
        <v>0</v>
      </c>
      <c r="J236" s="37"/>
      <c r="K236" s="37">
        <f t="shared" si="341"/>
        <v>0</v>
      </c>
      <c r="L236" s="37">
        <f t="shared" si="341"/>
        <v>0</v>
      </c>
      <c r="M236" s="37"/>
      <c r="N236" s="37">
        <f t="shared" si="342"/>
        <v>0</v>
      </c>
      <c r="O236" s="37">
        <f t="shared" si="342"/>
        <v>0</v>
      </c>
      <c r="P236" s="37"/>
      <c r="Q236" s="37">
        <f t="shared" si="343"/>
        <v>0</v>
      </c>
      <c r="R236" s="37">
        <f t="shared" si="343"/>
        <v>0</v>
      </c>
      <c r="S236" s="37"/>
      <c r="T236" s="37">
        <f t="shared" si="344"/>
        <v>0</v>
      </c>
      <c r="U236" s="37">
        <f t="shared" si="344"/>
        <v>0</v>
      </c>
      <c r="V236" s="37"/>
      <c r="W236" s="37">
        <f t="shared" si="345"/>
        <v>0</v>
      </c>
      <c r="X236" s="37">
        <f t="shared" si="345"/>
        <v>0</v>
      </c>
      <c r="Y236" s="37"/>
      <c r="Z236" s="37">
        <f t="shared" si="347"/>
        <v>0</v>
      </c>
      <c r="AA236" s="37">
        <f t="shared" si="347"/>
        <v>0</v>
      </c>
      <c r="AB236" s="37"/>
      <c r="AC236" s="37">
        <f t="shared" si="348"/>
        <v>0</v>
      </c>
      <c r="AD236" s="37">
        <f t="shared" si="348"/>
        <v>0</v>
      </c>
      <c r="AE236" s="37"/>
      <c r="AF236" s="37">
        <f>AF206+AF211+AF216+AF221+AF226</f>
        <v>0</v>
      </c>
      <c r="AG236" s="37"/>
      <c r="AH236" s="37"/>
      <c r="AI236" s="37">
        <f>AI206+AI211+AI216+AI221+AI226</f>
        <v>0</v>
      </c>
      <c r="AJ236" s="37"/>
      <c r="AK236" s="37"/>
      <c r="AL236" s="37">
        <f>AL206+AL211+AL216+AL221+AL226</f>
        <v>0</v>
      </c>
      <c r="AM236" s="37"/>
      <c r="AN236" s="37"/>
      <c r="AO236" s="37">
        <f>AO206+AO211+AO216+AO221+AO226</f>
        <v>0</v>
      </c>
      <c r="AP236" s="24"/>
      <c r="AQ236" s="25"/>
      <c r="AR236" s="33"/>
      <c r="AS236" s="33"/>
    </row>
    <row r="237" spans="1:45" ht="13.5" customHeight="1" x14ac:dyDescent="0.25">
      <c r="A237" s="35" t="s">
        <v>75</v>
      </c>
      <c r="B237" s="34" t="s">
        <v>14</v>
      </c>
      <c r="C237" s="34"/>
      <c r="D237" s="34"/>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c r="AG237" s="85"/>
      <c r="AH237" s="85"/>
      <c r="AI237" s="85"/>
      <c r="AJ237" s="85"/>
      <c r="AK237" s="85"/>
      <c r="AL237" s="85"/>
      <c r="AM237" s="85"/>
      <c r="AN237" s="85"/>
      <c r="AO237" s="85"/>
      <c r="AP237" s="34"/>
      <c r="AQ237" s="34"/>
      <c r="AR237" s="33"/>
      <c r="AS237" s="33"/>
    </row>
    <row r="238" spans="1:45" ht="15" customHeight="1" x14ac:dyDescent="0.25">
      <c r="A238" s="142" t="s">
        <v>76</v>
      </c>
      <c r="B238" s="127" t="s">
        <v>159</v>
      </c>
      <c r="C238" s="127" t="s">
        <v>176</v>
      </c>
      <c r="D238" s="35" t="s">
        <v>3</v>
      </c>
      <c r="E238" s="23">
        <f t="shared" ref="E238:F268" si="360">H238+K238+N238+Q238+T238+W238+Z238+AC238+AF238+AI238+AL238+AO238</f>
        <v>1086.2</v>
      </c>
      <c r="F238" s="23">
        <f t="shared" si="360"/>
        <v>1086.2</v>
      </c>
      <c r="G238" s="23">
        <f>F238/E238*100</f>
        <v>100</v>
      </c>
      <c r="H238" s="23">
        <f>H239+H240+H241+H242</f>
        <v>0</v>
      </c>
      <c r="I238" s="23"/>
      <c r="J238" s="21"/>
      <c r="K238" s="23">
        <f>K239+K240+K241+K242</f>
        <v>102</v>
      </c>
      <c r="L238" s="23">
        <f>L239+L240+L241+L242</f>
        <v>102</v>
      </c>
      <c r="M238" s="23">
        <f>L238/K238*100</f>
        <v>100</v>
      </c>
      <c r="N238" s="23">
        <f t="shared" ref="N238:AP238" si="361">N239+N240+N241+N242</f>
        <v>0</v>
      </c>
      <c r="O238" s="23"/>
      <c r="P238" s="23"/>
      <c r="Q238" s="23">
        <f t="shared" si="361"/>
        <v>66</v>
      </c>
      <c r="R238" s="23">
        <f t="shared" si="361"/>
        <v>66</v>
      </c>
      <c r="S238" s="23">
        <f>R238/Q238*100</f>
        <v>100</v>
      </c>
      <c r="T238" s="23">
        <f t="shared" si="361"/>
        <v>0</v>
      </c>
      <c r="U238" s="23">
        <f t="shared" si="361"/>
        <v>0</v>
      </c>
      <c r="V238" s="21"/>
      <c r="W238" s="23">
        <f t="shared" si="361"/>
        <v>104.8</v>
      </c>
      <c r="X238" s="23">
        <f t="shared" si="361"/>
        <v>104.8</v>
      </c>
      <c r="Y238" s="23">
        <f>X238/W238*100</f>
        <v>100</v>
      </c>
      <c r="Z238" s="23">
        <f t="shared" si="361"/>
        <v>0</v>
      </c>
      <c r="AA238" s="23">
        <f t="shared" si="361"/>
        <v>0</v>
      </c>
      <c r="AB238" s="23"/>
      <c r="AC238" s="23">
        <f t="shared" si="361"/>
        <v>0</v>
      </c>
      <c r="AD238" s="23">
        <f t="shared" si="361"/>
        <v>0</v>
      </c>
      <c r="AE238" s="23"/>
      <c r="AF238" s="23">
        <f t="shared" si="361"/>
        <v>514.70000000000005</v>
      </c>
      <c r="AG238" s="23">
        <f t="shared" si="361"/>
        <v>0</v>
      </c>
      <c r="AH238" s="23"/>
      <c r="AI238" s="23">
        <f t="shared" si="361"/>
        <v>0</v>
      </c>
      <c r="AJ238" s="23">
        <f t="shared" si="361"/>
        <v>0</v>
      </c>
      <c r="AK238" s="23"/>
      <c r="AL238" s="23">
        <f t="shared" si="361"/>
        <v>174</v>
      </c>
      <c r="AM238" s="23">
        <f t="shared" si="361"/>
        <v>646.90000000000009</v>
      </c>
      <c r="AN238" s="23">
        <f>AM238/AL238*100</f>
        <v>371.78160919540232</v>
      </c>
      <c r="AO238" s="23">
        <f t="shared" si="361"/>
        <v>124.7</v>
      </c>
      <c r="AP238" s="23">
        <f t="shared" si="361"/>
        <v>166.5</v>
      </c>
      <c r="AQ238" s="23">
        <f>AP238/AO238*100</f>
        <v>133.52044907778668</v>
      </c>
      <c r="AR238" s="33"/>
      <c r="AS238" s="33"/>
    </row>
    <row r="239" spans="1:45" ht="15" customHeight="1" x14ac:dyDescent="0.25">
      <c r="A239" s="142"/>
      <c r="B239" s="127"/>
      <c r="C239" s="127"/>
      <c r="D239" s="35" t="s">
        <v>20</v>
      </c>
      <c r="E239" s="23">
        <f t="shared" si="360"/>
        <v>0</v>
      </c>
      <c r="F239" s="23">
        <f t="shared" si="360"/>
        <v>0</v>
      </c>
      <c r="G239" s="23"/>
      <c r="H239" s="23">
        <v>0</v>
      </c>
      <c r="I239" s="23"/>
      <c r="J239" s="21"/>
      <c r="K239" s="23"/>
      <c r="L239" s="23"/>
      <c r="M239" s="23"/>
      <c r="N239" s="23">
        <v>0</v>
      </c>
      <c r="O239" s="23"/>
      <c r="P239" s="23"/>
      <c r="Q239" s="23"/>
      <c r="R239" s="23"/>
      <c r="S239" s="23"/>
      <c r="T239" s="23"/>
      <c r="U239" s="23"/>
      <c r="V239" s="21"/>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33"/>
      <c r="AS239" s="33"/>
    </row>
    <row r="240" spans="1:45" ht="48.6" customHeight="1" x14ac:dyDescent="0.25">
      <c r="A240" s="142"/>
      <c r="B240" s="127"/>
      <c r="C240" s="127"/>
      <c r="D240" s="35" t="s">
        <v>4</v>
      </c>
      <c r="E240" s="23">
        <f t="shared" si="360"/>
        <v>360.3</v>
      </c>
      <c r="F240" s="23">
        <f t="shared" si="360"/>
        <v>360.3</v>
      </c>
      <c r="G240" s="23">
        <f>F240/E240*100</f>
        <v>100</v>
      </c>
      <c r="H240" s="23"/>
      <c r="I240" s="23"/>
      <c r="J240" s="21"/>
      <c r="K240" s="23"/>
      <c r="L240" s="23"/>
      <c r="M240" s="23"/>
      <c r="N240" s="23"/>
      <c r="O240" s="23"/>
      <c r="P240" s="23"/>
      <c r="Q240" s="23"/>
      <c r="R240" s="23"/>
      <c r="S240" s="23"/>
      <c r="T240" s="23"/>
      <c r="U240" s="23"/>
      <c r="V240" s="21"/>
      <c r="W240" s="23">
        <f>1338-1338</f>
        <v>0</v>
      </c>
      <c r="X240" s="23"/>
      <c r="Y240" s="23"/>
      <c r="Z240" s="23"/>
      <c r="AA240" s="23"/>
      <c r="AB240" s="23"/>
      <c r="AC240" s="23"/>
      <c r="AD240" s="23"/>
      <c r="AE240" s="23"/>
      <c r="AF240" s="23">
        <v>360.3</v>
      </c>
      <c r="AG240" s="23">
        <v>0</v>
      </c>
      <c r="AH240" s="23"/>
      <c r="AI240" s="23"/>
      <c r="AJ240" s="23"/>
      <c r="AK240" s="23"/>
      <c r="AL240" s="23"/>
      <c r="AM240" s="23">
        <v>360.3</v>
      </c>
      <c r="AN240" s="23"/>
      <c r="AO240" s="23"/>
      <c r="AP240" s="23"/>
      <c r="AQ240" s="23"/>
      <c r="AR240" s="89" t="s">
        <v>200</v>
      </c>
      <c r="AS240" s="116" t="s">
        <v>210</v>
      </c>
    </row>
    <row r="241" spans="1:45" ht="160.15" customHeight="1" x14ac:dyDescent="0.25">
      <c r="A241" s="142"/>
      <c r="B241" s="127"/>
      <c r="C241" s="127"/>
      <c r="D241" s="35" t="s">
        <v>43</v>
      </c>
      <c r="E241" s="23">
        <f>H241+K241+N241+Q241+T241+W241+Z241+AC241+AF241+AI241+AL241+AO241</f>
        <v>725.90000000000009</v>
      </c>
      <c r="F241" s="23">
        <f>I241+L241+O241+R241+U241+X241+AA241+AD241+AG241+AJ241+AM241+AP241</f>
        <v>725.90000000000009</v>
      </c>
      <c r="G241" s="23">
        <f t="shared" ref="G241" si="362">F241/E241*100</f>
        <v>100</v>
      </c>
      <c r="H241" s="23"/>
      <c r="I241" s="23"/>
      <c r="J241" s="21"/>
      <c r="K241" s="23">
        <v>102</v>
      </c>
      <c r="L241" s="23">
        <v>102</v>
      </c>
      <c r="M241" s="23">
        <f t="shared" ref="M241" si="363">L241/K241*100</f>
        <v>100</v>
      </c>
      <c r="N241" s="23"/>
      <c r="O241" s="23"/>
      <c r="P241" s="23"/>
      <c r="Q241" s="23">
        <v>66</v>
      </c>
      <c r="R241" s="23">
        <v>66</v>
      </c>
      <c r="S241" s="23">
        <f t="shared" ref="S241" si="364">R241/Q241*100</f>
        <v>100</v>
      </c>
      <c r="T241" s="23"/>
      <c r="U241" s="23"/>
      <c r="V241" s="21"/>
      <c r="W241" s="23">
        <f>105.1-0.3</f>
        <v>104.8</v>
      </c>
      <c r="X241" s="23">
        <v>104.8</v>
      </c>
      <c r="Y241" s="23">
        <f t="shared" ref="Y241" si="365">X241/W241*100</f>
        <v>100</v>
      </c>
      <c r="Z241" s="23">
        <f>105.1-105.1</f>
        <v>0</v>
      </c>
      <c r="AA241" s="23"/>
      <c r="AB241" s="23"/>
      <c r="AC241" s="23"/>
      <c r="AD241" s="23"/>
      <c r="AE241" s="23"/>
      <c r="AF241" s="23">
        <v>154.4</v>
      </c>
      <c r="AG241" s="23">
        <v>0</v>
      </c>
      <c r="AH241" s="23"/>
      <c r="AI241" s="23"/>
      <c r="AJ241" s="23"/>
      <c r="AK241" s="23"/>
      <c r="AL241" s="23">
        <f>41.8+132.2</f>
        <v>174</v>
      </c>
      <c r="AM241" s="23">
        <v>286.60000000000002</v>
      </c>
      <c r="AN241" s="23">
        <f t="shared" ref="AN241" si="366">AM241/AL241*100</f>
        <v>164.71264367816093</v>
      </c>
      <c r="AO241" s="23">
        <f>80+44.7</f>
        <v>124.7</v>
      </c>
      <c r="AP241" s="23">
        <v>166.5</v>
      </c>
      <c r="AQ241" s="23">
        <f t="shared" ref="AQ241" si="367">AP241/AO241*100</f>
        <v>133.52044907778668</v>
      </c>
      <c r="AR241" s="79" t="s">
        <v>201</v>
      </c>
      <c r="AS241" s="117"/>
    </row>
    <row r="242" spans="1:45" ht="16.149999999999999" customHeight="1" x14ac:dyDescent="0.25">
      <c r="A242" s="142"/>
      <c r="B242" s="127"/>
      <c r="C242" s="127"/>
      <c r="D242" s="35" t="s">
        <v>21</v>
      </c>
      <c r="E242" s="23">
        <f t="shared" si="360"/>
        <v>0</v>
      </c>
      <c r="F242" s="23">
        <f t="shared" si="360"/>
        <v>0</v>
      </c>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33"/>
      <c r="AS242" s="33"/>
    </row>
    <row r="243" spans="1:45" ht="15" customHeight="1" x14ac:dyDescent="0.25">
      <c r="A243" s="166" t="s">
        <v>161</v>
      </c>
      <c r="B243" s="127" t="s">
        <v>160</v>
      </c>
      <c r="C243" s="127" t="s">
        <v>177</v>
      </c>
      <c r="D243" s="35" t="s">
        <v>3</v>
      </c>
      <c r="E243" s="23">
        <f t="shared" ref="E243:E245" si="368">H243+K243+N243+Q243+T243+W243+Z243+AC243+AF243+AI243+AL243+AO243</f>
        <v>514.70000000000005</v>
      </c>
      <c r="F243" s="23">
        <f t="shared" ref="F243:F245" si="369">I243+L243+O243+R243+U243+X243+AA243+AD243+AG243+AJ243+AM243+AP243</f>
        <v>514.70000000000005</v>
      </c>
      <c r="G243" s="23">
        <f>F243/E243*100</f>
        <v>100</v>
      </c>
      <c r="H243" s="23">
        <f>H244+H245+H246+H247</f>
        <v>0</v>
      </c>
      <c r="I243" s="23"/>
      <c r="J243" s="21"/>
      <c r="K243" s="23">
        <f>K244+K245+K246+K247</f>
        <v>0</v>
      </c>
      <c r="L243" s="23">
        <f>L244+L245+L246+L247</f>
        <v>0</v>
      </c>
      <c r="M243" s="23"/>
      <c r="N243" s="23">
        <f t="shared" ref="N243" si="370">N244+N245+N246+N247</f>
        <v>0</v>
      </c>
      <c r="O243" s="23"/>
      <c r="P243" s="23"/>
      <c r="Q243" s="23">
        <f t="shared" ref="Q243:R243" si="371">Q244+Q245+Q246+Q247</f>
        <v>0</v>
      </c>
      <c r="R243" s="23">
        <f t="shared" si="371"/>
        <v>0</v>
      </c>
      <c r="S243" s="23"/>
      <c r="T243" s="23">
        <f t="shared" ref="T243:U243" si="372">T244+T245+T246+T247</f>
        <v>0</v>
      </c>
      <c r="U243" s="23">
        <f t="shared" si="372"/>
        <v>0</v>
      </c>
      <c r="V243" s="21"/>
      <c r="W243" s="23">
        <f t="shared" ref="W243:X243" si="373">W244+W245+W246+W247</f>
        <v>0</v>
      </c>
      <c r="X243" s="23">
        <f t="shared" si="373"/>
        <v>0</v>
      </c>
      <c r="Y243" s="23"/>
      <c r="Z243" s="23">
        <f t="shared" ref="Z243:AA243" si="374">Z244+Z245+Z246+Z247</f>
        <v>0</v>
      </c>
      <c r="AA243" s="23">
        <f t="shared" si="374"/>
        <v>0</v>
      </c>
      <c r="AB243" s="23"/>
      <c r="AC243" s="23">
        <f t="shared" ref="AC243:AD243" si="375">AC244+AC245+AC246+AC247</f>
        <v>0</v>
      </c>
      <c r="AD243" s="23">
        <f t="shared" si="375"/>
        <v>0</v>
      </c>
      <c r="AE243" s="23"/>
      <c r="AF243" s="23">
        <f t="shared" ref="AF243:AG243" si="376">AF244+AF245+AF246+AF247</f>
        <v>514.70000000000005</v>
      </c>
      <c r="AG243" s="23">
        <f t="shared" si="376"/>
        <v>0</v>
      </c>
      <c r="AH243" s="23"/>
      <c r="AI243" s="23">
        <f t="shared" ref="AI243:AJ243" si="377">AI244+AI245+AI246+AI247</f>
        <v>0</v>
      </c>
      <c r="AJ243" s="23">
        <f t="shared" si="377"/>
        <v>0</v>
      </c>
      <c r="AK243" s="23"/>
      <c r="AL243" s="23">
        <f t="shared" ref="AL243:AM243" si="378">AL244+AL245+AL246+AL247</f>
        <v>0</v>
      </c>
      <c r="AM243" s="23">
        <f t="shared" si="378"/>
        <v>514.70000000000005</v>
      </c>
      <c r="AN243" s="23"/>
      <c r="AO243" s="23">
        <f t="shared" ref="AO243" si="379">AO244+AO245+AO246+AO247</f>
        <v>0</v>
      </c>
      <c r="AP243" s="23"/>
      <c r="AQ243" s="23"/>
      <c r="AR243" s="33"/>
      <c r="AS243" s="33"/>
    </row>
    <row r="244" spans="1:45" ht="15" customHeight="1" x14ac:dyDescent="0.25">
      <c r="A244" s="142"/>
      <c r="B244" s="127"/>
      <c r="C244" s="127"/>
      <c r="D244" s="35" t="s">
        <v>20</v>
      </c>
      <c r="E244" s="23">
        <f t="shared" si="368"/>
        <v>0</v>
      </c>
      <c r="F244" s="23">
        <f t="shared" si="369"/>
        <v>0</v>
      </c>
      <c r="G244" s="23"/>
      <c r="H244" s="23">
        <v>0</v>
      </c>
      <c r="I244" s="23"/>
      <c r="J244" s="21"/>
      <c r="K244" s="23"/>
      <c r="L244" s="23"/>
      <c r="M244" s="23"/>
      <c r="N244" s="23">
        <v>0</v>
      </c>
      <c r="O244" s="23"/>
      <c r="P244" s="23"/>
      <c r="Q244" s="23"/>
      <c r="R244" s="23"/>
      <c r="S244" s="23"/>
      <c r="T244" s="23"/>
      <c r="U244" s="23"/>
      <c r="V244" s="21"/>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33"/>
      <c r="AS244" s="33"/>
    </row>
    <row r="245" spans="1:45" ht="45" customHeight="1" x14ac:dyDescent="0.25">
      <c r="A245" s="142"/>
      <c r="B245" s="127"/>
      <c r="C245" s="127"/>
      <c r="D245" s="35" t="s">
        <v>4</v>
      </c>
      <c r="E245" s="23">
        <f t="shared" si="368"/>
        <v>360.3</v>
      </c>
      <c r="F245" s="23">
        <f t="shared" si="369"/>
        <v>360.3</v>
      </c>
      <c r="G245" s="23">
        <f>F245/E245*100</f>
        <v>100</v>
      </c>
      <c r="H245" s="23"/>
      <c r="I245" s="23"/>
      <c r="J245" s="21"/>
      <c r="K245" s="23"/>
      <c r="L245" s="23"/>
      <c r="M245" s="23"/>
      <c r="N245" s="23"/>
      <c r="O245" s="23"/>
      <c r="P245" s="23"/>
      <c r="Q245" s="23"/>
      <c r="R245" s="23"/>
      <c r="S245" s="23"/>
      <c r="T245" s="23"/>
      <c r="U245" s="23"/>
      <c r="V245" s="21"/>
      <c r="W245" s="23">
        <f>1338-1338</f>
        <v>0</v>
      </c>
      <c r="X245" s="23"/>
      <c r="Y245" s="23"/>
      <c r="Z245" s="23"/>
      <c r="AA245" s="23"/>
      <c r="AB245" s="23"/>
      <c r="AC245" s="23"/>
      <c r="AD245" s="23"/>
      <c r="AE245" s="23"/>
      <c r="AF245" s="23">
        <v>360.3</v>
      </c>
      <c r="AG245" s="23">
        <v>0</v>
      </c>
      <c r="AH245" s="23"/>
      <c r="AI245" s="23"/>
      <c r="AJ245" s="23"/>
      <c r="AK245" s="23"/>
      <c r="AL245" s="23"/>
      <c r="AM245" s="23">
        <v>360.3</v>
      </c>
      <c r="AN245" s="23"/>
      <c r="AO245" s="23"/>
      <c r="AP245" s="23"/>
      <c r="AQ245" s="23"/>
      <c r="AR245" s="116" t="s">
        <v>200</v>
      </c>
      <c r="AS245" s="116" t="s">
        <v>210</v>
      </c>
    </row>
    <row r="246" spans="1:45" ht="45" customHeight="1" x14ac:dyDescent="0.25">
      <c r="A246" s="142"/>
      <c r="B246" s="127"/>
      <c r="C246" s="127"/>
      <c r="D246" s="35" t="s">
        <v>43</v>
      </c>
      <c r="E246" s="23">
        <f>H246+K246+N246+Q246+T246+W246+Z246+AC246+AF246+AI246+AL246+AO246</f>
        <v>154.4</v>
      </c>
      <c r="F246" s="23">
        <f>I246+L246+O246+R246+U246+X246+AA246+AD246+AG246+AJ246+AM246+AP246</f>
        <v>154.4</v>
      </c>
      <c r="G246" s="23">
        <f t="shared" ref="G246" si="380">F246/E246*100</f>
        <v>100</v>
      </c>
      <c r="H246" s="23"/>
      <c r="I246" s="23"/>
      <c r="J246" s="21"/>
      <c r="K246" s="23"/>
      <c r="L246" s="23"/>
      <c r="M246" s="23"/>
      <c r="N246" s="23"/>
      <c r="O246" s="23"/>
      <c r="P246" s="23"/>
      <c r="Q246" s="23"/>
      <c r="R246" s="23"/>
      <c r="S246" s="23"/>
      <c r="T246" s="23"/>
      <c r="U246" s="23"/>
      <c r="V246" s="21"/>
      <c r="W246" s="23"/>
      <c r="X246" s="23"/>
      <c r="Y246" s="23"/>
      <c r="Z246" s="23"/>
      <c r="AA246" s="23"/>
      <c r="AB246" s="23"/>
      <c r="AC246" s="23"/>
      <c r="AD246" s="23"/>
      <c r="AE246" s="23"/>
      <c r="AF246" s="23">
        <v>154.4</v>
      </c>
      <c r="AG246" s="23">
        <v>0</v>
      </c>
      <c r="AH246" s="23"/>
      <c r="AI246" s="23"/>
      <c r="AJ246" s="23"/>
      <c r="AK246" s="23"/>
      <c r="AL246" s="23"/>
      <c r="AM246" s="23">
        <v>154.4</v>
      </c>
      <c r="AN246" s="23"/>
      <c r="AO246" s="23"/>
      <c r="AP246" s="23"/>
      <c r="AQ246" s="23"/>
      <c r="AR246" s="117"/>
      <c r="AS246" s="117"/>
    </row>
    <row r="247" spans="1:45" ht="16.149999999999999" customHeight="1" x14ac:dyDescent="0.25">
      <c r="A247" s="142"/>
      <c r="B247" s="127"/>
      <c r="C247" s="127"/>
      <c r="D247" s="35" t="s">
        <v>21</v>
      </c>
      <c r="E247" s="23">
        <f t="shared" ref="E247" si="381">H247+K247+N247+Q247+T247+W247+Z247+AC247+AF247+AI247+AL247+AO247</f>
        <v>0</v>
      </c>
      <c r="F247" s="23">
        <f t="shared" ref="F247" si="382">I247+L247+O247+R247+U247+X247+AA247+AD247+AG247+AJ247+AM247+AP247</f>
        <v>0</v>
      </c>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4"/>
      <c r="AR247" s="33"/>
      <c r="AS247" s="33"/>
    </row>
    <row r="248" spans="1:45" ht="12" customHeight="1" x14ac:dyDescent="0.25">
      <c r="A248" s="142" t="s">
        <v>104</v>
      </c>
      <c r="B248" s="127" t="s">
        <v>105</v>
      </c>
      <c r="C248" s="127" t="s">
        <v>176</v>
      </c>
      <c r="D248" s="35" t="s">
        <v>3</v>
      </c>
      <c r="E248" s="23">
        <f t="shared" si="360"/>
        <v>8.4</v>
      </c>
      <c r="F248" s="23">
        <f t="shared" si="360"/>
        <v>8.4</v>
      </c>
      <c r="G248" s="23">
        <f>F248/E248*100</f>
        <v>100</v>
      </c>
      <c r="H248" s="23">
        <f>H249+H250+H251+H252</f>
        <v>0</v>
      </c>
      <c r="I248" s="23"/>
      <c r="J248" s="21"/>
      <c r="K248" s="23">
        <f t="shared" ref="K248:AO248" si="383">K249+K250+K251+K252</f>
        <v>0</v>
      </c>
      <c r="L248" s="23"/>
      <c r="M248" s="21"/>
      <c r="N248" s="23">
        <f t="shared" si="383"/>
        <v>0</v>
      </c>
      <c r="O248" s="23"/>
      <c r="P248" s="21"/>
      <c r="Q248" s="23">
        <f t="shared" si="383"/>
        <v>0</v>
      </c>
      <c r="R248" s="23">
        <f t="shared" si="383"/>
        <v>0</v>
      </c>
      <c r="S248" s="23"/>
      <c r="T248" s="23">
        <f t="shared" si="383"/>
        <v>0</v>
      </c>
      <c r="U248" s="23"/>
      <c r="V248" s="21"/>
      <c r="W248" s="23">
        <f t="shared" si="383"/>
        <v>0</v>
      </c>
      <c r="X248" s="23"/>
      <c r="Y248" s="21"/>
      <c r="Z248" s="23">
        <f t="shared" si="383"/>
        <v>0</v>
      </c>
      <c r="AA248" s="23"/>
      <c r="AB248" s="21"/>
      <c r="AC248" s="23">
        <f t="shared" si="383"/>
        <v>0</v>
      </c>
      <c r="AD248" s="23">
        <f t="shared" si="383"/>
        <v>0</v>
      </c>
      <c r="AE248" s="21"/>
      <c r="AF248" s="23">
        <f t="shared" si="383"/>
        <v>0</v>
      </c>
      <c r="AG248" s="23">
        <f t="shared" si="383"/>
        <v>0</v>
      </c>
      <c r="AH248" s="23"/>
      <c r="AI248" s="23">
        <f t="shared" si="383"/>
        <v>0</v>
      </c>
      <c r="AJ248" s="23">
        <f t="shared" si="383"/>
        <v>0</v>
      </c>
      <c r="AK248" s="23"/>
      <c r="AL248" s="23">
        <f t="shared" si="383"/>
        <v>8.4</v>
      </c>
      <c r="AM248" s="23">
        <f t="shared" si="383"/>
        <v>8.4</v>
      </c>
      <c r="AN248" s="23">
        <f>AM248/AL248*100</f>
        <v>100</v>
      </c>
      <c r="AO248" s="23">
        <f t="shared" si="383"/>
        <v>0</v>
      </c>
      <c r="AP248" s="23"/>
      <c r="AQ248" s="21"/>
      <c r="AR248" s="33"/>
      <c r="AS248" s="33"/>
    </row>
    <row r="249" spans="1:45" x14ac:dyDescent="0.25">
      <c r="A249" s="142"/>
      <c r="B249" s="127"/>
      <c r="C249" s="127"/>
      <c r="D249" s="35" t="s">
        <v>20</v>
      </c>
      <c r="E249" s="23">
        <f t="shared" si="360"/>
        <v>0</v>
      </c>
      <c r="F249" s="23">
        <f t="shared" si="360"/>
        <v>0</v>
      </c>
      <c r="G249" s="23"/>
      <c r="H249" s="23"/>
      <c r="I249" s="23"/>
      <c r="J249" s="21"/>
      <c r="K249" s="23"/>
      <c r="L249" s="23"/>
      <c r="M249" s="21"/>
      <c r="N249" s="23"/>
      <c r="O249" s="23"/>
      <c r="P249" s="21"/>
      <c r="Q249" s="23"/>
      <c r="R249" s="23"/>
      <c r="S249" s="23"/>
      <c r="T249" s="23"/>
      <c r="U249" s="23"/>
      <c r="V249" s="21"/>
      <c r="W249" s="23"/>
      <c r="X249" s="23"/>
      <c r="Y249" s="21"/>
      <c r="Z249" s="23"/>
      <c r="AA249" s="23"/>
      <c r="AB249" s="21"/>
      <c r="AC249" s="23"/>
      <c r="AD249" s="23"/>
      <c r="AE249" s="21"/>
      <c r="AF249" s="23"/>
      <c r="AG249" s="23"/>
      <c r="AH249" s="23"/>
      <c r="AI249" s="23"/>
      <c r="AJ249" s="23"/>
      <c r="AK249" s="23"/>
      <c r="AL249" s="23"/>
      <c r="AM249" s="23"/>
      <c r="AN249" s="23"/>
      <c r="AO249" s="23"/>
      <c r="AP249" s="23"/>
      <c r="AQ249" s="21"/>
      <c r="AR249" s="33"/>
      <c r="AS249" s="33"/>
    </row>
    <row r="250" spans="1:45" ht="24" x14ac:dyDescent="0.25">
      <c r="A250" s="142"/>
      <c r="B250" s="127"/>
      <c r="C250" s="127"/>
      <c r="D250" s="35" t="s">
        <v>4</v>
      </c>
      <c r="E250" s="23">
        <f t="shared" si="360"/>
        <v>0</v>
      </c>
      <c r="F250" s="23">
        <f t="shared" si="360"/>
        <v>0</v>
      </c>
      <c r="G250" s="23"/>
      <c r="H250" s="23"/>
      <c r="I250" s="23"/>
      <c r="J250" s="21"/>
      <c r="K250" s="23"/>
      <c r="L250" s="23"/>
      <c r="M250" s="21"/>
      <c r="N250" s="23"/>
      <c r="O250" s="23"/>
      <c r="P250" s="21"/>
      <c r="Q250" s="23"/>
      <c r="R250" s="23"/>
      <c r="S250" s="23"/>
      <c r="T250" s="23"/>
      <c r="U250" s="23"/>
      <c r="V250" s="21"/>
      <c r="W250" s="23"/>
      <c r="X250" s="23"/>
      <c r="Y250" s="21"/>
      <c r="Z250" s="23"/>
      <c r="AA250" s="23"/>
      <c r="AB250" s="21"/>
      <c r="AC250" s="23"/>
      <c r="AD250" s="23"/>
      <c r="AE250" s="21"/>
      <c r="AF250" s="23"/>
      <c r="AG250" s="23"/>
      <c r="AH250" s="23"/>
      <c r="AI250" s="23"/>
      <c r="AJ250" s="23"/>
      <c r="AK250" s="23"/>
      <c r="AL250" s="23"/>
      <c r="AM250" s="23"/>
      <c r="AN250" s="23"/>
      <c r="AO250" s="23"/>
      <c r="AP250" s="23"/>
      <c r="AQ250" s="21"/>
      <c r="AR250" s="33"/>
      <c r="AS250" s="33"/>
    </row>
    <row r="251" spans="1:45" ht="36.75" x14ac:dyDescent="0.25">
      <c r="A251" s="142"/>
      <c r="B251" s="127"/>
      <c r="C251" s="127"/>
      <c r="D251" s="35" t="s">
        <v>43</v>
      </c>
      <c r="E251" s="23">
        <f t="shared" si="360"/>
        <v>8.4</v>
      </c>
      <c r="F251" s="23">
        <f t="shared" si="360"/>
        <v>8.4</v>
      </c>
      <c r="G251" s="23">
        <f t="shared" ref="G251" si="384">F251/E251*100</f>
        <v>100</v>
      </c>
      <c r="H251" s="23"/>
      <c r="I251" s="23"/>
      <c r="J251" s="21"/>
      <c r="K251" s="23"/>
      <c r="L251" s="23"/>
      <c r="M251" s="21"/>
      <c r="N251" s="23">
        <f>60-60</f>
        <v>0</v>
      </c>
      <c r="O251" s="23"/>
      <c r="P251" s="21"/>
      <c r="Q251" s="23"/>
      <c r="R251" s="23">
        <v>0</v>
      </c>
      <c r="S251" s="23"/>
      <c r="T251" s="23"/>
      <c r="U251" s="23"/>
      <c r="V251" s="21"/>
      <c r="W251" s="23">
        <f>59.8-59.8</f>
        <v>0</v>
      </c>
      <c r="X251" s="23"/>
      <c r="Y251" s="21"/>
      <c r="Z251" s="23"/>
      <c r="AA251" s="23"/>
      <c r="AB251" s="21"/>
      <c r="AC251" s="23"/>
      <c r="AD251" s="23"/>
      <c r="AE251" s="21"/>
      <c r="AF251" s="23"/>
      <c r="AG251" s="23">
        <v>0</v>
      </c>
      <c r="AH251" s="23"/>
      <c r="AI251" s="23"/>
      <c r="AJ251" s="23"/>
      <c r="AK251" s="23"/>
      <c r="AL251" s="23">
        <v>8.4</v>
      </c>
      <c r="AM251" s="23">
        <v>8.4</v>
      </c>
      <c r="AN251" s="23">
        <f t="shared" ref="AN251" si="385">AM251/AL251*100</f>
        <v>100</v>
      </c>
      <c r="AO251" s="23"/>
      <c r="AP251" s="23"/>
      <c r="AQ251" s="21"/>
      <c r="AR251" s="40" t="s">
        <v>202</v>
      </c>
      <c r="AS251" s="40"/>
    </row>
    <row r="252" spans="1:45" ht="12" customHeight="1" x14ac:dyDescent="0.25">
      <c r="A252" s="142"/>
      <c r="B252" s="127"/>
      <c r="C252" s="127"/>
      <c r="D252" s="35" t="s">
        <v>21</v>
      </c>
      <c r="E252" s="23">
        <f t="shared" si="360"/>
        <v>0</v>
      </c>
      <c r="F252" s="23">
        <f t="shared" si="360"/>
        <v>0</v>
      </c>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4"/>
      <c r="AR252" s="33"/>
      <c r="AS252" s="33"/>
    </row>
    <row r="253" spans="1:45" ht="13.15" customHeight="1" x14ac:dyDescent="0.25">
      <c r="A253" s="169" t="s">
        <v>77</v>
      </c>
      <c r="B253" s="116" t="s">
        <v>106</v>
      </c>
      <c r="C253" s="116" t="s">
        <v>175</v>
      </c>
      <c r="D253" s="35" t="s">
        <v>3</v>
      </c>
      <c r="E253" s="23">
        <f>H253+K253+N253+Q253+T253+W253+Z253+AC253+AF253+AI253+AL253+AO253</f>
        <v>232.8</v>
      </c>
      <c r="F253" s="23">
        <f t="shared" si="360"/>
        <v>232.8</v>
      </c>
      <c r="G253" s="23">
        <f>F253/E253*100</f>
        <v>100</v>
      </c>
      <c r="H253" s="23">
        <f>H254+H255+H256+H257</f>
        <v>0</v>
      </c>
      <c r="I253" s="23"/>
      <c r="J253" s="21"/>
      <c r="K253" s="23">
        <f>K254+K255+K256+K257</f>
        <v>0</v>
      </c>
      <c r="L253" s="23">
        <f>L254+L255+L256+L257</f>
        <v>0</v>
      </c>
      <c r="M253" s="23"/>
      <c r="N253" s="23">
        <f t="shared" ref="N253:AO253" si="386">N254+N255+N256+N257</f>
        <v>6</v>
      </c>
      <c r="O253" s="23">
        <f t="shared" si="386"/>
        <v>6</v>
      </c>
      <c r="P253" s="23">
        <f t="shared" ref="P253:P256" si="387">O253/N253*100</f>
        <v>100</v>
      </c>
      <c r="Q253" s="23">
        <f t="shared" si="386"/>
        <v>18</v>
      </c>
      <c r="R253" s="23">
        <f t="shared" si="386"/>
        <v>18</v>
      </c>
      <c r="S253" s="23">
        <f t="shared" ref="S253" si="388">R253/Q253*100</f>
        <v>100</v>
      </c>
      <c r="T253" s="23">
        <f t="shared" si="386"/>
        <v>6</v>
      </c>
      <c r="U253" s="23">
        <f t="shared" si="386"/>
        <v>6</v>
      </c>
      <c r="V253" s="23">
        <f>U253/T253*100</f>
        <v>100</v>
      </c>
      <c r="W253" s="23">
        <f t="shared" si="386"/>
        <v>120.8</v>
      </c>
      <c r="X253" s="23">
        <f t="shared" si="386"/>
        <v>120.8</v>
      </c>
      <c r="Y253" s="23">
        <f>X253/W253*100</f>
        <v>100</v>
      </c>
      <c r="Z253" s="23">
        <f t="shared" si="386"/>
        <v>0</v>
      </c>
      <c r="AA253" s="23"/>
      <c r="AB253" s="21"/>
      <c r="AC253" s="23">
        <f t="shared" si="386"/>
        <v>70</v>
      </c>
      <c r="AD253" s="23">
        <f t="shared" si="386"/>
        <v>0</v>
      </c>
      <c r="AE253" s="23">
        <f>AD253/AC253*100</f>
        <v>0</v>
      </c>
      <c r="AF253" s="23">
        <f t="shared" si="386"/>
        <v>6</v>
      </c>
      <c r="AG253" s="23">
        <f t="shared" si="386"/>
        <v>0</v>
      </c>
      <c r="AH253" s="23">
        <f>AG253/AF253*100</f>
        <v>0</v>
      </c>
      <c r="AI253" s="23">
        <f t="shared" si="386"/>
        <v>0</v>
      </c>
      <c r="AJ253" s="23">
        <f t="shared" si="386"/>
        <v>76</v>
      </c>
      <c r="AK253" s="21"/>
      <c r="AL253" s="23">
        <f t="shared" si="386"/>
        <v>6</v>
      </c>
      <c r="AM253" s="23">
        <f t="shared" si="386"/>
        <v>6</v>
      </c>
      <c r="AN253" s="23">
        <f>AM253/AL253*100</f>
        <v>100</v>
      </c>
      <c r="AO253" s="23">
        <f t="shared" si="386"/>
        <v>0</v>
      </c>
      <c r="AP253" s="23"/>
      <c r="AQ253" s="21"/>
      <c r="AR253" s="33"/>
      <c r="AS253" s="33"/>
    </row>
    <row r="254" spans="1:45" x14ac:dyDescent="0.25">
      <c r="A254" s="170"/>
      <c r="B254" s="118"/>
      <c r="C254" s="118"/>
      <c r="D254" s="35" t="s">
        <v>20</v>
      </c>
      <c r="E254" s="23">
        <f t="shared" si="360"/>
        <v>0</v>
      </c>
      <c r="F254" s="23">
        <f>I254+L254+O254+R254+U254+X254+AA254+AD254+AG254+AJ254+AM254+AP254</f>
        <v>0</v>
      </c>
      <c r="G254" s="23"/>
      <c r="H254" s="23"/>
      <c r="I254" s="23"/>
      <c r="J254" s="21"/>
      <c r="K254" s="23"/>
      <c r="L254" s="23"/>
      <c r="M254" s="23"/>
      <c r="N254" s="23"/>
      <c r="O254" s="23"/>
      <c r="P254" s="23"/>
      <c r="Q254" s="23"/>
      <c r="R254" s="23"/>
      <c r="S254" s="21"/>
      <c r="T254" s="23"/>
      <c r="U254" s="23"/>
      <c r="V254" s="23"/>
      <c r="W254" s="23"/>
      <c r="X254" s="23"/>
      <c r="Y254" s="23"/>
      <c r="Z254" s="23"/>
      <c r="AA254" s="23"/>
      <c r="AB254" s="21"/>
      <c r="AC254" s="23"/>
      <c r="AD254" s="23"/>
      <c r="AE254" s="23"/>
      <c r="AF254" s="23"/>
      <c r="AG254" s="23"/>
      <c r="AH254" s="23"/>
      <c r="AI254" s="23"/>
      <c r="AJ254" s="23"/>
      <c r="AK254" s="21"/>
      <c r="AL254" s="23"/>
      <c r="AM254" s="23"/>
      <c r="AN254" s="23"/>
      <c r="AO254" s="23"/>
      <c r="AP254" s="23"/>
      <c r="AQ254" s="21"/>
      <c r="AR254" s="33"/>
      <c r="AS254" s="33"/>
    </row>
    <row r="255" spans="1:45" ht="45" customHeight="1" x14ac:dyDescent="0.25">
      <c r="A255" s="170"/>
      <c r="B255" s="118"/>
      <c r="C255" s="118"/>
      <c r="D255" s="35" t="s">
        <v>4</v>
      </c>
      <c r="E255" s="23">
        <f t="shared" si="360"/>
        <v>70</v>
      </c>
      <c r="F255" s="23">
        <f t="shared" si="360"/>
        <v>70</v>
      </c>
      <c r="G255" s="23">
        <f>F255/E255*100</f>
        <v>100</v>
      </c>
      <c r="H255" s="23"/>
      <c r="I255" s="23"/>
      <c r="J255" s="21"/>
      <c r="K255" s="23"/>
      <c r="L255" s="23"/>
      <c r="M255" s="23"/>
      <c r="N255" s="23"/>
      <c r="O255" s="23"/>
      <c r="P255" s="23"/>
      <c r="Q255" s="23"/>
      <c r="R255" s="23"/>
      <c r="S255" s="21"/>
      <c r="T255" s="23"/>
      <c r="U255" s="23"/>
      <c r="V255" s="23"/>
      <c r="W255" s="23"/>
      <c r="X255" s="23"/>
      <c r="Y255" s="23"/>
      <c r="Z255" s="23"/>
      <c r="AA255" s="23"/>
      <c r="AB255" s="21"/>
      <c r="AC255" s="23">
        <v>70</v>
      </c>
      <c r="AD255" s="23">
        <v>0</v>
      </c>
      <c r="AE255" s="23">
        <f>AD255/AC255*100</f>
        <v>0</v>
      </c>
      <c r="AF255" s="23"/>
      <c r="AG255" s="23"/>
      <c r="AH255" s="23"/>
      <c r="AI255" s="23"/>
      <c r="AJ255" s="23">
        <v>70</v>
      </c>
      <c r="AK255" s="21"/>
      <c r="AL255" s="23"/>
      <c r="AM255" s="23"/>
      <c r="AN255" s="23"/>
      <c r="AO255" s="23"/>
      <c r="AP255" s="23"/>
      <c r="AQ255" s="21"/>
      <c r="AR255" s="89"/>
      <c r="AS255" s="116" t="s">
        <v>210</v>
      </c>
    </row>
    <row r="256" spans="1:45" ht="45" customHeight="1" x14ac:dyDescent="0.25">
      <c r="A256" s="170"/>
      <c r="B256" s="118"/>
      <c r="C256" s="118"/>
      <c r="D256" s="35" t="s">
        <v>43</v>
      </c>
      <c r="E256" s="23">
        <f t="shared" si="360"/>
        <v>162.80000000000001</v>
      </c>
      <c r="F256" s="23">
        <f t="shared" si="360"/>
        <v>162.80000000000001</v>
      </c>
      <c r="G256" s="23">
        <f t="shared" ref="G256" si="389">F256/E256*100</f>
        <v>100</v>
      </c>
      <c r="H256" s="23"/>
      <c r="I256" s="23"/>
      <c r="J256" s="21"/>
      <c r="K256" s="23"/>
      <c r="L256" s="23"/>
      <c r="M256" s="23"/>
      <c r="N256" s="23">
        <v>6</v>
      </c>
      <c r="O256" s="23">
        <v>6</v>
      </c>
      <c r="P256" s="23">
        <f t="shared" si="387"/>
        <v>100</v>
      </c>
      <c r="Q256" s="23">
        <v>18</v>
      </c>
      <c r="R256" s="23">
        <v>18</v>
      </c>
      <c r="S256" s="23">
        <f t="shared" ref="S256" si="390">R256/Q256*100</f>
        <v>100</v>
      </c>
      <c r="T256" s="23">
        <v>6</v>
      </c>
      <c r="U256" s="23">
        <v>6</v>
      </c>
      <c r="V256" s="23">
        <f t="shared" ref="V256" si="391">U256/T256*100</f>
        <v>100</v>
      </c>
      <c r="W256" s="23">
        <v>120.8</v>
      </c>
      <c r="X256" s="23">
        <v>120.8</v>
      </c>
      <c r="Y256" s="23">
        <f t="shared" ref="Y256" si="392">X256/W256*100</f>
        <v>100</v>
      </c>
      <c r="Z256" s="23"/>
      <c r="AA256" s="23"/>
      <c r="AB256" s="21"/>
      <c r="AC256" s="23"/>
      <c r="AD256" s="23"/>
      <c r="AE256" s="21"/>
      <c r="AF256" s="23">
        <v>6</v>
      </c>
      <c r="AG256" s="23">
        <v>0</v>
      </c>
      <c r="AH256" s="23">
        <f t="shared" ref="AH256" si="393">AG256/AF256*100</f>
        <v>0</v>
      </c>
      <c r="AI256" s="23">
        <v>0</v>
      </c>
      <c r="AJ256" s="23">
        <v>6</v>
      </c>
      <c r="AK256" s="21"/>
      <c r="AL256" s="23">
        <v>6</v>
      </c>
      <c r="AM256" s="23">
        <v>6</v>
      </c>
      <c r="AN256" s="23">
        <f t="shared" ref="AN256" si="394">AM256/AL256*100</f>
        <v>100</v>
      </c>
      <c r="AO256" s="23"/>
      <c r="AP256" s="23"/>
      <c r="AQ256" s="21"/>
      <c r="AR256" s="89" t="s">
        <v>154</v>
      </c>
      <c r="AS256" s="117"/>
    </row>
    <row r="257" spans="1:45" ht="15.75" customHeight="1" x14ac:dyDescent="0.25">
      <c r="A257" s="170"/>
      <c r="B257" s="118"/>
      <c r="C257" s="118"/>
      <c r="D257" s="35" t="s">
        <v>21</v>
      </c>
      <c r="E257" s="23">
        <f t="shared" si="360"/>
        <v>0</v>
      </c>
      <c r="F257" s="23">
        <f t="shared" si="360"/>
        <v>0</v>
      </c>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4"/>
      <c r="AR257" s="33"/>
      <c r="AS257" s="33"/>
    </row>
    <row r="258" spans="1:45" ht="14.45" hidden="1" customHeight="1" x14ac:dyDescent="0.25">
      <c r="A258" s="171"/>
      <c r="B258" s="117"/>
      <c r="C258" s="117"/>
      <c r="D258" s="36" t="s">
        <v>120</v>
      </c>
      <c r="E258" s="23"/>
      <c r="F258" s="23">
        <f t="shared" si="360"/>
        <v>0</v>
      </c>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4"/>
      <c r="AR258" s="90"/>
      <c r="AS258" s="33"/>
    </row>
    <row r="259" spans="1:45" ht="12" customHeight="1" x14ac:dyDescent="0.25">
      <c r="A259" s="142" t="s">
        <v>172</v>
      </c>
      <c r="B259" s="127" t="s">
        <v>173</v>
      </c>
      <c r="C259" s="127" t="s">
        <v>174</v>
      </c>
      <c r="D259" s="35" t="s">
        <v>3</v>
      </c>
      <c r="E259" s="23">
        <f t="shared" ref="E259:E263" si="395">H259+K259+N259+Q259+T259+W259+Z259+AC259+AF259+AI259+AL259+AO259</f>
        <v>0</v>
      </c>
      <c r="F259" s="23">
        <f t="shared" ref="F259:F263" si="396">I259+L259+O259+R259+U259+X259+AA259+AD259+AG259+AJ259+AM259+AP259</f>
        <v>0</v>
      </c>
      <c r="G259" s="23"/>
      <c r="H259" s="23">
        <f>H260+H261+H262+H263</f>
        <v>0</v>
      </c>
      <c r="I259" s="23"/>
      <c r="J259" s="21"/>
      <c r="K259" s="23">
        <f t="shared" ref="K259" si="397">K260+K261+K262+K263</f>
        <v>0</v>
      </c>
      <c r="L259" s="23"/>
      <c r="M259" s="21"/>
      <c r="N259" s="23">
        <f t="shared" ref="N259" si="398">N260+N261+N262+N263</f>
        <v>0</v>
      </c>
      <c r="O259" s="23"/>
      <c r="P259" s="21"/>
      <c r="Q259" s="23">
        <f t="shared" ref="Q259:R259" si="399">Q260+Q261+Q262+Q263</f>
        <v>0</v>
      </c>
      <c r="R259" s="23">
        <f t="shared" si="399"/>
        <v>0</v>
      </c>
      <c r="S259" s="23"/>
      <c r="T259" s="23">
        <f t="shared" ref="T259" si="400">T260+T261+T262+T263</f>
        <v>0</v>
      </c>
      <c r="U259" s="23"/>
      <c r="V259" s="21"/>
      <c r="W259" s="23">
        <f t="shared" ref="W259" si="401">W260+W261+W262+W263</f>
        <v>0</v>
      </c>
      <c r="X259" s="23"/>
      <c r="Y259" s="21"/>
      <c r="Z259" s="23">
        <f t="shared" ref="Z259" si="402">Z260+Z261+Z262+Z263</f>
        <v>0</v>
      </c>
      <c r="AA259" s="23"/>
      <c r="AB259" s="21"/>
      <c r="AC259" s="23">
        <f t="shared" ref="AC259:AD259" si="403">AC260+AC261+AC262+AC263</f>
        <v>0</v>
      </c>
      <c r="AD259" s="23">
        <f t="shared" si="403"/>
        <v>0</v>
      </c>
      <c r="AE259" s="21"/>
      <c r="AF259" s="23">
        <f t="shared" ref="AF259:AG259" si="404">AF260+AF261+AF262+AF263</f>
        <v>0</v>
      </c>
      <c r="AG259" s="23">
        <f t="shared" si="404"/>
        <v>0</v>
      </c>
      <c r="AH259" s="23"/>
      <c r="AI259" s="23">
        <f t="shared" ref="AI259:AJ259" si="405">AI260+AI261+AI262+AI263</f>
        <v>0</v>
      </c>
      <c r="AJ259" s="23">
        <f t="shared" si="405"/>
        <v>0</v>
      </c>
      <c r="AK259" s="23"/>
      <c r="AL259" s="23">
        <f t="shared" ref="AL259:AM259" si="406">AL260+AL261+AL262+AL263</f>
        <v>0</v>
      </c>
      <c r="AM259" s="23">
        <f t="shared" si="406"/>
        <v>0</v>
      </c>
      <c r="AN259" s="23"/>
      <c r="AO259" s="23">
        <f t="shared" ref="AO259" si="407">AO260+AO261+AO262+AO263</f>
        <v>0</v>
      </c>
      <c r="AP259" s="23"/>
      <c r="AQ259" s="21"/>
      <c r="AR259" s="33"/>
      <c r="AS259" s="33"/>
    </row>
    <row r="260" spans="1:45" x14ac:dyDescent="0.25">
      <c r="A260" s="142"/>
      <c r="B260" s="127"/>
      <c r="C260" s="127"/>
      <c r="D260" s="35" t="s">
        <v>20</v>
      </c>
      <c r="E260" s="23">
        <f t="shared" si="395"/>
        <v>0</v>
      </c>
      <c r="F260" s="23">
        <f t="shared" si="396"/>
        <v>0</v>
      </c>
      <c r="G260" s="23"/>
      <c r="H260" s="23"/>
      <c r="I260" s="23"/>
      <c r="J260" s="21"/>
      <c r="K260" s="23"/>
      <c r="L260" s="23"/>
      <c r="M260" s="21"/>
      <c r="N260" s="23"/>
      <c r="O260" s="23"/>
      <c r="P260" s="21"/>
      <c r="Q260" s="23"/>
      <c r="R260" s="23"/>
      <c r="S260" s="23"/>
      <c r="T260" s="23"/>
      <c r="U260" s="23"/>
      <c r="V260" s="21"/>
      <c r="W260" s="23"/>
      <c r="X260" s="23"/>
      <c r="Y260" s="21"/>
      <c r="Z260" s="23"/>
      <c r="AA260" s="23"/>
      <c r="AB260" s="21"/>
      <c r="AC260" s="23"/>
      <c r="AD260" s="23"/>
      <c r="AE260" s="21"/>
      <c r="AF260" s="23"/>
      <c r="AG260" s="23"/>
      <c r="AH260" s="23"/>
      <c r="AI260" s="23"/>
      <c r="AJ260" s="23"/>
      <c r="AK260" s="23"/>
      <c r="AL260" s="23"/>
      <c r="AM260" s="23"/>
      <c r="AN260" s="23"/>
      <c r="AO260" s="23"/>
      <c r="AP260" s="23"/>
      <c r="AQ260" s="21"/>
      <c r="AR260" s="33"/>
      <c r="AS260" s="33"/>
    </row>
    <row r="261" spans="1:45" ht="24" x14ac:dyDescent="0.25">
      <c r="A261" s="142"/>
      <c r="B261" s="127"/>
      <c r="C261" s="127"/>
      <c r="D261" s="35" t="s">
        <v>4</v>
      </c>
      <c r="E261" s="23">
        <f t="shared" si="395"/>
        <v>0</v>
      </c>
      <c r="F261" s="23">
        <f t="shared" si="396"/>
        <v>0</v>
      </c>
      <c r="G261" s="23"/>
      <c r="H261" s="23"/>
      <c r="I261" s="23"/>
      <c r="J261" s="21"/>
      <c r="K261" s="23"/>
      <c r="L261" s="23"/>
      <c r="M261" s="21"/>
      <c r="N261" s="23"/>
      <c r="O261" s="23"/>
      <c r="P261" s="21"/>
      <c r="Q261" s="23"/>
      <c r="R261" s="23"/>
      <c r="S261" s="23"/>
      <c r="T261" s="23"/>
      <c r="U261" s="23"/>
      <c r="V261" s="21"/>
      <c r="W261" s="23"/>
      <c r="X261" s="23"/>
      <c r="Y261" s="21"/>
      <c r="Z261" s="23"/>
      <c r="AA261" s="23"/>
      <c r="AB261" s="21"/>
      <c r="AC261" s="23"/>
      <c r="AD261" s="23"/>
      <c r="AE261" s="21"/>
      <c r="AF261" s="23"/>
      <c r="AG261" s="23"/>
      <c r="AH261" s="23"/>
      <c r="AI261" s="23"/>
      <c r="AJ261" s="23"/>
      <c r="AK261" s="23"/>
      <c r="AL261" s="23"/>
      <c r="AM261" s="23"/>
      <c r="AN261" s="23"/>
      <c r="AO261" s="23"/>
      <c r="AP261" s="23"/>
      <c r="AQ261" s="21"/>
      <c r="AR261" s="33"/>
      <c r="AS261" s="33"/>
    </row>
    <row r="262" spans="1:45" x14ac:dyDescent="0.25">
      <c r="A262" s="142"/>
      <c r="B262" s="127"/>
      <c r="C262" s="127"/>
      <c r="D262" s="35" t="s">
        <v>43</v>
      </c>
      <c r="E262" s="23">
        <f t="shared" si="395"/>
        <v>0</v>
      </c>
      <c r="F262" s="23">
        <f t="shared" si="396"/>
        <v>0</v>
      </c>
      <c r="G262" s="23"/>
      <c r="H262" s="23"/>
      <c r="I262" s="23"/>
      <c r="J262" s="21"/>
      <c r="K262" s="23"/>
      <c r="L262" s="23"/>
      <c r="M262" s="21"/>
      <c r="N262" s="23">
        <f>60-60</f>
        <v>0</v>
      </c>
      <c r="O262" s="23"/>
      <c r="P262" s="21"/>
      <c r="Q262" s="23"/>
      <c r="R262" s="23">
        <v>0</v>
      </c>
      <c r="S262" s="23"/>
      <c r="T262" s="23"/>
      <c r="U262" s="23"/>
      <c r="V262" s="21"/>
      <c r="W262" s="23">
        <f>59.8-59.8</f>
        <v>0</v>
      </c>
      <c r="X262" s="23"/>
      <c r="Y262" s="21"/>
      <c r="Z262" s="23"/>
      <c r="AA262" s="23"/>
      <c r="AB262" s="21"/>
      <c r="AC262" s="23"/>
      <c r="AD262" s="23"/>
      <c r="AE262" s="21"/>
      <c r="AF262" s="23"/>
      <c r="AG262" s="23">
        <v>0</v>
      </c>
      <c r="AH262" s="23"/>
      <c r="AI262" s="23"/>
      <c r="AJ262" s="23"/>
      <c r="AK262" s="23"/>
      <c r="AL262" s="23"/>
      <c r="AM262" s="23"/>
      <c r="AN262" s="23"/>
      <c r="AO262" s="23"/>
      <c r="AP262" s="23"/>
      <c r="AQ262" s="21"/>
      <c r="AR262" s="40"/>
      <c r="AS262" s="40"/>
    </row>
    <row r="263" spans="1:45" ht="12" customHeight="1" x14ac:dyDescent="0.25">
      <c r="A263" s="142"/>
      <c r="B263" s="127"/>
      <c r="C263" s="127"/>
      <c r="D263" s="35" t="s">
        <v>21</v>
      </c>
      <c r="E263" s="23">
        <f t="shared" si="395"/>
        <v>0</v>
      </c>
      <c r="F263" s="23">
        <f t="shared" si="396"/>
        <v>0</v>
      </c>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4"/>
      <c r="AR263" s="33"/>
      <c r="AS263" s="33"/>
    </row>
    <row r="264" spans="1:45" ht="12.6" customHeight="1" x14ac:dyDescent="0.25">
      <c r="A264" s="144" t="s">
        <v>15</v>
      </c>
      <c r="B264" s="145"/>
      <c r="C264" s="146"/>
      <c r="D264" s="36" t="s">
        <v>3</v>
      </c>
      <c r="E264" s="37">
        <f>H264+K264+N264+Q264+T264+W264+Z264+AC264+AF264+AI264+AL264+AO264</f>
        <v>1327.4</v>
      </c>
      <c r="F264" s="37">
        <f>I264+L264+O264+R264+U264+X264+AA264+AD264+AG264+AJ264+AM264+AP264</f>
        <v>1327.4</v>
      </c>
      <c r="G264" s="37">
        <f>F264/E264*100</f>
        <v>100</v>
      </c>
      <c r="H264" s="37">
        <f>H265+H266+H267+H268</f>
        <v>0</v>
      </c>
      <c r="I264" s="37"/>
      <c r="J264" s="22"/>
      <c r="K264" s="37">
        <f t="shared" ref="K264:AO264" si="408">K266+K267</f>
        <v>102</v>
      </c>
      <c r="L264" s="37">
        <f t="shared" si="408"/>
        <v>102</v>
      </c>
      <c r="M264" s="37">
        <f>L264/K264*100</f>
        <v>100</v>
      </c>
      <c r="N264" s="37">
        <f t="shared" si="408"/>
        <v>6</v>
      </c>
      <c r="O264" s="37">
        <f t="shared" si="408"/>
        <v>6</v>
      </c>
      <c r="P264" s="37">
        <f t="shared" ref="P264:P267" si="409">O264/N264*100</f>
        <v>100</v>
      </c>
      <c r="Q264" s="37">
        <f t="shared" si="408"/>
        <v>84</v>
      </c>
      <c r="R264" s="37">
        <f t="shared" si="408"/>
        <v>84</v>
      </c>
      <c r="S264" s="37">
        <f>R264/Q264*100</f>
        <v>100</v>
      </c>
      <c r="T264" s="37">
        <f t="shared" si="408"/>
        <v>6</v>
      </c>
      <c r="U264" s="37">
        <f t="shared" si="408"/>
        <v>6</v>
      </c>
      <c r="V264" s="37">
        <f>U264/T264*100</f>
        <v>100</v>
      </c>
      <c r="W264" s="37">
        <f t="shared" si="408"/>
        <v>225.6</v>
      </c>
      <c r="X264" s="37">
        <f t="shared" si="408"/>
        <v>225.6</v>
      </c>
      <c r="Y264" s="37">
        <f>X264/W264*100</f>
        <v>100</v>
      </c>
      <c r="Z264" s="37">
        <f t="shared" si="408"/>
        <v>0</v>
      </c>
      <c r="AA264" s="37">
        <f t="shared" si="408"/>
        <v>0</v>
      </c>
      <c r="AB264" s="37"/>
      <c r="AC264" s="37">
        <f t="shared" si="408"/>
        <v>70</v>
      </c>
      <c r="AD264" s="37">
        <f t="shared" si="408"/>
        <v>0</v>
      </c>
      <c r="AE264" s="37">
        <f>AD264/AC264*100</f>
        <v>0</v>
      </c>
      <c r="AF264" s="37">
        <f>AF266+AF267</f>
        <v>520.70000000000005</v>
      </c>
      <c r="AG264" s="37">
        <f>AG266+AG267</f>
        <v>0</v>
      </c>
      <c r="AH264" s="37">
        <f>AG264/AF264*100</f>
        <v>0</v>
      </c>
      <c r="AI264" s="37">
        <f t="shared" si="408"/>
        <v>0</v>
      </c>
      <c r="AJ264" s="37">
        <f t="shared" si="408"/>
        <v>76</v>
      </c>
      <c r="AK264" s="37"/>
      <c r="AL264" s="37">
        <f t="shared" si="408"/>
        <v>188.4</v>
      </c>
      <c r="AM264" s="37">
        <f t="shared" si="408"/>
        <v>661.3</v>
      </c>
      <c r="AN264" s="37">
        <f>AM264/AL264*100</f>
        <v>351.0084925690021</v>
      </c>
      <c r="AO264" s="37">
        <f t="shared" si="408"/>
        <v>124.7</v>
      </c>
      <c r="AP264" s="37">
        <f t="shared" ref="AP264" si="410">AP266+AP267</f>
        <v>166.5</v>
      </c>
      <c r="AQ264" s="37">
        <f>AP264/AO264*100</f>
        <v>133.52044907778668</v>
      </c>
      <c r="AR264" s="33"/>
      <c r="AS264" s="33"/>
    </row>
    <row r="265" spans="1:45" x14ac:dyDescent="0.25">
      <c r="A265" s="147"/>
      <c r="B265" s="148"/>
      <c r="C265" s="149"/>
      <c r="D265" s="36" t="s">
        <v>20</v>
      </c>
      <c r="E265" s="37">
        <f t="shared" si="360"/>
        <v>0</v>
      </c>
      <c r="F265" s="37">
        <f t="shared" si="360"/>
        <v>0</v>
      </c>
      <c r="G265" s="37"/>
      <c r="H265" s="37">
        <f>H239+H249+H254+H260</f>
        <v>0</v>
      </c>
      <c r="I265" s="37">
        <f>I239+I249+I254+I260</f>
        <v>0</v>
      </c>
      <c r="J265" s="22"/>
      <c r="K265" s="37">
        <f>K239+K249+K254+K260</f>
        <v>0</v>
      </c>
      <c r="L265" s="37">
        <f>L239+L249+L254+L260</f>
        <v>0</v>
      </c>
      <c r="M265" s="37"/>
      <c r="N265" s="37">
        <f>N239+N249+N254+N260</f>
        <v>0</v>
      </c>
      <c r="O265" s="37">
        <f>O239+O249+O254+O260</f>
        <v>0</v>
      </c>
      <c r="P265" s="37"/>
      <c r="Q265" s="37">
        <f>Q239+Q249+Q254+Q260</f>
        <v>0</v>
      </c>
      <c r="R265" s="37">
        <f>R239+R249+R254+R260</f>
        <v>0</v>
      </c>
      <c r="S265" s="37"/>
      <c r="T265" s="37">
        <f>T239+T249+T254+T260</f>
        <v>0</v>
      </c>
      <c r="U265" s="37">
        <f>U239+U249+U254+U260</f>
        <v>0</v>
      </c>
      <c r="V265" s="37"/>
      <c r="W265" s="37">
        <f>W239+W249+W254+W260</f>
        <v>0</v>
      </c>
      <c r="X265" s="37">
        <f>X239+X249+X254+X260</f>
        <v>0</v>
      </c>
      <c r="Y265" s="37"/>
      <c r="Z265" s="37">
        <f>Z239+Z249+Z254+Z260</f>
        <v>0</v>
      </c>
      <c r="AA265" s="37">
        <f>AA239+AA249+AA254+AA260</f>
        <v>0</v>
      </c>
      <c r="AB265" s="37"/>
      <c r="AC265" s="37">
        <f>AC239+AC249+AC254+AC260</f>
        <v>0</v>
      </c>
      <c r="AD265" s="37">
        <f>AD239+AD249+AD254+AD260</f>
        <v>0</v>
      </c>
      <c r="AE265" s="37"/>
      <c r="AF265" s="37">
        <f>AF239+AF249+AF254+AF260</f>
        <v>0</v>
      </c>
      <c r="AG265" s="37">
        <f>AG239+AG249+AG254+AG260</f>
        <v>0</v>
      </c>
      <c r="AH265" s="37"/>
      <c r="AI265" s="37">
        <f>AI239+AI249+AI254+AI260</f>
        <v>0</v>
      </c>
      <c r="AJ265" s="37">
        <f>AJ239+AJ249+AJ254+AJ260</f>
        <v>0</v>
      </c>
      <c r="AK265" s="37"/>
      <c r="AL265" s="37">
        <f>AL239+AL249+AL254+AL260</f>
        <v>0</v>
      </c>
      <c r="AM265" s="37">
        <f>AM239+AM249+AM254</f>
        <v>0</v>
      </c>
      <c r="AN265" s="37"/>
      <c r="AO265" s="37">
        <f>AO239+AO249+AO254+AO260</f>
        <v>0</v>
      </c>
      <c r="AP265" s="37">
        <f>AP239+AP249+AP254+AP260</f>
        <v>0</v>
      </c>
      <c r="AQ265" s="37"/>
      <c r="AR265" s="33"/>
      <c r="AS265" s="33"/>
    </row>
    <row r="266" spans="1:45" ht="24" customHeight="1" x14ac:dyDescent="0.25">
      <c r="A266" s="147"/>
      <c r="B266" s="148"/>
      <c r="C266" s="149"/>
      <c r="D266" s="36" t="s">
        <v>4</v>
      </c>
      <c r="E266" s="37">
        <f t="shared" si="360"/>
        <v>430.3</v>
      </c>
      <c r="F266" s="37">
        <f t="shared" si="360"/>
        <v>430.3</v>
      </c>
      <c r="G266" s="37">
        <f>F266/E266*100</f>
        <v>100</v>
      </c>
      <c r="H266" s="37">
        <f t="shared" ref="H266:I268" si="411">H240+H250+H255+H261</f>
        <v>0</v>
      </c>
      <c r="I266" s="37">
        <f t="shared" si="411"/>
        <v>0</v>
      </c>
      <c r="J266" s="22"/>
      <c r="K266" s="37">
        <f t="shared" ref="K266:L268" si="412">K240+K250+K255+K261</f>
        <v>0</v>
      </c>
      <c r="L266" s="37">
        <f t="shared" si="412"/>
        <v>0</v>
      </c>
      <c r="M266" s="37"/>
      <c r="N266" s="37">
        <f t="shared" ref="N266:O268" si="413">N240+N250+N255+N261</f>
        <v>0</v>
      </c>
      <c r="O266" s="37">
        <f t="shared" si="413"/>
        <v>0</v>
      </c>
      <c r="P266" s="37"/>
      <c r="Q266" s="37">
        <f t="shared" ref="Q266:R268" si="414">Q240+Q250+Q255+Q261</f>
        <v>0</v>
      </c>
      <c r="R266" s="37">
        <f t="shared" si="414"/>
        <v>0</v>
      </c>
      <c r="S266" s="37"/>
      <c r="T266" s="37">
        <f t="shared" ref="T266:U268" si="415">T240+T250+T255+T261</f>
        <v>0</v>
      </c>
      <c r="U266" s="37">
        <f t="shared" si="415"/>
        <v>0</v>
      </c>
      <c r="V266" s="37"/>
      <c r="W266" s="37">
        <f t="shared" ref="W266:X268" si="416">W240+W250+W255+W261</f>
        <v>0</v>
      </c>
      <c r="X266" s="37">
        <f t="shared" si="416"/>
        <v>0</v>
      </c>
      <c r="Y266" s="37"/>
      <c r="Z266" s="37">
        <f t="shared" ref="Z266:AA268" si="417">Z240+Z250+Z255+Z261</f>
        <v>0</v>
      </c>
      <c r="AA266" s="37">
        <f t="shared" si="417"/>
        <v>0</v>
      </c>
      <c r="AB266" s="37"/>
      <c r="AC266" s="37">
        <f t="shared" ref="AC266:AD268" si="418">AC240+AC250+AC255+AC261</f>
        <v>70</v>
      </c>
      <c r="AD266" s="37">
        <f t="shared" si="418"/>
        <v>0</v>
      </c>
      <c r="AE266" s="37">
        <f t="shared" ref="AE266" si="419">AD266/AC266*100</f>
        <v>0</v>
      </c>
      <c r="AF266" s="37">
        <f t="shared" ref="AF266:AG268" si="420">AF240+AF250+AF255+AF261</f>
        <v>360.3</v>
      </c>
      <c r="AG266" s="37">
        <f t="shared" si="420"/>
        <v>0</v>
      </c>
      <c r="AH266" s="37"/>
      <c r="AI266" s="37">
        <f t="shared" ref="AI266:AJ268" si="421">AI240+AI250+AI255+AI261</f>
        <v>0</v>
      </c>
      <c r="AJ266" s="37">
        <f t="shared" si="421"/>
        <v>70</v>
      </c>
      <c r="AK266" s="37"/>
      <c r="AL266" s="37">
        <f t="shared" ref="AL266:AL268" si="422">AL240+AL250+AL255+AL261</f>
        <v>0</v>
      </c>
      <c r="AM266" s="37">
        <f>AM240+AM250+AM255</f>
        <v>360.3</v>
      </c>
      <c r="AN266" s="37"/>
      <c r="AO266" s="37">
        <f t="shared" ref="AO266:AP268" si="423">AO240+AO250+AO255+AO261</f>
        <v>0</v>
      </c>
      <c r="AP266" s="37">
        <f t="shared" si="423"/>
        <v>0</v>
      </c>
      <c r="AQ266" s="37"/>
      <c r="AR266" s="33"/>
      <c r="AS266" s="33"/>
    </row>
    <row r="267" spans="1:45" ht="12.6" customHeight="1" x14ac:dyDescent="0.25">
      <c r="A267" s="147"/>
      <c r="B267" s="148"/>
      <c r="C267" s="149"/>
      <c r="D267" s="36" t="s">
        <v>43</v>
      </c>
      <c r="E267" s="37">
        <f t="shared" si="360"/>
        <v>897.1</v>
      </c>
      <c r="F267" s="37">
        <f t="shared" si="360"/>
        <v>897.1</v>
      </c>
      <c r="G267" s="37">
        <f t="shared" ref="G267" si="424">F267/E267*100</f>
        <v>100</v>
      </c>
      <c r="H267" s="37">
        <f t="shared" si="411"/>
        <v>0</v>
      </c>
      <c r="I267" s="37">
        <f t="shared" si="411"/>
        <v>0</v>
      </c>
      <c r="J267" s="22"/>
      <c r="K267" s="37">
        <f t="shared" si="412"/>
        <v>102</v>
      </c>
      <c r="L267" s="37">
        <f t="shared" si="412"/>
        <v>102</v>
      </c>
      <c r="M267" s="37">
        <f t="shared" ref="M267" si="425">L267/K267*100</f>
        <v>100</v>
      </c>
      <c r="N267" s="37">
        <f t="shared" si="413"/>
        <v>6</v>
      </c>
      <c r="O267" s="37">
        <f t="shared" si="413"/>
        <v>6</v>
      </c>
      <c r="P267" s="37">
        <f t="shared" si="409"/>
        <v>100</v>
      </c>
      <c r="Q267" s="37">
        <f t="shared" si="414"/>
        <v>84</v>
      </c>
      <c r="R267" s="37">
        <f t="shared" si="414"/>
        <v>84</v>
      </c>
      <c r="S267" s="37">
        <f t="shared" ref="S267" si="426">R267/Q267*100</f>
        <v>100</v>
      </c>
      <c r="T267" s="37">
        <f t="shared" si="415"/>
        <v>6</v>
      </c>
      <c r="U267" s="37">
        <f t="shared" si="415"/>
        <v>6</v>
      </c>
      <c r="V267" s="37">
        <f t="shared" ref="V267" si="427">U267/T267*100</f>
        <v>100</v>
      </c>
      <c r="W267" s="37">
        <f t="shared" si="416"/>
        <v>225.6</v>
      </c>
      <c r="X267" s="37">
        <f t="shared" si="416"/>
        <v>225.6</v>
      </c>
      <c r="Y267" s="37">
        <f t="shared" ref="Y267" si="428">X267/W267*100</f>
        <v>100</v>
      </c>
      <c r="Z267" s="37">
        <f t="shared" si="417"/>
        <v>0</v>
      </c>
      <c r="AA267" s="37">
        <f t="shared" si="417"/>
        <v>0</v>
      </c>
      <c r="AB267" s="37"/>
      <c r="AC267" s="37">
        <f t="shared" si="418"/>
        <v>0</v>
      </c>
      <c r="AD267" s="37">
        <f t="shared" si="418"/>
        <v>0</v>
      </c>
      <c r="AE267" s="37"/>
      <c r="AF267" s="37">
        <f t="shared" si="420"/>
        <v>160.4</v>
      </c>
      <c r="AG267" s="37">
        <f t="shared" si="420"/>
        <v>0</v>
      </c>
      <c r="AH267" s="37">
        <f t="shared" ref="AH267" si="429">AG267/AF267*100</f>
        <v>0</v>
      </c>
      <c r="AI267" s="37">
        <f t="shared" si="421"/>
        <v>0</v>
      </c>
      <c r="AJ267" s="37">
        <f t="shared" si="421"/>
        <v>6</v>
      </c>
      <c r="AK267" s="37"/>
      <c r="AL267" s="37">
        <f t="shared" si="422"/>
        <v>188.4</v>
      </c>
      <c r="AM267" s="37">
        <f>AM241+AM251+AM256</f>
        <v>301</v>
      </c>
      <c r="AN267" s="37">
        <f t="shared" ref="AN267" si="430">AM267/AL267*100</f>
        <v>159.7664543524416</v>
      </c>
      <c r="AO267" s="37">
        <f t="shared" si="423"/>
        <v>124.7</v>
      </c>
      <c r="AP267" s="37">
        <f t="shared" si="423"/>
        <v>166.5</v>
      </c>
      <c r="AQ267" s="37">
        <f t="shared" ref="AQ267" si="431">AP267/AO267*100</f>
        <v>133.52044907778668</v>
      </c>
      <c r="AR267" s="33"/>
      <c r="AS267" s="33"/>
    </row>
    <row r="268" spans="1:45" ht="14.25" customHeight="1" x14ac:dyDescent="0.25">
      <c r="A268" s="147"/>
      <c r="B268" s="148"/>
      <c r="C268" s="149"/>
      <c r="D268" s="36" t="s">
        <v>21</v>
      </c>
      <c r="E268" s="44">
        <f t="shared" si="360"/>
        <v>0</v>
      </c>
      <c r="F268" s="44">
        <f t="shared" si="360"/>
        <v>0</v>
      </c>
      <c r="G268" s="23"/>
      <c r="H268" s="23">
        <f t="shared" si="411"/>
        <v>0</v>
      </c>
      <c r="I268" s="23">
        <f t="shared" si="411"/>
        <v>0</v>
      </c>
      <c r="J268" s="44"/>
      <c r="K268" s="23">
        <f t="shared" si="412"/>
        <v>0</v>
      </c>
      <c r="L268" s="23">
        <f t="shared" si="412"/>
        <v>0</v>
      </c>
      <c r="M268" s="37"/>
      <c r="N268" s="23">
        <f t="shared" si="413"/>
        <v>0</v>
      </c>
      <c r="O268" s="23">
        <f t="shared" si="413"/>
        <v>0</v>
      </c>
      <c r="P268" s="44"/>
      <c r="Q268" s="23">
        <f t="shared" si="414"/>
        <v>0</v>
      </c>
      <c r="R268" s="23">
        <f t="shared" si="414"/>
        <v>0</v>
      </c>
      <c r="S268" s="44"/>
      <c r="T268" s="23">
        <f t="shared" si="415"/>
        <v>0</v>
      </c>
      <c r="U268" s="23">
        <f t="shared" si="415"/>
        <v>0</v>
      </c>
      <c r="V268" s="23"/>
      <c r="W268" s="37">
        <f t="shared" si="416"/>
        <v>0</v>
      </c>
      <c r="X268" s="37">
        <f t="shared" si="416"/>
        <v>0</v>
      </c>
      <c r="Y268" s="23"/>
      <c r="Z268" s="37">
        <f t="shared" si="417"/>
        <v>0</v>
      </c>
      <c r="AA268" s="37">
        <f t="shared" si="417"/>
        <v>0</v>
      </c>
      <c r="AB268" s="44"/>
      <c r="AC268" s="37">
        <f t="shared" si="418"/>
        <v>0</v>
      </c>
      <c r="AD268" s="37">
        <f t="shared" si="418"/>
        <v>0</v>
      </c>
      <c r="AE268" s="44"/>
      <c r="AF268" s="37">
        <f t="shared" si="420"/>
        <v>0</v>
      </c>
      <c r="AG268" s="37">
        <f t="shared" si="420"/>
        <v>0</v>
      </c>
      <c r="AH268" s="44"/>
      <c r="AI268" s="37">
        <f t="shared" si="421"/>
        <v>0</v>
      </c>
      <c r="AJ268" s="37">
        <f t="shared" si="421"/>
        <v>0</v>
      </c>
      <c r="AK268" s="44"/>
      <c r="AL268" s="37">
        <f t="shared" si="422"/>
        <v>0</v>
      </c>
      <c r="AM268" s="38">
        <f>AM242+AM252+AM257</f>
        <v>0</v>
      </c>
      <c r="AN268" s="44"/>
      <c r="AO268" s="37">
        <f t="shared" si="423"/>
        <v>0</v>
      </c>
      <c r="AP268" s="38"/>
      <c r="AQ268" s="54"/>
      <c r="AR268" s="33"/>
      <c r="AS268" s="33"/>
    </row>
    <row r="269" spans="1:45" ht="12" hidden="1" customHeight="1" x14ac:dyDescent="0.25">
      <c r="A269" s="150"/>
      <c r="B269" s="151"/>
      <c r="C269" s="152"/>
      <c r="D269" s="36" t="s">
        <v>120</v>
      </c>
      <c r="E269" s="44"/>
      <c r="F269" s="44"/>
      <c r="G269" s="23"/>
      <c r="H269" s="38"/>
      <c r="I269" s="38"/>
      <c r="J269" s="44"/>
      <c r="K269" s="38"/>
      <c r="L269" s="38"/>
      <c r="M269" s="37"/>
      <c r="N269" s="38"/>
      <c r="O269" s="38"/>
      <c r="P269" s="44"/>
      <c r="Q269" s="38"/>
      <c r="R269" s="38"/>
      <c r="S269" s="44"/>
      <c r="T269" s="38"/>
      <c r="U269" s="38"/>
      <c r="V269" s="23"/>
      <c r="W269" s="38"/>
      <c r="X269" s="38"/>
      <c r="Y269" s="23"/>
      <c r="Z269" s="44"/>
      <c r="AA269" s="44"/>
      <c r="AB269" s="44"/>
      <c r="AC269" s="38"/>
      <c r="AD269" s="38"/>
      <c r="AE269" s="44"/>
      <c r="AF269" s="38"/>
      <c r="AG269" s="38"/>
      <c r="AH269" s="44"/>
      <c r="AI269" s="38"/>
      <c r="AJ269" s="38"/>
      <c r="AK269" s="44"/>
      <c r="AL269" s="38"/>
      <c r="AM269" s="38"/>
      <c r="AN269" s="44"/>
      <c r="AO269" s="38"/>
      <c r="AP269" s="38"/>
      <c r="AQ269" s="54"/>
      <c r="AR269" s="33"/>
      <c r="AS269" s="33"/>
    </row>
    <row r="270" spans="1:45" ht="18.600000000000001" customHeight="1" x14ac:dyDescent="0.25">
      <c r="A270" s="45" t="s">
        <v>78</v>
      </c>
      <c r="B270" s="34" t="s">
        <v>16</v>
      </c>
      <c r="C270" s="46"/>
      <c r="D270" s="46"/>
      <c r="E270" s="86"/>
      <c r="F270" s="86"/>
      <c r="G270" s="86"/>
      <c r="H270" s="86"/>
      <c r="I270" s="86"/>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c r="AO270" s="86"/>
      <c r="AP270" s="46"/>
      <c r="AQ270" s="46"/>
      <c r="AR270" s="33"/>
      <c r="AS270" s="33"/>
    </row>
    <row r="271" spans="1:45" ht="15" customHeight="1" x14ac:dyDescent="0.25">
      <c r="A271" s="142" t="s">
        <v>79</v>
      </c>
      <c r="B271" s="127" t="s">
        <v>107</v>
      </c>
      <c r="C271" s="127" t="s">
        <v>171</v>
      </c>
      <c r="D271" s="35" t="s">
        <v>3</v>
      </c>
      <c r="E271" s="23">
        <f t="shared" ref="E271:F290" si="432">H271+K271+N271+Q271+T271+W271+Z271+AC271+AF271+AI271+AL271+AO271</f>
        <v>9243.5</v>
      </c>
      <c r="F271" s="23">
        <f t="shared" si="432"/>
        <v>9243.4197499999991</v>
      </c>
      <c r="G271" s="23">
        <f>F271/E271*100</f>
        <v>99.999131822361647</v>
      </c>
      <c r="H271" s="23">
        <f>H272+H273+H274+H275</f>
        <v>0</v>
      </c>
      <c r="I271" s="23"/>
      <c r="J271" s="21"/>
      <c r="K271" s="23">
        <f t="shared" ref="K271:AP271" si="433">K272+K273+K274+K275</f>
        <v>0</v>
      </c>
      <c r="L271" s="23">
        <f t="shared" si="433"/>
        <v>0</v>
      </c>
      <c r="M271" s="23"/>
      <c r="N271" s="23">
        <f t="shared" si="433"/>
        <v>357.5</v>
      </c>
      <c r="O271" s="23">
        <f t="shared" si="433"/>
        <v>265.3</v>
      </c>
      <c r="P271" s="23">
        <f t="shared" ref="P271" si="434">O271/N271*100</f>
        <v>74.209790209790214</v>
      </c>
      <c r="Q271" s="23">
        <f t="shared" si="433"/>
        <v>1522.9</v>
      </c>
      <c r="R271" s="23">
        <f t="shared" si="433"/>
        <v>1664</v>
      </c>
      <c r="S271" s="23">
        <f>R271/Q271*100</f>
        <v>109.26521767680084</v>
      </c>
      <c r="T271" s="23">
        <f t="shared" si="433"/>
        <v>0</v>
      </c>
      <c r="U271" s="23">
        <f t="shared" si="433"/>
        <v>0</v>
      </c>
      <c r="V271" s="23"/>
      <c r="W271" s="23">
        <f t="shared" si="433"/>
        <v>2162.5999999999995</v>
      </c>
      <c r="X271" s="23">
        <f t="shared" si="433"/>
        <v>2113.6999999999998</v>
      </c>
      <c r="Y271" s="23">
        <f>X271/W271*100</f>
        <v>97.738832886340532</v>
      </c>
      <c r="Z271" s="23">
        <f t="shared" si="433"/>
        <v>3161.9000000000005</v>
      </c>
      <c r="AA271" s="23">
        <f t="shared" si="433"/>
        <v>2757.0197499999999</v>
      </c>
      <c r="AB271" s="23">
        <f>AA271/Z271*100</f>
        <v>87.195033049748545</v>
      </c>
      <c r="AC271" s="23">
        <f t="shared" si="433"/>
        <v>212.3</v>
      </c>
      <c r="AD271" s="23">
        <f t="shared" si="433"/>
        <v>496.2</v>
      </c>
      <c r="AE271" s="23"/>
      <c r="AF271" s="23">
        <f t="shared" si="433"/>
        <v>0</v>
      </c>
      <c r="AG271" s="23">
        <f t="shared" si="433"/>
        <v>0</v>
      </c>
      <c r="AH271" s="23"/>
      <c r="AI271" s="23">
        <f t="shared" si="433"/>
        <v>64.900000000000006</v>
      </c>
      <c r="AJ271" s="23">
        <f t="shared" si="433"/>
        <v>-105.1</v>
      </c>
      <c r="AK271" s="23">
        <f>AJ271/AI271*100</f>
        <v>-161.94144838212631</v>
      </c>
      <c r="AL271" s="23">
        <f t="shared" si="433"/>
        <v>1435.6</v>
      </c>
      <c r="AM271" s="23">
        <f t="shared" si="433"/>
        <v>2045.3</v>
      </c>
      <c r="AN271" s="23">
        <f>AM271/AL271*100</f>
        <v>142.47004736695459</v>
      </c>
      <c r="AO271" s="23">
        <f t="shared" si="433"/>
        <v>325.80000000000035</v>
      </c>
      <c r="AP271" s="23">
        <f t="shared" si="433"/>
        <v>7</v>
      </c>
      <c r="AQ271" s="23">
        <f>AP271/AO271*100</f>
        <v>2.1485573971761793</v>
      </c>
      <c r="AR271" s="33"/>
      <c r="AS271" s="33"/>
    </row>
    <row r="272" spans="1:45" ht="13.5" customHeight="1" x14ac:dyDescent="0.25">
      <c r="A272" s="142"/>
      <c r="B272" s="127"/>
      <c r="C272" s="127"/>
      <c r="D272" s="35" t="s">
        <v>20</v>
      </c>
      <c r="E272" s="23">
        <f t="shared" si="432"/>
        <v>0</v>
      </c>
      <c r="F272" s="23">
        <f t="shared" si="432"/>
        <v>0</v>
      </c>
      <c r="G272" s="23"/>
      <c r="H272" s="23"/>
      <c r="I272" s="23"/>
      <c r="J272" s="21"/>
      <c r="K272" s="23"/>
      <c r="L272" s="23"/>
      <c r="M272" s="21"/>
      <c r="N272" s="23"/>
      <c r="O272" s="23"/>
      <c r="P272" s="21"/>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33"/>
      <c r="AS272" s="33"/>
    </row>
    <row r="273" spans="1:45" ht="25.9" customHeight="1" x14ac:dyDescent="0.25">
      <c r="A273" s="142"/>
      <c r="B273" s="127"/>
      <c r="C273" s="127"/>
      <c r="D273" s="35" t="s">
        <v>4</v>
      </c>
      <c r="E273" s="23">
        <f t="shared" si="432"/>
        <v>5267.8</v>
      </c>
      <c r="F273" s="23">
        <f t="shared" si="432"/>
        <v>5267.7197500000002</v>
      </c>
      <c r="G273" s="23">
        <f t="shared" ref="G273:G274" si="435">F273/E273*100</f>
        <v>99.998476593644398</v>
      </c>
      <c r="H273" s="23"/>
      <c r="I273" s="23"/>
      <c r="J273" s="21"/>
      <c r="K273" s="23"/>
      <c r="L273" s="23"/>
      <c r="M273" s="23"/>
      <c r="N273" s="23"/>
      <c r="O273" s="23"/>
      <c r="P273" s="23"/>
      <c r="Q273" s="23">
        <f>64.9+763+146.1+34.7</f>
        <v>1008.7</v>
      </c>
      <c r="R273" s="23">
        <v>1204.9000000000001</v>
      </c>
      <c r="S273" s="23">
        <f t="shared" ref="S273:S274" si="436">R273/Q273*100</f>
        <v>119.45077822940419</v>
      </c>
      <c r="T273" s="23"/>
      <c r="U273" s="23"/>
      <c r="V273" s="23"/>
      <c r="W273" s="23">
        <f>146.1+900-287.7</f>
        <v>758.39999999999986</v>
      </c>
      <c r="X273" s="23">
        <v>562.20000000000005</v>
      </c>
      <c r="Y273" s="23">
        <f t="shared" ref="Y273:Y274" si="437">X273/W273*100</f>
        <v>74.129746835443058</v>
      </c>
      <c r="Z273" s="23">
        <f>1168.6+712.3+515.6+3.8-91.2</f>
        <v>2309.1000000000004</v>
      </c>
      <c r="AA273" s="23">
        <v>1887.4197499999998</v>
      </c>
      <c r="AB273" s="23">
        <f t="shared" ref="AB273:AB274" si="438">AA273/Z273*100</f>
        <v>81.738328786107118</v>
      </c>
      <c r="AC273" s="23"/>
      <c r="AD273" s="23">
        <v>421.7</v>
      </c>
      <c r="AE273" s="23"/>
      <c r="AF273" s="23"/>
      <c r="AG273" s="23"/>
      <c r="AH273" s="23"/>
      <c r="AI273" s="23">
        <v>64.900000000000006</v>
      </c>
      <c r="AJ273" s="23">
        <v>0</v>
      </c>
      <c r="AK273" s="23">
        <f t="shared" ref="AK273" si="439">AJ273/AI273*100</f>
        <v>0</v>
      </c>
      <c r="AL273" s="23">
        <f>146.2+654.7</f>
        <v>800.90000000000009</v>
      </c>
      <c r="AM273" s="23">
        <v>1191.5</v>
      </c>
      <c r="AN273" s="23">
        <f t="shared" ref="AN273:AN274" si="440">AM273/AL273*100</f>
        <v>148.77013359970033</v>
      </c>
      <c r="AO273" s="23">
        <f>4180-34.7-228-3.7-3679+91.2</f>
        <v>325.80000000000035</v>
      </c>
      <c r="AP273" s="23"/>
      <c r="AQ273" s="23">
        <f t="shared" ref="AQ273" si="441">AP273/AO273*100</f>
        <v>0</v>
      </c>
      <c r="AR273" s="79" t="s">
        <v>150</v>
      </c>
      <c r="AS273" s="79"/>
    </row>
    <row r="274" spans="1:45" ht="84" x14ac:dyDescent="0.25">
      <c r="A274" s="142"/>
      <c r="B274" s="127"/>
      <c r="C274" s="127"/>
      <c r="D274" s="35" t="s">
        <v>43</v>
      </c>
      <c r="E274" s="23">
        <f t="shared" si="432"/>
        <v>3975.7</v>
      </c>
      <c r="F274" s="23">
        <f t="shared" si="432"/>
        <v>3975.7</v>
      </c>
      <c r="G274" s="23">
        <f t="shared" si="435"/>
        <v>100</v>
      </c>
      <c r="H274" s="23"/>
      <c r="I274" s="23"/>
      <c r="J274" s="21"/>
      <c r="K274" s="23"/>
      <c r="L274" s="23"/>
      <c r="M274" s="23"/>
      <c r="N274" s="23">
        <f>197.9+1022.9-863.4+0.1</f>
        <v>357.5</v>
      </c>
      <c r="O274" s="23">
        <v>265.3</v>
      </c>
      <c r="P274" s="23">
        <f t="shared" ref="P274" si="442">O274/N274*100</f>
        <v>74.209790209790214</v>
      </c>
      <c r="Q274" s="23">
        <f>112.9+869.3-468</f>
        <v>514.19999999999993</v>
      </c>
      <c r="R274" s="23">
        <v>459.1</v>
      </c>
      <c r="S274" s="23">
        <f t="shared" si="436"/>
        <v>89.284325165305347</v>
      </c>
      <c r="T274" s="23"/>
      <c r="U274" s="23"/>
      <c r="V274" s="23"/>
      <c r="W274" s="23">
        <f>815.1+902.5-313.4</f>
        <v>1404.1999999999998</v>
      </c>
      <c r="X274" s="23">
        <v>1551.5</v>
      </c>
      <c r="Y274" s="23">
        <f t="shared" si="437"/>
        <v>110.48995869534255</v>
      </c>
      <c r="Z274" s="23">
        <f>716.7+691.3+182.9+0.7+19-757.8</f>
        <v>852.80000000000018</v>
      </c>
      <c r="AA274" s="23">
        <v>869.6</v>
      </c>
      <c r="AB274" s="23">
        <f t="shared" si="438"/>
        <v>101.9699812382739</v>
      </c>
      <c r="AC274" s="23">
        <v>212.3</v>
      </c>
      <c r="AD274" s="23">
        <v>74.5</v>
      </c>
      <c r="AE274" s="23"/>
      <c r="AF274" s="23"/>
      <c r="AG274" s="23"/>
      <c r="AH274" s="23"/>
      <c r="AI274" s="23">
        <f>82.4+130.5-0.7-212.2</f>
        <v>0</v>
      </c>
      <c r="AJ274" s="23">
        <v>-105.1</v>
      </c>
      <c r="AK274" s="23"/>
      <c r="AL274" s="23">
        <f>163+735.5-250.6-13.1-0.1</f>
        <v>634.69999999999993</v>
      </c>
      <c r="AM274" s="23">
        <f>866.9-13.1</f>
        <v>853.8</v>
      </c>
      <c r="AN274" s="23">
        <f t="shared" si="440"/>
        <v>134.52024578541045</v>
      </c>
      <c r="AO274" s="23"/>
      <c r="AP274" s="23">
        <v>7</v>
      </c>
      <c r="AQ274" s="23"/>
      <c r="AR274" s="89" t="s">
        <v>151</v>
      </c>
      <c r="AS274" s="59" t="s">
        <v>296</v>
      </c>
    </row>
    <row r="275" spans="1:45" ht="13.9" customHeight="1" x14ac:dyDescent="0.25">
      <c r="A275" s="142"/>
      <c r="B275" s="127"/>
      <c r="C275" s="127"/>
      <c r="D275" s="35" t="s">
        <v>21</v>
      </c>
      <c r="E275" s="23">
        <f t="shared" si="432"/>
        <v>0</v>
      </c>
      <c r="F275" s="23">
        <f t="shared" si="432"/>
        <v>0</v>
      </c>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4"/>
      <c r="AR275" s="33"/>
      <c r="AS275" s="33"/>
    </row>
    <row r="276" spans="1:45" ht="12.6" customHeight="1" x14ac:dyDescent="0.25">
      <c r="A276" s="142" t="s">
        <v>80</v>
      </c>
      <c r="B276" s="127" t="s">
        <v>108</v>
      </c>
      <c r="C276" s="127" t="s">
        <v>168</v>
      </c>
      <c r="D276" s="35" t="s">
        <v>3</v>
      </c>
      <c r="E276" s="23">
        <f t="shared" si="432"/>
        <v>10466.700000000001</v>
      </c>
      <c r="F276" s="23">
        <f t="shared" si="432"/>
        <v>10465.900000000001</v>
      </c>
      <c r="G276" s="23">
        <f>F276/E276*100</f>
        <v>99.992356712239769</v>
      </c>
      <c r="H276" s="23">
        <f>H277+H278+H279+H280</f>
        <v>0</v>
      </c>
      <c r="I276" s="23"/>
      <c r="J276" s="21"/>
      <c r="K276" s="23">
        <f t="shared" ref="K276:AP276" si="443">K277+K278+K279+K280</f>
        <v>0</v>
      </c>
      <c r="L276" s="23"/>
      <c r="M276" s="21"/>
      <c r="N276" s="23">
        <f t="shared" si="443"/>
        <v>0</v>
      </c>
      <c r="O276" s="23"/>
      <c r="P276" s="21"/>
      <c r="Q276" s="23">
        <f t="shared" si="443"/>
        <v>20</v>
      </c>
      <c r="R276" s="23">
        <f t="shared" si="443"/>
        <v>20</v>
      </c>
      <c r="S276" s="23">
        <f>R276/Q276*100</f>
        <v>100</v>
      </c>
      <c r="T276" s="23">
        <f t="shared" si="443"/>
        <v>2420.5</v>
      </c>
      <c r="U276" s="23">
        <f t="shared" si="443"/>
        <v>1500</v>
      </c>
      <c r="V276" s="23">
        <f>U276/T276*100</f>
        <v>61.97066721751704</v>
      </c>
      <c r="W276" s="23">
        <f t="shared" si="443"/>
        <v>3816.7000000000003</v>
      </c>
      <c r="X276" s="23">
        <f t="shared" si="443"/>
        <v>1953.4</v>
      </c>
      <c r="Y276" s="23">
        <f>X276/W276*100</f>
        <v>51.180339036340293</v>
      </c>
      <c r="Z276" s="23">
        <f t="shared" si="443"/>
        <v>4048.5</v>
      </c>
      <c r="AA276" s="23">
        <f t="shared" si="443"/>
        <v>2816.7</v>
      </c>
      <c r="AB276" s="23">
        <f>AA276/Z276*100</f>
        <v>69.57391626528343</v>
      </c>
      <c r="AC276" s="23">
        <f t="shared" si="443"/>
        <v>118.10000000000001</v>
      </c>
      <c r="AD276" s="23">
        <f t="shared" si="443"/>
        <v>2147</v>
      </c>
      <c r="AE276" s="23">
        <f>AD276/AC276*100</f>
        <v>1817.950889077053</v>
      </c>
      <c r="AF276" s="23">
        <f t="shared" si="443"/>
        <v>28.4</v>
      </c>
      <c r="AG276" s="23">
        <f t="shared" si="443"/>
        <v>2056</v>
      </c>
      <c r="AH276" s="23">
        <f>AG276/AF276*100</f>
        <v>7239.4366197183099</v>
      </c>
      <c r="AI276" s="23">
        <f t="shared" si="443"/>
        <v>0</v>
      </c>
      <c r="AJ276" s="23">
        <f t="shared" si="443"/>
        <v>38.4</v>
      </c>
      <c r="AK276" s="23"/>
      <c r="AL276" s="23">
        <f t="shared" si="443"/>
        <v>14.5</v>
      </c>
      <c r="AM276" s="23">
        <f t="shared" si="443"/>
        <v>-64.8</v>
      </c>
      <c r="AN276" s="23">
        <f>AM276/AL276*100</f>
        <v>-446.89655172413791</v>
      </c>
      <c r="AO276" s="23">
        <f t="shared" si="443"/>
        <v>0</v>
      </c>
      <c r="AP276" s="23">
        <f t="shared" si="443"/>
        <v>-0.8</v>
      </c>
      <c r="AQ276" s="21"/>
      <c r="AR276" s="33"/>
      <c r="AS276" s="33"/>
    </row>
    <row r="277" spans="1:45" ht="12.6" customHeight="1" x14ac:dyDescent="0.25">
      <c r="A277" s="142"/>
      <c r="B277" s="127"/>
      <c r="C277" s="127"/>
      <c r="D277" s="35" t="s">
        <v>20</v>
      </c>
      <c r="E277" s="23">
        <f t="shared" si="432"/>
        <v>0</v>
      </c>
      <c r="F277" s="23">
        <f t="shared" si="432"/>
        <v>0</v>
      </c>
      <c r="G277" s="23"/>
      <c r="H277" s="23"/>
      <c r="I277" s="23"/>
      <c r="J277" s="21"/>
      <c r="K277" s="23"/>
      <c r="L277" s="23"/>
      <c r="M277" s="21"/>
      <c r="N277" s="23"/>
      <c r="O277" s="23"/>
      <c r="P277" s="21"/>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1"/>
      <c r="AR277" s="33"/>
      <c r="AS277" s="33"/>
    </row>
    <row r="278" spans="1:45" ht="120" x14ac:dyDescent="0.25">
      <c r="A278" s="142"/>
      <c r="B278" s="127"/>
      <c r="C278" s="127"/>
      <c r="D278" s="35" t="s">
        <v>4</v>
      </c>
      <c r="E278" s="23">
        <f t="shared" si="432"/>
        <v>10268.5</v>
      </c>
      <c r="F278" s="23">
        <f t="shared" si="432"/>
        <v>10267.700000000001</v>
      </c>
      <c r="G278" s="23">
        <f t="shared" ref="G278:G279" si="444">F278/E278*100</f>
        <v>99.992209183425047</v>
      </c>
      <c r="H278" s="23"/>
      <c r="I278" s="23"/>
      <c r="J278" s="21"/>
      <c r="K278" s="23"/>
      <c r="L278" s="23"/>
      <c r="M278" s="21"/>
      <c r="N278" s="23"/>
      <c r="O278" s="23"/>
      <c r="P278" s="21"/>
      <c r="Q278" s="23"/>
      <c r="R278" s="23"/>
      <c r="S278" s="23"/>
      <c r="T278" s="23">
        <v>2420.5</v>
      </c>
      <c r="U278" s="23">
        <v>1500</v>
      </c>
      <c r="V278" s="23">
        <f t="shared" ref="V278" si="445">U278/T278*100</f>
        <v>61.97066721751704</v>
      </c>
      <c r="W278" s="23">
        <f>4060.9-323.2</f>
        <v>3737.7000000000003</v>
      </c>
      <c r="X278" s="23">
        <v>1874.4</v>
      </c>
      <c r="Y278" s="23">
        <f t="shared" ref="Y278:Y279" si="446">X278/W278*100</f>
        <v>50.148487037482944</v>
      </c>
      <c r="Z278" s="23">
        <v>4027.9</v>
      </c>
      <c r="AA278" s="23">
        <v>2796.1</v>
      </c>
      <c r="AB278" s="23">
        <f t="shared" ref="AB278:AB279" si="447">AA278/Z278*100</f>
        <v>69.418307306536903</v>
      </c>
      <c r="AC278" s="23">
        <v>82.4</v>
      </c>
      <c r="AD278" s="23">
        <v>2106</v>
      </c>
      <c r="AE278" s="23">
        <f t="shared" ref="AE278:AE279" si="448">AD278/AC278*100</f>
        <v>2555.8252427184461</v>
      </c>
      <c r="AF278" s="23"/>
      <c r="AG278" s="23">
        <v>2050</v>
      </c>
      <c r="AH278" s="23"/>
      <c r="AI278" s="23">
        <v>0</v>
      </c>
      <c r="AJ278" s="23"/>
      <c r="AK278" s="23"/>
      <c r="AL278" s="23"/>
      <c r="AM278" s="23">
        <v>-58</v>
      </c>
      <c r="AN278" s="23"/>
      <c r="AO278" s="23"/>
      <c r="AP278" s="23">
        <v>-0.8</v>
      </c>
      <c r="AQ278" s="21"/>
      <c r="AR278" s="79" t="s">
        <v>162</v>
      </c>
      <c r="AS278" s="93" t="s">
        <v>305</v>
      </c>
    </row>
    <row r="279" spans="1:45" ht="84" x14ac:dyDescent="0.25">
      <c r="A279" s="142"/>
      <c r="B279" s="127"/>
      <c r="C279" s="127"/>
      <c r="D279" s="35" t="s">
        <v>43</v>
      </c>
      <c r="E279" s="23">
        <f t="shared" si="432"/>
        <v>198.20000000000002</v>
      </c>
      <c r="F279" s="23">
        <f t="shared" si="432"/>
        <v>198.2</v>
      </c>
      <c r="G279" s="23">
        <f t="shared" si="444"/>
        <v>99.999999999999986</v>
      </c>
      <c r="H279" s="23"/>
      <c r="I279" s="23"/>
      <c r="J279" s="21"/>
      <c r="K279" s="23"/>
      <c r="L279" s="23"/>
      <c r="M279" s="21"/>
      <c r="N279" s="23"/>
      <c r="O279" s="23"/>
      <c r="P279" s="21"/>
      <c r="Q279" s="23">
        <v>20</v>
      </c>
      <c r="R279" s="23">
        <v>20</v>
      </c>
      <c r="S279" s="23">
        <f t="shared" ref="S279" si="449">R279/Q279*100</f>
        <v>100</v>
      </c>
      <c r="T279" s="23"/>
      <c r="U279" s="23">
        <v>0</v>
      </c>
      <c r="V279" s="23"/>
      <c r="W279" s="23">
        <v>79</v>
      </c>
      <c r="X279" s="23">
        <v>79</v>
      </c>
      <c r="Y279" s="23">
        <f t="shared" si="446"/>
        <v>100</v>
      </c>
      <c r="Z279" s="23">
        <v>20.6</v>
      </c>
      <c r="AA279" s="23">
        <v>20.6</v>
      </c>
      <c r="AB279" s="23">
        <f t="shared" si="447"/>
        <v>100</v>
      </c>
      <c r="AC279" s="23">
        <v>35.700000000000003</v>
      </c>
      <c r="AD279" s="23">
        <v>41</v>
      </c>
      <c r="AE279" s="23">
        <f t="shared" si="448"/>
        <v>114.84593837535013</v>
      </c>
      <c r="AF279" s="23">
        <f>30-1.6</f>
        <v>28.4</v>
      </c>
      <c r="AG279" s="23">
        <v>6</v>
      </c>
      <c r="AH279" s="23">
        <f t="shared" ref="AH279" si="450">AG279/AF279*100</f>
        <v>21.126760563380284</v>
      </c>
      <c r="AI279" s="23"/>
      <c r="AJ279" s="23">
        <v>38.4</v>
      </c>
      <c r="AK279" s="23"/>
      <c r="AL279" s="23">
        <v>14.5</v>
      </c>
      <c r="AM279" s="23">
        <v>-6.8</v>
      </c>
      <c r="AN279" s="23">
        <f t="shared" ref="AN279" si="451">AM279/AL279*100</f>
        <v>-46.896551724137929</v>
      </c>
      <c r="AO279" s="23"/>
      <c r="AP279" s="23"/>
      <c r="AQ279" s="21"/>
      <c r="AR279" s="88" t="s">
        <v>163</v>
      </c>
      <c r="AS279" s="59" t="s">
        <v>210</v>
      </c>
    </row>
    <row r="280" spans="1:45" ht="12.6" customHeight="1" x14ac:dyDescent="0.25">
      <c r="A280" s="142"/>
      <c r="B280" s="127"/>
      <c r="C280" s="127"/>
      <c r="D280" s="35" t="s">
        <v>21</v>
      </c>
      <c r="E280" s="23">
        <f t="shared" si="432"/>
        <v>0</v>
      </c>
      <c r="F280" s="23">
        <f t="shared" si="432"/>
        <v>0</v>
      </c>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4"/>
      <c r="AR280" s="33"/>
      <c r="AS280" s="33"/>
    </row>
    <row r="281" spans="1:45" ht="12" customHeight="1" x14ac:dyDescent="0.25">
      <c r="A281" s="142" t="s">
        <v>81</v>
      </c>
      <c r="B281" s="127" t="s">
        <v>109</v>
      </c>
      <c r="C281" s="127" t="s">
        <v>168</v>
      </c>
      <c r="D281" s="35" t="s">
        <v>3</v>
      </c>
      <c r="E281" s="23">
        <f t="shared" si="432"/>
        <v>0</v>
      </c>
      <c r="F281" s="23">
        <f t="shared" si="432"/>
        <v>0</v>
      </c>
      <c r="G281" s="23"/>
      <c r="H281" s="23">
        <f>H282+H283+H284+H285</f>
        <v>0</v>
      </c>
      <c r="I281" s="23"/>
      <c r="J281" s="23"/>
      <c r="K281" s="23">
        <f t="shared" ref="K281:AO281" si="452">K282+K283+K284+K285</f>
        <v>0</v>
      </c>
      <c r="L281" s="23"/>
      <c r="M281" s="23"/>
      <c r="N281" s="23">
        <f t="shared" si="452"/>
        <v>0</v>
      </c>
      <c r="O281" s="23"/>
      <c r="P281" s="23"/>
      <c r="Q281" s="23">
        <f t="shared" si="452"/>
        <v>0</v>
      </c>
      <c r="R281" s="23"/>
      <c r="S281" s="23"/>
      <c r="T281" s="23">
        <f t="shared" si="452"/>
        <v>0</v>
      </c>
      <c r="U281" s="23"/>
      <c r="V281" s="23"/>
      <c r="W281" s="23">
        <f t="shared" si="452"/>
        <v>0</v>
      </c>
      <c r="X281" s="23"/>
      <c r="Y281" s="23"/>
      <c r="Z281" s="23">
        <f t="shared" si="452"/>
        <v>0</v>
      </c>
      <c r="AA281" s="23"/>
      <c r="AB281" s="23"/>
      <c r="AC281" s="23">
        <f t="shared" si="452"/>
        <v>0</v>
      </c>
      <c r="AD281" s="23"/>
      <c r="AE281" s="23"/>
      <c r="AF281" s="23">
        <f t="shared" si="452"/>
        <v>0</v>
      </c>
      <c r="AG281" s="23"/>
      <c r="AH281" s="23"/>
      <c r="AI281" s="23">
        <f t="shared" si="452"/>
        <v>0</v>
      </c>
      <c r="AJ281" s="23"/>
      <c r="AK281" s="23"/>
      <c r="AL281" s="23">
        <f t="shared" si="452"/>
        <v>0</v>
      </c>
      <c r="AM281" s="23"/>
      <c r="AN281" s="23"/>
      <c r="AO281" s="23">
        <f t="shared" si="452"/>
        <v>0</v>
      </c>
      <c r="AP281" s="23"/>
      <c r="AQ281" s="24"/>
      <c r="AR281" s="33"/>
      <c r="AS281" s="33"/>
    </row>
    <row r="282" spans="1:45" x14ac:dyDescent="0.25">
      <c r="A282" s="142"/>
      <c r="B282" s="127"/>
      <c r="C282" s="127"/>
      <c r="D282" s="35" t="s">
        <v>20</v>
      </c>
      <c r="E282" s="23">
        <f t="shared" si="432"/>
        <v>0</v>
      </c>
      <c r="F282" s="23">
        <f t="shared" si="432"/>
        <v>0</v>
      </c>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4"/>
      <c r="AR282" s="33"/>
      <c r="AS282" s="33"/>
    </row>
    <row r="283" spans="1:45" ht="24" x14ac:dyDescent="0.25">
      <c r="A283" s="142"/>
      <c r="B283" s="127"/>
      <c r="C283" s="127"/>
      <c r="D283" s="35" t="s">
        <v>4</v>
      </c>
      <c r="E283" s="23">
        <f t="shared" si="432"/>
        <v>0</v>
      </c>
      <c r="F283" s="23">
        <f t="shared" si="432"/>
        <v>0</v>
      </c>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4"/>
      <c r="AR283" s="33"/>
      <c r="AS283" s="33"/>
    </row>
    <row r="284" spans="1:45" ht="15.75" customHeight="1" x14ac:dyDescent="0.25">
      <c r="A284" s="142"/>
      <c r="B284" s="127"/>
      <c r="C284" s="127"/>
      <c r="D284" s="35" t="s">
        <v>43</v>
      </c>
      <c r="E284" s="23">
        <f t="shared" si="432"/>
        <v>0</v>
      </c>
      <c r="F284" s="23">
        <f t="shared" si="432"/>
        <v>0</v>
      </c>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4"/>
      <c r="AR284" s="33"/>
      <c r="AS284" s="33"/>
    </row>
    <row r="285" spans="1:45" ht="15.75" customHeight="1" x14ac:dyDescent="0.25">
      <c r="A285" s="142"/>
      <c r="B285" s="127"/>
      <c r="C285" s="127"/>
      <c r="D285" s="35" t="s">
        <v>21</v>
      </c>
      <c r="E285" s="23">
        <f t="shared" si="432"/>
        <v>0</v>
      </c>
      <c r="F285" s="23">
        <f t="shared" si="432"/>
        <v>0</v>
      </c>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4"/>
      <c r="AR285" s="33"/>
      <c r="AS285" s="33"/>
    </row>
    <row r="286" spans="1:45" ht="12.75" customHeight="1" x14ac:dyDescent="0.25">
      <c r="A286" s="143" t="s">
        <v>17</v>
      </c>
      <c r="B286" s="143"/>
      <c r="C286" s="143"/>
      <c r="D286" s="36" t="s">
        <v>3</v>
      </c>
      <c r="E286" s="37">
        <f t="shared" si="432"/>
        <v>19710.200000000004</v>
      </c>
      <c r="F286" s="37">
        <f t="shared" si="432"/>
        <v>19709.319749999999</v>
      </c>
      <c r="G286" s="37">
        <f>F286/E286*100</f>
        <v>99.995534038213691</v>
      </c>
      <c r="H286" s="37">
        <f>H287+H288+H289+H290</f>
        <v>0</v>
      </c>
      <c r="I286" s="37">
        <f>I287+I288+I289+I290</f>
        <v>0</v>
      </c>
      <c r="J286" s="22"/>
      <c r="K286" s="37">
        <f t="shared" ref="K286:AO286" si="453">K287+K288+K289+K290</f>
        <v>0</v>
      </c>
      <c r="L286" s="37">
        <f t="shared" si="453"/>
        <v>0</v>
      </c>
      <c r="M286" s="37"/>
      <c r="N286" s="37">
        <f t="shared" si="453"/>
        <v>357.5</v>
      </c>
      <c r="O286" s="37">
        <f t="shared" si="453"/>
        <v>265.3</v>
      </c>
      <c r="P286" s="37">
        <f>O286/N286*100</f>
        <v>74.209790209790214</v>
      </c>
      <c r="Q286" s="37">
        <f t="shared" si="453"/>
        <v>1542.9</v>
      </c>
      <c r="R286" s="37">
        <f t="shared" si="453"/>
        <v>1684</v>
      </c>
      <c r="S286" s="37">
        <f>R286/Q286*100</f>
        <v>109.14511633936095</v>
      </c>
      <c r="T286" s="37">
        <f t="shared" si="453"/>
        <v>2420.5</v>
      </c>
      <c r="U286" s="37">
        <f t="shared" si="453"/>
        <v>1500</v>
      </c>
      <c r="V286" s="37">
        <f>U286/T286*100</f>
        <v>61.97066721751704</v>
      </c>
      <c r="W286" s="37">
        <f t="shared" si="453"/>
        <v>5979.3</v>
      </c>
      <c r="X286" s="37">
        <f t="shared" si="453"/>
        <v>4067.1000000000004</v>
      </c>
      <c r="Y286" s="37">
        <f>X286/W286*100</f>
        <v>68.019667854096639</v>
      </c>
      <c r="Z286" s="37">
        <f t="shared" si="453"/>
        <v>7210.4000000000005</v>
      </c>
      <c r="AA286" s="37">
        <f t="shared" ref="AA286" si="454">AA287+AA288+AA289+AA290</f>
        <v>5573.7197499999993</v>
      </c>
      <c r="AB286" s="37">
        <f>AA286/Z286*100</f>
        <v>77.30111713635857</v>
      </c>
      <c r="AC286" s="37">
        <f t="shared" si="453"/>
        <v>330.4</v>
      </c>
      <c r="AD286" s="37">
        <f t="shared" si="453"/>
        <v>2643.2</v>
      </c>
      <c r="AE286" s="37">
        <f>AD286/AC286*100</f>
        <v>800</v>
      </c>
      <c r="AF286" s="37">
        <f t="shared" si="453"/>
        <v>28.4</v>
      </c>
      <c r="AG286" s="37">
        <f t="shared" si="453"/>
        <v>2056</v>
      </c>
      <c r="AH286" s="37">
        <f>AG286/AF286*100</f>
        <v>7239.4366197183099</v>
      </c>
      <c r="AI286" s="37">
        <f t="shared" si="453"/>
        <v>64.900000000000006</v>
      </c>
      <c r="AJ286" s="37">
        <f t="shared" si="453"/>
        <v>-66.699999999999989</v>
      </c>
      <c r="AK286" s="37">
        <f>AJ286/AI286*100</f>
        <v>-102.7734976887519</v>
      </c>
      <c r="AL286" s="37">
        <f t="shared" si="453"/>
        <v>1450.1</v>
      </c>
      <c r="AM286" s="37">
        <f t="shared" si="453"/>
        <v>1980.5</v>
      </c>
      <c r="AN286" s="37">
        <f>AM286/AL286*100</f>
        <v>136.57678780773742</v>
      </c>
      <c r="AO286" s="37">
        <f t="shared" si="453"/>
        <v>325.80000000000035</v>
      </c>
      <c r="AP286" s="37">
        <f t="shared" ref="AP286" si="455">AP287+AP288+AP289+AP290</f>
        <v>6.2</v>
      </c>
      <c r="AQ286" s="37">
        <f>AP286/AO286*100</f>
        <v>1.9030079803560445</v>
      </c>
      <c r="AR286" s="33"/>
      <c r="AS286" s="33"/>
    </row>
    <row r="287" spans="1:45" ht="13.5" customHeight="1" x14ac:dyDescent="0.25">
      <c r="A287" s="143"/>
      <c r="B287" s="143"/>
      <c r="C287" s="143"/>
      <c r="D287" s="36" t="s">
        <v>20</v>
      </c>
      <c r="E287" s="37">
        <f t="shared" si="432"/>
        <v>0</v>
      </c>
      <c r="F287" s="37">
        <f t="shared" si="432"/>
        <v>0</v>
      </c>
      <c r="G287" s="37"/>
      <c r="H287" s="37">
        <f t="shared" ref="H287:I290" si="456">H272+H277+H282</f>
        <v>0</v>
      </c>
      <c r="I287" s="37">
        <f t="shared" si="456"/>
        <v>0</v>
      </c>
      <c r="J287" s="22"/>
      <c r="K287" s="37">
        <f t="shared" ref="K287:AO290" si="457">K272+K277+K282</f>
        <v>0</v>
      </c>
      <c r="L287" s="37">
        <f t="shared" si="457"/>
        <v>0</v>
      </c>
      <c r="M287" s="37"/>
      <c r="N287" s="37">
        <f t="shared" si="457"/>
        <v>0</v>
      </c>
      <c r="O287" s="37">
        <f t="shared" si="457"/>
        <v>0</v>
      </c>
      <c r="P287" s="37"/>
      <c r="Q287" s="37">
        <f t="shared" si="457"/>
        <v>0</v>
      </c>
      <c r="R287" s="37">
        <f t="shared" si="457"/>
        <v>0</v>
      </c>
      <c r="S287" s="37"/>
      <c r="T287" s="37">
        <f t="shared" si="457"/>
        <v>0</v>
      </c>
      <c r="U287" s="37">
        <f t="shared" si="457"/>
        <v>0</v>
      </c>
      <c r="V287" s="37"/>
      <c r="W287" s="37">
        <f t="shared" si="457"/>
        <v>0</v>
      </c>
      <c r="X287" s="37">
        <f t="shared" si="457"/>
        <v>0</v>
      </c>
      <c r="Y287" s="37"/>
      <c r="Z287" s="37">
        <f t="shared" si="457"/>
        <v>0</v>
      </c>
      <c r="AA287" s="37">
        <f t="shared" ref="AA287" si="458">AA272+AA277+AA282</f>
        <v>0</v>
      </c>
      <c r="AB287" s="37"/>
      <c r="AC287" s="37">
        <f t="shared" si="457"/>
        <v>0</v>
      </c>
      <c r="AD287" s="37">
        <f t="shared" si="457"/>
        <v>0</v>
      </c>
      <c r="AE287" s="37"/>
      <c r="AF287" s="37">
        <f t="shared" si="457"/>
        <v>0</v>
      </c>
      <c r="AG287" s="37">
        <f t="shared" si="457"/>
        <v>0</v>
      </c>
      <c r="AH287" s="37"/>
      <c r="AI287" s="37">
        <f t="shared" si="457"/>
        <v>0</v>
      </c>
      <c r="AJ287" s="37">
        <f t="shared" si="457"/>
        <v>0</v>
      </c>
      <c r="AK287" s="37"/>
      <c r="AL287" s="37">
        <f t="shared" si="457"/>
        <v>0</v>
      </c>
      <c r="AM287" s="37">
        <f t="shared" si="457"/>
        <v>0</v>
      </c>
      <c r="AN287" s="37"/>
      <c r="AO287" s="37">
        <f t="shared" si="457"/>
        <v>0</v>
      </c>
      <c r="AP287" s="37">
        <f t="shared" ref="AP287" si="459">AP272+AP277+AP282</f>
        <v>0</v>
      </c>
      <c r="AQ287" s="37"/>
      <c r="AR287" s="33"/>
      <c r="AS287" s="33"/>
    </row>
    <row r="288" spans="1:45" ht="25.5" customHeight="1" x14ac:dyDescent="0.25">
      <c r="A288" s="143"/>
      <c r="B288" s="143"/>
      <c r="C288" s="143"/>
      <c r="D288" s="36" t="s">
        <v>4</v>
      </c>
      <c r="E288" s="37">
        <f t="shared" si="432"/>
        <v>15536.3</v>
      </c>
      <c r="F288" s="37">
        <f t="shared" si="432"/>
        <v>15535.419750000001</v>
      </c>
      <c r="G288" s="37">
        <f t="shared" ref="G288:G289" si="460">F288/E288*100</f>
        <v>99.994334236594312</v>
      </c>
      <c r="H288" s="37">
        <f t="shared" si="456"/>
        <v>0</v>
      </c>
      <c r="I288" s="37">
        <f t="shared" si="456"/>
        <v>0</v>
      </c>
      <c r="J288" s="22"/>
      <c r="K288" s="37">
        <f t="shared" si="457"/>
        <v>0</v>
      </c>
      <c r="L288" s="37">
        <f t="shared" si="457"/>
        <v>0</v>
      </c>
      <c r="M288" s="37"/>
      <c r="N288" s="37">
        <f t="shared" si="457"/>
        <v>0</v>
      </c>
      <c r="O288" s="37">
        <f t="shared" si="457"/>
        <v>0</v>
      </c>
      <c r="P288" s="37"/>
      <c r="Q288" s="37">
        <f t="shared" si="457"/>
        <v>1008.7</v>
      </c>
      <c r="R288" s="37">
        <f t="shared" si="457"/>
        <v>1204.9000000000001</v>
      </c>
      <c r="S288" s="37">
        <f t="shared" ref="S288:S289" si="461">R288/Q288*100</f>
        <v>119.45077822940419</v>
      </c>
      <c r="T288" s="37">
        <f t="shared" si="457"/>
        <v>2420.5</v>
      </c>
      <c r="U288" s="37">
        <f t="shared" si="457"/>
        <v>1500</v>
      </c>
      <c r="V288" s="37">
        <f t="shared" ref="V288" si="462">U288/T288*100</f>
        <v>61.97066721751704</v>
      </c>
      <c r="W288" s="37">
        <f t="shared" si="457"/>
        <v>4496.1000000000004</v>
      </c>
      <c r="X288" s="37">
        <f t="shared" si="457"/>
        <v>2436.6000000000004</v>
      </c>
      <c r="Y288" s="37">
        <f t="shared" ref="Y288:Y289" si="463">X288/W288*100</f>
        <v>54.193634483218787</v>
      </c>
      <c r="Z288" s="37">
        <f t="shared" si="457"/>
        <v>6337</v>
      </c>
      <c r="AA288" s="37">
        <f t="shared" ref="AA288" si="464">AA273+AA278+AA283</f>
        <v>4683.5197499999995</v>
      </c>
      <c r="AB288" s="37">
        <f t="shared" ref="AB288:AB289" si="465">AA288/Z288*100</f>
        <v>73.907523275998102</v>
      </c>
      <c r="AC288" s="37">
        <f t="shared" si="457"/>
        <v>82.4</v>
      </c>
      <c r="AD288" s="37">
        <f t="shared" si="457"/>
        <v>2527.6999999999998</v>
      </c>
      <c r="AE288" s="37">
        <f t="shared" ref="AE288:AE289" si="466">AD288/AC288*100</f>
        <v>3067.5970873786405</v>
      </c>
      <c r="AF288" s="37">
        <f t="shared" si="457"/>
        <v>0</v>
      </c>
      <c r="AG288" s="37">
        <f t="shared" si="457"/>
        <v>2050</v>
      </c>
      <c r="AH288" s="37"/>
      <c r="AI288" s="37">
        <f t="shared" si="457"/>
        <v>64.900000000000006</v>
      </c>
      <c r="AJ288" s="37">
        <f t="shared" si="457"/>
        <v>0</v>
      </c>
      <c r="AK288" s="37">
        <f t="shared" ref="AK288" si="467">AJ288/AI288*100</f>
        <v>0</v>
      </c>
      <c r="AL288" s="37">
        <f t="shared" si="457"/>
        <v>800.90000000000009</v>
      </c>
      <c r="AM288" s="37">
        <f t="shared" si="457"/>
        <v>1133.5</v>
      </c>
      <c r="AN288" s="37">
        <f t="shared" ref="AN288:AN289" si="468">AM288/AL288*100</f>
        <v>141.52828068423023</v>
      </c>
      <c r="AO288" s="37">
        <f t="shared" si="457"/>
        <v>325.80000000000035</v>
      </c>
      <c r="AP288" s="37">
        <f t="shared" ref="AP288" si="469">AP273+AP278+AP283</f>
        <v>-0.8</v>
      </c>
      <c r="AQ288" s="37">
        <f t="shared" ref="AQ288" si="470">AP288/AO288*100</f>
        <v>-0.24554941682013481</v>
      </c>
      <c r="AR288" s="33"/>
      <c r="AS288" s="33"/>
    </row>
    <row r="289" spans="1:45" ht="14.25" customHeight="1" x14ac:dyDescent="0.25">
      <c r="A289" s="143"/>
      <c r="B289" s="143"/>
      <c r="C289" s="143"/>
      <c r="D289" s="36" t="s">
        <v>43</v>
      </c>
      <c r="E289" s="37">
        <f t="shared" si="432"/>
        <v>4173.8999999999996</v>
      </c>
      <c r="F289" s="37">
        <f t="shared" si="432"/>
        <v>4173.9000000000005</v>
      </c>
      <c r="G289" s="37">
        <f t="shared" si="460"/>
        <v>100.00000000000003</v>
      </c>
      <c r="H289" s="37">
        <f t="shared" si="456"/>
        <v>0</v>
      </c>
      <c r="I289" s="37">
        <f t="shared" si="456"/>
        <v>0</v>
      </c>
      <c r="J289" s="22"/>
      <c r="K289" s="37">
        <f t="shared" si="457"/>
        <v>0</v>
      </c>
      <c r="L289" s="37">
        <f t="shared" si="457"/>
        <v>0</v>
      </c>
      <c r="M289" s="37"/>
      <c r="N289" s="37">
        <f t="shared" si="457"/>
        <v>357.5</v>
      </c>
      <c r="O289" s="37">
        <f t="shared" si="457"/>
        <v>265.3</v>
      </c>
      <c r="P289" s="37">
        <f t="shared" ref="P289" si="471">O289/N289*100</f>
        <v>74.209790209790214</v>
      </c>
      <c r="Q289" s="37">
        <f t="shared" si="457"/>
        <v>534.19999999999993</v>
      </c>
      <c r="R289" s="37">
        <f t="shared" si="457"/>
        <v>479.1</v>
      </c>
      <c r="S289" s="37">
        <f t="shared" si="461"/>
        <v>89.685511044552612</v>
      </c>
      <c r="T289" s="37">
        <f t="shared" si="457"/>
        <v>0</v>
      </c>
      <c r="U289" s="37">
        <f t="shared" si="457"/>
        <v>0</v>
      </c>
      <c r="V289" s="37"/>
      <c r="W289" s="37">
        <f t="shared" si="457"/>
        <v>1483.1999999999998</v>
      </c>
      <c r="X289" s="37">
        <f t="shared" si="457"/>
        <v>1630.5</v>
      </c>
      <c r="Y289" s="37">
        <f t="shared" si="463"/>
        <v>109.93122977346279</v>
      </c>
      <c r="Z289" s="37">
        <f t="shared" si="457"/>
        <v>873.4000000000002</v>
      </c>
      <c r="AA289" s="37">
        <f t="shared" ref="AA289" si="472">AA274+AA279+AA284</f>
        <v>890.2</v>
      </c>
      <c r="AB289" s="37">
        <f t="shared" si="465"/>
        <v>101.92351728875657</v>
      </c>
      <c r="AC289" s="37">
        <f t="shared" si="457"/>
        <v>248</v>
      </c>
      <c r="AD289" s="37">
        <f t="shared" si="457"/>
        <v>115.5</v>
      </c>
      <c r="AE289" s="37">
        <f t="shared" si="466"/>
        <v>46.572580645161288</v>
      </c>
      <c r="AF289" s="37">
        <f t="shared" si="457"/>
        <v>28.4</v>
      </c>
      <c r="AG289" s="37">
        <f t="shared" si="457"/>
        <v>6</v>
      </c>
      <c r="AH289" s="37">
        <f t="shared" ref="AH289" si="473">AG289/AF289*100</f>
        <v>21.126760563380284</v>
      </c>
      <c r="AI289" s="37">
        <f t="shared" si="457"/>
        <v>0</v>
      </c>
      <c r="AJ289" s="37">
        <f t="shared" si="457"/>
        <v>-66.699999999999989</v>
      </c>
      <c r="AK289" s="37"/>
      <c r="AL289" s="37">
        <f t="shared" si="457"/>
        <v>649.19999999999993</v>
      </c>
      <c r="AM289" s="37">
        <f t="shared" si="457"/>
        <v>847</v>
      </c>
      <c r="AN289" s="37">
        <f t="shared" si="468"/>
        <v>130.4682686383241</v>
      </c>
      <c r="AO289" s="37">
        <f t="shared" si="457"/>
        <v>0</v>
      </c>
      <c r="AP289" s="37">
        <f t="shared" ref="AP289" si="474">AP274+AP279+AP284</f>
        <v>7</v>
      </c>
      <c r="AQ289" s="37"/>
      <c r="AR289" s="33"/>
      <c r="AS289" s="33"/>
    </row>
    <row r="290" spans="1:45" ht="15" customHeight="1" x14ac:dyDescent="0.25">
      <c r="A290" s="143"/>
      <c r="B290" s="143"/>
      <c r="C290" s="143"/>
      <c r="D290" s="36" t="s">
        <v>21</v>
      </c>
      <c r="E290" s="37">
        <f t="shared" si="432"/>
        <v>0</v>
      </c>
      <c r="F290" s="37">
        <f t="shared" si="432"/>
        <v>0</v>
      </c>
      <c r="G290" s="37"/>
      <c r="H290" s="37">
        <f t="shared" si="456"/>
        <v>0</v>
      </c>
      <c r="I290" s="37">
        <f t="shared" si="456"/>
        <v>0</v>
      </c>
      <c r="J290" s="37"/>
      <c r="K290" s="37">
        <f t="shared" si="457"/>
        <v>0</v>
      </c>
      <c r="L290" s="37">
        <f t="shared" si="457"/>
        <v>0</v>
      </c>
      <c r="M290" s="37"/>
      <c r="N290" s="37">
        <f t="shared" si="457"/>
        <v>0</v>
      </c>
      <c r="O290" s="37">
        <f t="shared" si="457"/>
        <v>0</v>
      </c>
      <c r="P290" s="37"/>
      <c r="Q290" s="37">
        <f t="shared" si="457"/>
        <v>0</v>
      </c>
      <c r="R290" s="37">
        <f t="shared" si="457"/>
        <v>0</v>
      </c>
      <c r="S290" s="37"/>
      <c r="T290" s="37">
        <f t="shared" si="457"/>
        <v>0</v>
      </c>
      <c r="U290" s="37">
        <f t="shared" si="457"/>
        <v>0</v>
      </c>
      <c r="V290" s="37"/>
      <c r="W290" s="37">
        <f t="shared" si="457"/>
        <v>0</v>
      </c>
      <c r="X290" s="37">
        <f t="shared" si="457"/>
        <v>0</v>
      </c>
      <c r="Y290" s="37"/>
      <c r="Z290" s="37">
        <f t="shared" si="457"/>
        <v>0</v>
      </c>
      <c r="AA290" s="37">
        <f t="shared" si="457"/>
        <v>0</v>
      </c>
      <c r="AB290" s="37"/>
      <c r="AC290" s="37">
        <f t="shared" si="457"/>
        <v>0</v>
      </c>
      <c r="AD290" s="37">
        <f t="shared" si="457"/>
        <v>0</v>
      </c>
      <c r="AE290" s="37"/>
      <c r="AF290" s="37">
        <f t="shared" si="457"/>
        <v>0</v>
      </c>
      <c r="AG290" s="37">
        <f t="shared" si="457"/>
        <v>0</v>
      </c>
      <c r="AH290" s="37"/>
      <c r="AI290" s="37">
        <f t="shared" si="457"/>
        <v>0</v>
      </c>
      <c r="AJ290" s="37">
        <f t="shared" si="457"/>
        <v>0</v>
      </c>
      <c r="AK290" s="37"/>
      <c r="AL290" s="37">
        <f t="shared" si="457"/>
        <v>0</v>
      </c>
      <c r="AM290" s="37">
        <f t="shared" si="457"/>
        <v>0</v>
      </c>
      <c r="AN290" s="37"/>
      <c r="AO290" s="37">
        <f t="shared" si="457"/>
        <v>0</v>
      </c>
      <c r="AP290" s="42"/>
      <c r="AQ290" s="37"/>
      <c r="AR290" s="33"/>
      <c r="AS290" s="33"/>
    </row>
    <row r="291" spans="1:45" ht="13.15" customHeight="1" x14ac:dyDescent="0.25">
      <c r="A291" s="144" t="s">
        <v>18</v>
      </c>
      <c r="B291" s="145"/>
      <c r="C291" s="146"/>
      <c r="D291" s="36" t="s">
        <v>3</v>
      </c>
      <c r="E291" s="37">
        <f t="shared" ref="E291:F308" si="475">H291+K291+N291+Q291+T291+W291+Z291+AC291+AF291+AI291+AL291+AO291</f>
        <v>1995654.9999999998</v>
      </c>
      <c r="F291" s="37">
        <f t="shared" si="475"/>
        <v>1982704.0996799998</v>
      </c>
      <c r="G291" s="37">
        <f>F291/E291*100</f>
        <v>99.351045129543934</v>
      </c>
      <c r="H291" s="37">
        <f>H292+H293+H294+H295</f>
        <v>36669.799999999996</v>
      </c>
      <c r="I291" s="37">
        <f>I292+I293+I294+I295</f>
        <v>35625.9</v>
      </c>
      <c r="J291" s="37">
        <f>I291/H291*100</f>
        <v>97.153243268302546</v>
      </c>
      <c r="K291" s="37">
        <f>K292+K293+K294+K295</f>
        <v>139686.40000000002</v>
      </c>
      <c r="L291" s="37">
        <f>L292+L293+L294+L295</f>
        <v>140487.5</v>
      </c>
      <c r="M291" s="37">
        <f>L291/K291*100</f>
        <v>100.57349892330248</v>
      </c>
      <c r="N291" s="37">
        <f>N292+N293+N294+N295</f>
        <v>129861.7</v>
      </c>
      <c r="O291" s="37">
        <f>O292+O293+O294+O295</f>
        <v>127692.79999999999</v>
      </c>
      <c r="P291" s="37">
        <f>O291/N291*100</f>
        <v>98.329838589822856</v>
      </c>
      <c r="Q291" s="37">
        <f t="shared" ref="Q291:AH292" si="476">Q292+Q293+Q294+Q295</f>
        <v>172570.4</v>
      </c>
      <c r="R291" s="37">
        <f t="shared" si="476"/>
        <v>169941.69999999998</v>
      </c>
      <c r="S291" s="37">
        <f>R291/Q291*100</f>
        <v>98.476737609694354</v>
      </c>
      <c r="T291" s="37">
        <f t="shared" si="476"/>
        <v>221498.1</v>
      </c>
      <c r="U291" s="37">
        <f t="shared" si="476"/>
        <v>219723.9</v>
      </c>
      <c r="V291" s="37">
        <f>U291/T291*100</f>
        <v>99.19899990112782</v>
      </c>
      <c r="W291" s="37">
        <f t="shared" si="476"/>
        <v>316922.3</v>
      </c>
      <c r="X291" s="37">
        <f t="shared" si="476"/>
        <v>310920.09999999998</v>
      </c>
      <c r="Y291" s="37">
        <f>X291/W291*100</f>
        <v>98.106097298927835</v>
      </c>
      <c r="Z291" s="37">
        <f t="shared" si="476"/>
        <v>206363</v>
      </c>
      <c r="AA291" s="37">
        <f t="shared" ref="AA291" si="477">AA292+AA293+AA294+AA295</f>
        <v>162269.41975</v>
      </c>
      <c r="AB291" s="37">
        <f t="shared" si="476"/>
        <v>498.51658275964542</v>
      </c>
      <c r="AC291" s="37">
        <f t="shared" si="476"/>
        <v>83699.899999999994</v>
      </c>
      <c r="AD291" s="37">
        <f t="shared" si="476"/>
        <v>86388.099999999991</v>
      </c>
      <c r="AE291" s="37">
        <f>AD291/AC291*100</f>
        <v>103.21171231984745</v>
      </c>
      <c r="AF291" s="37">
        <f t="shared" si="476"/>
        <v>94210.8</v>
      </c>
      <c r="AG291" s="37">
        <f t="shared" si="476"/>
        <v>117369.3</v>
      </c>
      <c r="AH291" s="37">
        <f t="shared" si="476"/>
        <v>2114.7911676029189</v>
      </c>
      <c r="AI291" s="37">
        <f>AI292+AI293+AI294+AI295</f>
        <v>148588.70000000001</v>
      </c>
      <c r="AJ291" s="37">
        <f t="shared" ref="AJ291:AO291" si="478">AJ292+AJ293+AJ294+AJ295</f>
        <v>144397.20000000001</v>
      </c>
      <c r="AK291" s="37">
        <f>AJ291/AI291*100</f>
        <v>97.17912600352517</v>
      </c>
      <c r="AL291" s="37">
        <f t="shared" si="478"/>
        <v>179317.09999999995</v>
      </c>
      <c r="AM291" s="37">
        <f t="shared" si="478"/>
        <v>179570.9</v>
      </c>
      <c r="AN291" s="37">
        <f>AM291/AL291*100</f>
        <v>100.14153697555896</v>
      </c>
      <c r="AO291" s="37">
        <f t="shared" si="478"/>
        <v>266266.8</v>
      </c>
      <c r="AP291" s="37">
        <f t="shared" ref="AP291" si="479">AP292+AP293+AP294+AP295</f>
        <v>288317.27992999996</v>
      </c>
      <c r="AQ291" s="37">
        <f>AP291/AO291*100</f>
        <v>108.28134785485834</v>
      </c>
      <c r="AR291" s="33"/>
      <c r="AS291" s="33"/>
    </row>
    <row r="292" spans="1:45" x14ac:dyDescent="0.25">
      <c r="A292" s="147"/>
      <c r="B292" s="148"/>
      <c r="C292" s="149"/>
      <c r="D292" s="36" t="s">
        <v>20</v>
      </c>
      <c r="E292" s="37">
        <f t="shared" si="475"/>
        <v>102824.3</v>
      </c>
      <c r="F292" s="37">
        <f t="shared" si="475"/>
        <v>101488.8</v>
      </c>
      <c r="G292" s="37">
        <f>F292/E292*100</f>
        <v>98.701182502579641</v>
      </c>
      <c r="H292" s="37">
        <f>H36+H84+H161+H197+H233+H265+H287</f>
        <v>2727</v>
      </c>
      <c r="I292" s="37">
        <f>I36+I84+I161+I197+I233+I265+I287</f>
        <v>2727</v>
      </c>
      <c r="J292" s="37">
        <f>I292/H292*100</f>
        <v>100</v>
      </c>
      <c r="K292" s="37">
        <f>K36+K84+K161+K197+K233+K265+K287</f>
        <v>3598</v>
      </c>
      <c r="L292" s="37">
        <f>L36+L84+L161+L197+L233+L265+L287</f>
        <v>3598</v>
      </c>
      <c r="M292" s="37">
        <f>L292/K292*100</f>
        <v>100</v>
      </c>
      <c r="N292" s="37">
        <f>N36+N84+N161+N197+N233+N265+N287</f>
        <v>3433.5</v>
      </c>
      <c r="O292" s="37">
        <f>O36+O84+O161+O197+O233+O265+O287</f>
        <v>3433.5</v>
      </c>
      <c r="P292" s="37">
        <f>O292/N292*100</f>
        <v>100</v>
      </c>
      <c r="Q292" s="37">
        <f>Q36+Q84+Q161+Q197+Q233+Q265+Q287</f>
        <v>13120.3</v>
      </c>
      <c r="R292" s="37">
        <f>R36+R84+R161+R197+R233+R265+R287</f>
        <v>12919.1</v>
      </c>
      <c r="S292" s="37">
        <f>R292/Q292*100</f>
        <v>98.46649847945551</v>
      </c>
      <c r="T292" s="37">
        <f>T36+T84+T161+T197+T233+T265+T287</f>
        <v>16692.900000000001</v>
      </c>
      <c r="U292" s="37">
        <f>U36+U84+U161+U197+U233+U265+U287</f>
        <v>16352.8</v>
      </c>
      <c r="V292" s="37">
        <f>U292/T292*100</f>
        <v>97.962606856807383</v>
      </c>
      <c r="W292" s="37">
        <f>W36+W84+W161+W197+W233+W265+W287</f>
        <v>26241.300000000003</v>
      </c>
      <c r="X292" s="37">
        <f>X36+X84+X161+X197+X233+X265+X287</f>
        <v>25486.799999999999</v>
      </c>
      <c r="Y292" s="37">
        <f>X292/W292*100</f>
        <v>97.124761349475804</v>
      </c>
      <c r="Z292" s="37">
        <f>Z36+Z84+Z161+Z197+Z233+Z265+Z287</f>
        <v>19667.8</v>
      </c>
      <c r="AA292" s="37">
        <f t="shared" ref="AA292" si="480">AA36+AA84+AA161+AA197+AA233+AA265+AA287</f>
        <v>4776.3</v>
      </c>
      <c r="AB292" s="37">
        <f>AA292/Z292*100</f>
        <v>24.284871719256859</v>
      </c>
      <c r="AC292" s="37">
        <f>AC36+AC84+AC161+AC197+AC233+AC265+AC287</f>
        <v>253.89999999999998</v>
      </c>
      <c r="AD292" s="37">
        <f>AD36+AD84+AD161+AD197+AD233+AD265+AD287</f>
        <v>613.20000000000005</v>
      </c>
      <c r="AE292" s="37">
        <f>AD292/AC292*100</f>
        <v>241.51240645923596</v>
      </c>
      <c r="AF292" s="37">
        <f>AF36+AF84+AF161+AF197+AF233+AF265+AF287</f>
        <v>2921.8</v>
      </c>
      <c r="AG292" s="37">
        <f>AG36+AG84+AG161+AG197+AG233+AG265+AG287</f>
        <v>13518.1</v>
      </c>
      <c r="AH292" s="37">
        <f t="shared" si="476"/>
        <v>1057.3955838014595</v>
      </c>
      <c r="AI292" s="37">
        <f>AI36+AI84+AI161+AI197+AI233+AI265+AI287</f>
        <v>4857.8</v>
      </c>
      <c r="AJ292" s="37">
        <f>AJ36+AJ84+AJ161+AJ197+AJ233+AJ265+AJ287</f>
        <v>5144.3</v>
      </c>
      <c r="AK292" s="37">
        <f>AJ292/AI292*100</f>
        <v>105.89773148338755</v>
      </c>
      <c r="AL292" s="37">
        <f>AL36+AL84+AL161+AL197+AL233+AL265+AL287</f>
        <v>4592.8</v>
      </c>
      <c r="AM292" s="37">
        <f>AM36+AM84+AM161+AM197+AM233+AM265+AM287</f>
        <v>5274.9</v>
      </c>
      <c r="AN292" s="37">
        <f>AM292/AL292*100</f>
        <v>114.85150670614874</v>
      </c>
      <c r="AO292" s="37">
        <f>AO36+AO84+AO161+AO197+AO233+AO265+AO287</f>
        <v>4717.2</v>
      </c>
      <c r="AP292" s="37">
        <f>AP36+AP84+AP161+AP197+AP233+AP265+AP287</f>
        <v>7644.7999999999993</v>
      </c>
      <c r="AQ292" s="37">
        <f>AP292/AO292*100</f>
        <v>162.06224031204951</v>
      </c>
      <c r="AR292" s="33"/>
      <c r="AS292" s="33"/>
    </row>
    <row r="293" spans="1:45" ht="24.75" customHeight="1" x14ac:dyDescent="0.25">
      <c r="A293" s="147"/>
      <c r="B293" s="148"/>
      <c r="C293" s="149"/>
      <c r="D293" s="36" t="s">
        <v>4</v>
      </c>
      <c r="E293" s="37">
        <f t="shared" si="475"/>
        <v>1544577.0000000002</v>
      </c>
      <c r="F293" s="37">
        <f t="shared" si="475"/>
        <v>1538278.51975</v>
      </c>
      <c r="G293" s="37">
        <f>F293/E293*100</f>
        <v>99.592219730709431</v>
      </c>
      <c r="H293" s="37">
        <f>H37+H85+H162+H198+H234+H266+H288</f>
        <v>27460.6</v>
      </c>
      <c r="I293" s="37">
        <f>I37+I85+I162+I198+I234+I266+I288</f>
        <v>27408.3</v>
      </c>
      <c r="J293" s="37">
        <f>I293/H293*100</f>
        <v>99.809545312192753</v>
      </c>
      <c r="K293" s="37">
        <f>K37+K85+K162+K198+K234+K266+K288</f>
        <v>102827.6</v>
      </c>
      <c r="L293" s="37">
        <f>L37+L85+L162+L198+L234+L266+L288</f>
        <v>102721.2</v>
      </c>
      <c r="M293" s="37">
        <f>L293/K293*100</f>
        <v>99.896525835476069</v>
      </c>
      <c r="N293" s="37">
        <f>N37+N85+N162+N198+N234+N266+N288</f>
        <v>99722.7</v>
      </c>
      <c r="O293" s="37">
        <f>O37+O85+O162+O198+O234+O266+O288</f>
        <v>99680.7</v>
      </c>
      <c r="P293" s="37">
        <f>O293/N293*100</f>
        <v>99.957883210141716</v>
      </c>
      <c r="Q293" s="37">
        <f>Q37+Q85+Q162+Q198+Q234+Q266+Q288</f>
        <v>122419.40000000001</v>
      </c>
      <c r="R293" s="37">
        <f>R37+R85+R162+R198+R234+R266+R288</f>
        <v>121202.90000000001</v>
      </c>
      <c r="S293" s="37">
        <f>R293/Q293*100</f>
        <v>99.006284951568134</v>
      </c>
      <c r="T293" s="37">
        <f>T37+T85+T162+T198+T234+T266+T288</f>
        <v>177035.80000000002</v>
      </c>
      <c r="U293" s="37">
        <f>U37+U85+U162+U198+U234+U266+U288</f>
        <v>175590.80000000002</v>
      </c>
      <c r="V293" s="37">
        <f>U293/T293*100</f>
        <v>99.183780907590446</v>
      </c>
      <c r="W293" s="37">
        <f>W37+W85+W162+W198+W234+W266+W288</f>
        <v>260704.9</v>
      </c>
      <c r="X293" s="37">
        <f>X37+X85+X162+X198+X234+X266+X288</f>
        <v>257229.69999999998</v>
      </c>
      <c r="Y293" s="37">
        <f>X293/W293*100</f>
        <v>98.666998587291602</v>
      </c>
      <c r="Z293" s="37">
        <f>Z37+Z85+Z162+Z198+Z234+Z266+Z288</f>
        <v>144447.6</v>
      </c>
      <c r="AA293" s="37">
        <f t="shared" ref="AA293" si="481">AA37+AA85+AA162+AA198+AA234+AA266+AA288</f>
        <v>128514.61975000001</v>
      </c>
      <c r="AB293" s="37">
        <f>AA293/Z293*100</f>
        <v>88.969716180815752</v>
      </c>
      <c r="AC293" s="37">
        <f>AC37+AC85+AC162+AC198+AC234+AC266+AC288</f>
        <v>63472.5</v>
      </c>
      <c r="AD293" s="37">
        <f>AD37+AD85+AD162+AD198+AD234+AD266+AD288</f>
        <v>68097.099999999991</v>
      </c>
      <c r="AE293" s="37">
        <f>AD293/AC293*100</f>
        <v>107.28598999566741</v>
      </c>
      <c r="AF293" s="37">
        <f>AF37+AF85+AF162+AF198+AF234+AF266+AF288</f>
        <v>72014.2</v>
      </c>
      <c r="AG293" s="37">
        <f>AG37+AG85+AG162+AG198+AG234+AG266+AG288</f>
        <v>79025.8</v>
      </c>
      <c r="AH293" s="37">
        <f>AG293/AF293*100</f>
        <v>109.73641309630602</v>
      </c>
      <c r="AI293" s="37">
        <f>AI37+AI85+AI162+AI198+AI234+AI266+AI288</f>
        <v>111063.09999999999</v>
      </c>
      <c r="AJ293" s="37">
        <f>AJ37+AJ85+AJ162+AJ198+AJ234+AJ266+AJ288</f>
        <v>111370.50000000001</v>
      </c>
      <c r="AK293" s="37">
        <f>AJ293/AI293*100</f>
        <v>100.27677959646365</v>
      </c>
      <c r="AL293" s="37">
        <f>AL37+AL85+AL162+AL198+AL234+AL266+AL288</f>
        <v>145709.79999999996</v>
      </c>
      <c r="AM293" s="37">
        <f>AM37+AM85+AM162+AM198+AM234+AM266+AM288</f>
        <v>144141.6</v>
      </c>
      <c r="AN293" s="37">
        <f>AM293/AL293*100</f>
        <v>98.923751182144272</v>
      </c>
      <c r="AO293" s="37">
        <f>AO37+AO85+AO162+AO198+AO234+AO266+AO288</f>
        <v>217698.8</v>
      </c>
      <c r="AP293" s="37">
        <f>AP37+AP85+AP162+AP198+AP234+AP266+AP288</f>
        <v>223295.29999999996</v>
      </c>
      <c r="AQ293" s="37">
        <f>AP293/AO293*100</f>
        <v>102.57075372027774</v>
      </c>
      <c r="AR293" s="33"/>
      <c r="AS293" s="33"/>
    </row>
    <row r="294" spans="1:45" ht="15.75" customHeight="1" x14ac:dyDescent="0.25">
      <c r="A294" s="147"/>
      <c r="B294" s="148"/>
      <c r="C294" s="149"/>
      <c r="D294" s="36" t="s">
        <v>43</v>
      </c>
      <c r="E294" s="37">
        <f t="shared" si="475"/>
        <v>348253.69999999995</v>
      </c>
      <c r="F294" s="37">
        <f t="shared" si="475"/>
        <v>342936.77992999996</v>
      </c>
      <c r="G294" s="37">
        <f t="shared" ref="G294" si="482">F294/E294*100</f>
        <v>98.473262431956925</v>
      </c>
      <c r="H294" s="37">
        <f>H38+H86+H163+H199+H235+H267+H289</f>
        <v>6482.2</v>
      </c>
      <c r="I294" s="37">
        <f t="shared" ref="I294:AO294" si="483">I38+I86+I163+I199+I235+I267+I289</f>
        <v>5490.6</v>
      </c>
      <c r="J294" s="37">
        <f>I294/H294*100</f>
        <v>84.702724383696903</v>
      </c>
      <c r="K294" s="37">
        <f t="shared" si="483"/>
        <v>33260.800000000003</v>
      </c>
      <c r="L294" s="37">
        <f t="shared" si="483"/>
        <v>34168.299999999996</v>
      </c>
      <c r="M294" s="37">
        <f t="shared" ref="M294" si="484">L294/K294*100</f>
        <v>102.72843707908406</v>
      </c>
      <c r="N294" s="37">
        <f t="shared" si="483"/>
        <v>26705.5</v>
      </c>
      <c r="O294" s="37">
        <f t="shared" si="483"/>
        <v>24578.6</v>
      </c>
      <c r="P294" s="37">
        <f t="shared" si="483"/>
        <v>646.09207812278214</v>
      </c>
      <c r="Q294" s="37">
        <f t="shared" si="483"/>
        <v>37030.69999999999</v>
      </c>
      <c r="R294" s="37">
        <f t="shared" si="483"/>
        <v>35819.69999999999</v>
      </c>
      <c r="S294" s="37">
        <f t="shared" ref="S294" si="485">R294/Q294*100</f>
        <v>96.72974045859246</v>
      </c>
      <c r="T294" s="37">
        <f t="shared" si="483"/>
        <v>27769.399999999998</v>
      </c>
      <c r="U294" s="37">
        <f t="shared" si="483"/>
        <v>27780.3</v>
      </c>
      <c r="V294" s="37">
        <f t="shared" ref="V294" si="486">U294/T294*100</f>
        <v>100.03925183835445</v>
      </c>
      <c r="W294" s="37">
        <f t="shared" si="483"/>
        <v>29976.099999999995</v>
      </c>
      <c r="X294" s="37">
        <f t="shared" si="483"/>
        <v>28203.599999999999</v>
      </c>
      <c r="Y294" s="37">
        <f t="shared" ref="Y294" si="487">X294/W294*100</f>
        <v>94.086955941566799</v>
      </c>
      <c r="Z294" s="37">
        <f t="shared" si="483"/>
        <v>42247.600000000006</v>
      </c>
      <c r="AA294" s="37">
        <f t="shared" ref="AA294" si="488">AA38+AA86+AA163+AA199+AA235+AA267+AA289</f>
        <v>28978.5</v>
      </c>
      <c r="AB294" s="37">
        <f t="shared" si="483"/>
        <v>385.26199485957284</v>
      </c>
      <c r="AC294" s="37">
        <f t="shared" si="483"/>
        <v>19973.5</v>
      </c>
      <c r="AD294" s="37">
        <f t="shared" si="483"/>
        <v>17677.8</v>
      </c>
      <c r="AE294" s="37">
        <f t="shared" ref="AE294" si="489">AD294/AC294*100</f>
        <v>88.506270808821682</v>
      </c>
      <c r="AF294" s="37">
        <f t="shared" si="483"/>
        <v>19274.800000000003</v>
      </c>
      <c r="AG294" s="37">
        <f t="shared" si="483"/>
        <v>24825.399999999998</v>
      </c>
      <c r="AH294" s="37">
        <f t="shared" si="483"/>
        <v>947.65917070515343</v>
      </c>
      <c r="AI294" s="37">
        <f t="shared" si="483"/>
        <v>32667.800000000003</v>
      </c>
      <c r="AJ294" s="37">
        <f t="shared" si="483"/>
        <v>27882.400000000001</v>
      </c>
      <c r="AK294" s="37">
        <f t="shared" ref="AK294" si="490">AJ294/AI294*100</f>
        <v>85.351324545883102</v>
      </c>
      <c r="AL294" s="37">
        <f t="shared" si="483"/>
        <v>29014.5</v>
      </c>
      <c r="AM294" s="37">
        <f t="shared" si="483"/>
        <v>30154.400000000001</v>
      </c>
      <c r="AN294" s="37">
        <f t="shared" ref="AN294" si="491">AM294/AL294*100</f>
        <v>103.92872529252615</v>
      </c>
      <c r="AO294" s="37">
        <f t="shared" si="483"/>
        <v>43850.799999999996</v>
      </c>
      <c r="AP294" s="37">
        <f t="shared" ref="AP294" si="492">AP38+AP86+AP163+AP199+AP235+AP267+AP289</f>
        <v>57377.179930000006</v>
      </c>
      <c r="AQ294" s="37">
        <f t="shared" ref="AQ294" si="493">AP294/AO294*100</f>
        <v>130.8463698039717</v>
      </c>
      <c r="AR294" s="33"/>
      <c r="AS294" s="33"/>
    </row>
    <row r="295" spans="1:45" ht="14.25" customHeight="1" x14ac:dyDescent="0.25">
      <c r="A295" s="147"/>
      <c r="B295" s="148"/>
      <c r="C295" s="149"/>
      <c r="D295" s="36" t="s">
        <v>21</v>
      </c>
      <c r="E295" s="37">
        <f t="shared" si="475"/>
        <v>0</v>
      </c>
      <c r="F295" s="37">
        <f t="shared" si="475"/>
        <v>0</v>
      </c>
      <c r="G295" s="37"/>
      <c r="H295" s="37">
        <f>H39+H87+H164+H200+H236+H268+H290</f>
        <v>0</v>
      </c>
      <c r="I295" s="37"/>
      <c r="J295" s="37"/>
      <c r="K295" s="37">
        <f>K39+K87+K164+K200+K236+K268+K290</f>
        <v>0</v>
      </c>
      <c r="L295" s="37">
        <f>L39+L87+L164+L200+L236+L268+L290</f>
        <v>0</v>
      </c>
      <c r="M295" s="37"/>
      <c r="N295" s="37">
        <f>N39+N87+N164+N200+N236+N268+N290</f>
        <v>0</v>
      </c>
      <c r="O295" s="37">
        <f>O39+O87+O164+O200+O236+O268+O290</f>
        <v>0</v>
      </c>
      <c r="P295" s="37"/>
      <c r="Q295" s="37">
        <f>Q39+Q87+Q164+Q200+Q236+Q268+Q290</f>
        <v>0</v>
      </c>
      <c r="R295" s="37">
        <f>R39+R87+R164+R200+R236+R268+R290</f>
        <v>0</v>
      </c>
      <c r="S295" s="37"/>
      <c r="T295" s="37">
        <f>T39+T87+T164+T200+T236+T268+T290</f>
        <v>0</v>
      </c>
      <c r="U295" s="37">
        <f>U39+U87+U164+U200+U236+U268+U290</f>
        <v>0</v>
      </c>
      <c r="V295" s="37"/>
      <c r="W295" s="37">
        <f>W39+W87+W164+W200+W236+W268+W290</f>
        <v>0</v>
      </c>
      <c r="X295" s="37">
        <f>X39+X87+X164+X200+X236+X268+X290</f>
        <v>0</v>
      </c>
      <c r="Y295" s="37"/>
      <c r="Z295" s="37">
        <f>Z39+Z87+Z164+Z200+Z236+Z268+Z290</f>
        <v>0</v>
      </c>
      <c r="AA295" s="37">
        <f t="shared" ref="AA295" si="494">AA39+AA87+AA164+AA200+AA236+AA268+AA290</f>
        <v>0</v>
      </c>
      <c r="AB295" s="37"/>
      <c r="AC295" s="37">
        <f>AC39+AC87+AC164+AC200+AC236+AC268+AC290</f>
        <v>0</v>
      </c>
      <c r="AD295" s="37">
        <f>AD39+AD87+AD164+AD200+AD236+AD268+AD290</f>
        <v>0</v>
      </c>
      <c r="AE295" s="37"/>
      <c r="AF295" s="37">
        <f>AF39+AF87+AF164+AF200+AF236+AF268+AF290</f>
        <v>0</v>
      </c>
      <c r="AG295" s="37">
        <f>AG39+AG87+AG164+AG200+AG236+AG268+AG290</f>
        <v>0</v>
      </c>
      <c r="AH295" s="37"/>
      <c r="AI295" s="37">
        <f>AI39+AI87+AI164+AI200+AI236+AI268+AI290</f>
        <v>0</v>
      </c>
      <c r="AJ295" s="37">
        <f>AJ39+AJ87+AJ164+AJ200+AJ236+AJ268+AJ290</f>
        <v>0</v>
      </c>
      <c r="AK295" s="37"/>
      <c r="AL295" s="37">
        <f>AL39+AL87+AL164+AL200+AL236+AL268+AL290</f>
        <v>0</v>
      </c>
      <c r="AM295" s="37">
        <f>AM39+AM87+AM164+AM200+AM236+AM268+AM290</f>
        <v>0</v>
      </c>
      <c r="AN295" s="37"/>
      <c r="AO295" s="37">
        <f>AO39+AO87+AO164+AO200+AO236+AO268+AO290</f>
        <v>0</v>
      </c>
      <c r="AP295" s="37">
        <f>AP39+AP87+AP164+AP200+AP236+AP268+AP290</f>
        <v>0</v>
      </c>
      <c r="AQ295" s="37"/>
      <c r="AR295" s="33"/>
      <c r="AS295" s="33"/>
    </row>
    <row r="296" spans="1:45" ht="14.25" customHeight="1" x14ac:dyDescent="0.25">
      <c r="A296" s="150"/>
      <c r="B296" s="151"/>
      <c r="C296" s="152"/>
      <c r="D296" s="36" t="s">
        <v>120</v>
      </c>
      <c r="E296" s="37"/>
      <c r="F296" s="37">
        <f t="shared" si="475"/>
        <v>23720.6</v>
      </c>
      <c r="G296" s="37"/>
      <c r="H296" s="37"/>
      <c r="I296" s="37"/>
      <c r="J296" s="37"/>
      <c r="K296" s="37"/>
      <c r="L296" s="37"/>
      <c r="M296" s="37"/>
      <c r="N296" s="37"/>
      <c r="O296" s="37">
        <f>O51+O258+O77</f>
        <v>4230.7</v>
      </c>
      <c r="P296" s="37"/>
      <c r="Q296" s="37"/>
      <c r="R296" s="37">
        <f>R51+R258+R77</f>
        <v>835.4</v>
      </c>
      <c r="S296" s="37"/>
      <c r="T296" s="37"/>
      <c r="U296" s="37">
        <f>U51+U258+U77</f>
        <v>3742.8</v>
      </c>
      <c r="V296" s="37"/>
      <c r="W296" s="37"/>
      <c r="X296" s="37">
        <f>X51+X258+X77</f>
        <v>233.2</v>
      </c>
      <c r="Y296" s="37"/>
      <c r="Z296" s="37"/>
      <c r="AA296" s="37">
        <f>AA51+AA258+AA77</f>
        <v>372.8</v>
      </c>
      <c r="AB296" s="37"/>
      <c r="AC296" s="37"/>
      <c r="AD296" s="37">
        <f>AD51+AD258+AD77</f>
        <v>352.7</v>
      </c>
      <c r="AE296" s="37"/>
      <c r="AF296" s="37"/>
      <c r="AG296" s="37">
        <f>AG51+AG258+AG77</f>
        <v>11367</v>
      </c>
      <c r="AH296" s="37"/>
      <c r="AI296" s="37"/>
      <c r="AJ296" s="37">
        <f>AJ51+AJ258+AJ77</f>
        <v>437.1</v>
      </c>
      <c r="AK296" s="37"/>
      <c r="AL296" s="37"/>
      <c r="AM296" s="37">
        <f>AM51+AM258+AM77</f>
        <v>159.69999999999999</v>
      </c>
      <c r="AN296" s="37"/>
      <c r="AO296" s="37"/>
      <c r="AP296" s="37">
        <f>AP51+AP258+AP77</f>
        <v>1989.2</v>
      </c>
      <c r="AQ296" s="37"/>
      <c r="AR296" s="33"/>
      <c r="AS296" s="33"/>
    </row>
    <row r="297" spans="1:45" ht="14.25" customHeight="1" x14ac:dyDescent="0.25">
      <c r="A297" s="144" t="s">
        <v>113</v>
      </c>
      <c r="B297" s="145"/>
      <c r="C297" s="146"/>
      <c r="D297" s="36" t="s">
        <v>3</v>
      </c>
      <c r="E297" s="37">
        <f>H297+K297+N297+Q297+T297+W297+Z297+AC297+AF297+AI297+AL297+AO297</f>
        <v>209363.9</v>
      </c>
      <c r="F297" s="37">
        <f t="shared" si="475"/>
        <v>209103.3</v>
      </c>
      <c r="G297" s="37">
        <f>F297/E297*100</f>
        <v>99.875527729470065</v>
      </c>
      <c r="H297" s="37">
        <f>H298+H299+H300+H301</f>
        <v>0</v>
      </c>
      <c r="I297" s="37">
        <f>I298+I299+I300+I301</f>
        <v>0</v>
      </c>
      <c r="J297" s="37"/>
      <c r="K297" s="37">
        <f>K298+K299+K300+K301</f>
        <v>0</v>
      </c>
      <c r="L297" s="37">
        <f>L298+L299+L300+L301</f>
        <v>0</v>
      </c>
      <c r="M297" s="37"/>
      <c r="N297" s="37">
        <f>N298+N299+N300+N301</f>
        <v>0</v>
      </c>
      <c r="O297" s="37">
        <f>O298+O299+O300+O301</f>
        <v>0</v>
      </c>
      <c r="P297" s="37"/>
      <c r="Q297" s="37">
        <f>Q298+Q299+Q300+Q301</f>
        <v>22013.7</v>
      </c>
      <c r="R297" s="37">
        <f>R298+R299+R300+R301</f>
        <v>22013.7</v>
      </c>
      <c r="S297" s="37">
        <f>R297/Q297*100</f>
        <v>100</v>
      </c>
      <c r="T297" s="37">
        <f>T298+T299+T300+T301</f>
        <v>39999.800000000003</v>
      </c>
      <c r="U297" s="37">
        <f>U298+U299+U300+U301</f>
        <v>39999.800000000003</v>
      </c>
      <c r="V297" s="37">
        <f>U297/T297*100</f>
        <v>100</v>
      </c>
      <c r="W297" s="37">
        <f>W298+W299+W300+W301</f>
        <v>54899.9</v>
      </c>
      <c r="X297" s="37">
        <f>X298+X299+X300+X301</f>
        <v>54899.9</v>
      </c>
      <c r="Y297" s="37">
        <f>X297/W297*100</f>
        <v>100</v>
      </c>
      <c r="Z297" s="37">
        <f>Z298+Z299+Z300+Z301</f>
        <v>54133</v>
      </c>
      <c r="AA297" s="37">
        <f>AA298+AA299+AA300+AA301</f>
        <v>11793.4</v>
      </c>
      <c r="AB297" s="37">
        <f>AA297/Z297*100</f>
        <v>21.785971588495002</v>
      </c>
      <c r="AC297" s="37">
        <f>AC298+AC299+AC300+AC301</f>
        <v>1553.4</v>
      </c>
      <c r="AD297" s="37">
        <f>AD298+AD299+AD300+AD301</f>
        <v>895.3</v>
      </c>
      <c r="AE297" s="37">
        <f>AD297/AC297*100</f>
        <v>57.634865456418169</v>
      </c>
      <c r="AF297" s="37">
        <f>AF298+AF299+AF300+AF301</f>
        <v>0</v>
      </c>
      <c r="AG297" s="37">
        <f>AG298+AG299+AG300+AG301</f>
        <v>33428.300000000003</v>
      </c>
      <c r="AH297" s="37"/>
      <c r="AI297" s="37">
        <f>AI298+AI299+AI300+AI301</f>
        <v>464</v>
      </c>
      <c r="AJ297" s="37">
        <f>AJ298+AJ299+AJ300+AJ301</f>
        <v>779.8</v>
      </c>
      <c r="AK297" s="37">
        <f>AJ297/AI297*100</f>
        <v>168.06034482758619</v>
      </c>
      <c r="AL297" s="37">
        <f>AL298+AL299+AL300+AL301</f>
        <v>36300.100000000006</v>
      </c>
      <c r="AM297" s="37">
        <f>AM298+AM299+AM300+AM301</f>
        <v>40400.9</v>
      </c>
      <c r="AN297" s="37">
        <f>AM297/AL297*100</f>
        <v>111.29693857592677</v>
      </c>
      <c r="AO297" s="37">
        <f>AO298+AO299+AO300+AO301</f>
        <v>0</v>
      </c>
      <c r="AP297" s="37">
        <f>AP298+AP299+AP300+AP301</f>
        <v>4892.2</v>
      </c>
      <c r="AQ297" s="37"/>
      <c r="AR297" s="33"/>
      <c r="AS297" s="33"/>
    </row>
    <row r="298" spans="1:45" ht="14.25" customHeight="1" x14ac:dyDescent="0.25">
      <c r="A298" s="147"/>
      <c r="B298" s="148"/>
      <c r="C298" s="149"/>
      <c r="D298" s="36" t="s">
        <v>20</v>
      </c>
      <c r="E298" s="37">
        <f t="shared" ref="E298:E301" si="495">H298+K298+N298+Q298+T298+W298+Z298+AC298+AF298+AI298+AL298+AO298</f>
        <v>56413.8</v>
      </c>
      <c r="F298" s="37">
        <f t="shared" si="475"/>
        <v>56296.500000000007</v>
      </c>
      <c r="G298" s="37">
        <f t="shared" ref="G298:G300" si="496">F298/E298*100</f>
        <v>99.792072152558418</v>
      </c>
      <c r="H298" s="37">
        <f t="shared" ref="H298:I301" si="497">H47+H53</f>
        <v>0</v>
      </c>
      <c r="I298" s="37">
        <f t="shared" si="497"/>
        <v>0</v>
      </c>
      <c r="J298" s="37"/>
      <c r="K298" s="37">
        <f t="shared" ref="K298:L301" si="498">K47+K53</f>
        <v>0</v>
      </c>
      <c r="L298" s="37">
        <f t="shared" si="498"/>
        <v>0</v>
      </c>
      <c r="M298" s="37"/>
      <c r="N298" s="37">
        <f t="shared" ref="N298:O301" si="499">N47+N53</f>
        <v>0</v>
      </c>
      <c r="O298" s="37">
        <f t="shared" si="499"/>
        <v>0</v>
      </c>
      <c r="P298" s="37"/>
      <c r="Q298" s="37">
        <f t="shared" ref="Q298:R301" si="500">Q47+Q53</f>
        <v>8915.5</v>
      </c>
      <c r="R298" s="37">
        <f t="shared" si="500"/>
        <v>8915.5</v>
      </c>
      <c r="S298" s="37">
        <f t="shared" ref="S298:S300" si="501">R298/Q298*100</f>
        <v>100</v>
      </c>
      <c r="T298" s="37">
        <f t="shared" ref="T298:U301" si="502">T47+T53</f>
        <v>11340</v>
      </c>
      <c r="U298" s="37">
        <f t="shared" si="502"/>
        <v>11340</v>
      </c>
      <c r="V298" s="37">
        <f t="shared" ref="V298:V300" si="503">U298/T298*100</f>
        <v>100</v>
      </c>
      <c r="W298" s="37">
        <f t="shared" ref="W298:X301" si="504">W47+W53</f>
        <v>16490.5</v>
      </c>
      <c r="X298" s="37">
        <f t="shared" si="504"/>
        <v>16490.5</v>
      </c>
      <c r="Y298" s="37">
        <f t="shared" ref="Y298:Y300" si="505">X298/W298*100</f>
        <v>100</v>
      </c>
      <c r="Z298" s="37">
        <f>Z47+Z53</f>
        <v>19667.8</v>
      </c>
      <c r="AA298" s="37">
        <f t="shared" ref="AA298" si="506">AA47+AA53</f>
        <v>4776.3</v>
      </c>
      <c r="AB298" s="37">
        <f t="shared" ref="AB298:AB300" si="507">AA298/Z298*100</f>
        <v>24.284871719256859</v>
      </c>
      <c r="AC298" s="37">
        <f t="shared" ref="AC298:AD301" si="508">AC47+AC53</f>
        <v>0</v>
      </c>
      <c r="AD298" s="37">
        <f t="shared" si="508"/>
        <v>362.6</v>
      </c>
      <c r="AE298" s="37"/>
      <c r="AF298" s="37">
        <f t="shared" ref="AF298:AG301" si="509">AF47+AF53</f>
        <v>0</v>
      </c>
      <c r="AG298" s="37">
        <f t="shared" si="509"/>
        <v>10878.5</v>
      </c>
      <c r="AH298" s="37"/>
      <c r="AI298" s="37">
        <f t="shared" ref="AI298:AJ301" si="510">AI47+AI53</f>
        <v>0</v>
      </c>
      <c r="AJ298" s="37">
        <f t="shared" si="510"/>
        <v>315.8</v>
      </c>
      <c r="AK298" s="37"/>
      <c r="AL298" s="37">
        <f t="shared" ref="AL298:AM301" si="511">AL47+AL53</f>
        <v>0</v>
      </c>
      <c r="AM298" s="37">
        <f t="shared" si="511"/>
        <v>1236</v>
      </c>
      <c r="AN298" s="37"/>
      <c r="AO298" s="37">
        <f t="shared" ref="AO298:AP301" si="512">AO47+AO53</f>
        <v>0</v>
      </c>
      <c r="AP298" s="37">
        <f t="shared" si="512"/>
        <v>1981.3</v>
      </c>
      <c r="AQ298" s="37"/>
      <c r="AR298" s="33"/>
      <c r="AS298" s="33"/>
    </row>
    <row r="299" spans="1:45" ht="24" customHeight="1" x14ac:dyDescent="0.25">
      <c r="A299" s="147"/>
      <c r="B299" s="148"/>
      <c r="C299" s="149"/>
      <c r="D299" s="36" t="s">
        <v>4</v>
      </c>
      <c r="E299" s="37">
        <f t="shared" si="495"/>
        <v>127265.3</v>
      </c>
      <c r="F299" s="37">
        <f t="shared" si="475"/>
        <v>127121.99999999999</v>
      </c>
      <c r="G299" s="37">
        <f t="shared" si="496"/>
        <v>99.887400571876213</v>
      </c>
      <c r="H299" s="37">
        <f t="shared" si="497"/>
        <v>0</v>
      </c>
      <c r="I299" s="37">
        <f t="shared" si="497"/>
        <v>0</v>
      </c>
      <c r="J299" s="37"/>
      <c r="K299" s="37">
        <f t="shared" si="498"/>
        <v>0</v>
      </c>
      <c r="L299" s="37">
        <f t="shared" si="498"/>
        <v>0</v>
      </c>
      <c r="M299" s="37"/>
      <c r="N299" s="37">
        <f t="shared" si="499"/>
        <v>0</v>
      </c>
      <c r="O299" s="37">
        <f t="shared" si="499"/>
        <v>0</v>
      </c>
      <c r="P299" s="37"/>
      <c r="Q299" s="37">
        <f t="shared" si="500"/>
        <v>10896.8</v>
      </c>
      <c r="R299" s="37">
        <f t="shared" si="500"/>
        <v>10896.8</v>
      </c>
      <c r="S299" s="37">
        <f t="shared" si="501"/>
        <v>100</v>
      </c>
      <c r="T299" s="37">
        <f t="shared" si="502"/>
        <v>24659.8</v>
      </c>
      <c r="U299" s="37">
        <f t="shared" si="502"/>
        <v>24659.8</v>
      </c>
      <c r="V299" s="37">
        <f t="shared" si="503"/>
        <v>100</v>
      </c>
      <c r="W299" s="37">
        <f t="shared" si="504"/>
        <v>32919.5</v>
      </c>
      <c r="X299" s="37">
        <f t="shared" si="504"/>
        <v>32919.5</v>
      </c>
      <c r="Y299" s="37">
        <f t="shared" si="505"/>
        <v>100</v>
      </c>
      <c r="Z299" s="37">
        <f>Z48+Z54</f>
        <v>24038.399999999998</v>
      </c>
      <c r="AA299" s="37">
        <f t="shared" ref="AA299" si="513">AA48+AA54</f>
        <v>5837.7</v>
      </c>
      <c r="AB299" s="37">
        <f t="shared" si="507"/>
        <v>24.284894169329075</v>
      </c>
      <c r="AC299" s="37">
        <f t="shared" si="508"/>
        <v>0</v>
      </c>
      <c r="AD299" s="37">
        <f t="shared" si="508"/>
        <v>443.2</v>
      </c>
      <c r="AE299" s="37"/>
      <c r="AF299" s="37">
        <f t="shared" si="509"/>
        <v>0</v>
      </c>
      <c r="AG299" s="37">
        <f t="shared" si="509"/>
        <v>13295.9</v>
      </c>
      <c r="AH299" s="37"/>
      <c r="AI299" s="37">
        <f t="shared" si="510"/>
        <v>386</v>
      </c>
      <c r="AJ299" s="37">
        <f t="shared" si="510"/>
        <v>386</v>
      </c>
      <c r="AK299" s="37">
        <f t="shared" ref="AK299:AK300" si="514">AJ299/AI299*100</f>
        <v>100</v>
      </c>
      <c r="AL299" s="37">
        <f t="shared" si="511"/>
        <v>34364.800000000003</v>
      </c>
      <c r="AM299" s="37">
        <f t="shared" si="511"/>
        <v>36261.4</v>
      </c>
      <c r="AN299" s="37">
        <f t="shared" ref="AN299:AN300" si="515">AM299/AL299*100</f>
        <v>105.51901946177485</v>
      </c>
      <c r="AO299" s="37">
        <f t="shared" si="512"/>
        <v>0</v>
      </c>
      <c r="AP299" s="37">
        <f t="shared" si="512"/>
        <v>2421.6999999999998</v>
      </c>
      <c r="AQ299" s="37"/>
      <c r="AR299" s="33"/>
      <c r="AS299" s="33"/>
    </row>
    <row r="300" spans="1:45" ht="13.5" customHeight="1" x14ac:dyDescent="0.25">
      <c r="A300" s="147"/>
      <c r="B300" s="148"/>
      <c r="C300" s="149"/>
      <c r="D300" s="36" t="s">
        <v>43</v>
      </c>
      <c r="E300" s="37">
        <f t="shared" si="495"/>
        <v>25684.799999999999</v>
      </c>
      <c r="F300" s="37">
        <f t="shared" si="475"/>
        <v>25684.799999999999</v>
      </c>
      <c r="G300" s="37">
        <f t="shared" si="496"/>
        <v>100</v>
      </c>
      <c r="H300" s="37">
        <f t="shared" si="497"/>
        <v>0</v>
      </c>
      <c r="I300" s="37">
        <f t="shared" si="497"/>
        <v>0</v>
      </c>
      <c r="J300" s="37"/>
      <c r="K300" s="37">
        <f t="shared" si="498"/>
        <v>0</v>
      </c>
      <c r="L300" s="37">
        <f t="shared" si="498"/>
        <v>0</v>
      </c>
      <c r="M300" s="37"/>
      <c r="N300" s="37">
        <f t="shared" si="499"/>
        <v>0</v>
      </c>
      <c r="O300" s="37">
        <f t="shared" si="499"/>
        <v>0</v>
      </c>
      <c r="P300" s="37"/>
      <c r="Q300" s="37">
        <f t="shared" si="500"/>
        <v>2201.4</v>
      </c>
      <c r="R300" s="37">
        <f t="shared" si="500"/>
        <v>2201.4</v>
      </c>
      <c r="S300" s="37">
        <f t="shared" si="501"/>
        <v>100</v>
      </c>
      <c r="T300" s="37">
        <f t="shared" si="502"/>
        <v>4000</v>
      </c>
      <c r="U300" s="37">
        <f t="shared" si="502"/>
        <v>4000</v>
      </c>
      <c r="V300" s="37">
        <f t="shared" si="503"/>
        <v>100</v>
      </c>
      <c r="W300" s="37">
        <f t="shared" si="504"/>
        <v>5489.9</v>
      </c>
      <c r="X300" s="37">
        <f t="shared" si="504"/>
        <v>5489.9</v>
      </c>
      <c r="Y300" s="37">
        <f t="shared" si="505"/>
        <v>100</v>
      </c>
      <c r="Z300" s="37">
        <f>Z49+Z55</f>
        <v>10426.799999999999</v>
      </c>
      <c r="AA300" s="37">
        <f t="shared" ref="AA300" si="516">AA49+AA55</f>
        <v>1179.4000000000001</v>
      </c>
      <c r="AB300" s="37">
        <f t="shared" si="507"/>
        <v>11.311236429201674</v>
      </c>
      <c r="AC300" s="37">
        <f t="shared" si="508"/>
        <v>1553.4</v>
      </c>
      <c r="AD300" s="37">
        <f t="shared" si="508"/>
        <v>89.5</v>
      </c>
      <c r="AE300" s="37">
        <f t="shared" ref="AE300" si="517">AD300/AC300*100</f>
        <v>5.7615552980558773</v>
      </c>
      <c r="AF300" s="37">
        <f t="shared" si="509"/>
        <v>0</v>
      </c>
      <c r="AG300" s="37">
        <f t="shared" si="509"/>
        <v>9253.9</v>
      </c>
      <c r="AH300" s="37"/>
      <c r="AI300" s="37">
        <f t="shared" si="510"/>
        <v>78</v>
      </c>
      <c r="AJ300" s="37">
        <f t="shared" si="510"/>
        <v>78</v>
      </c>
      <c r="AK300" s="37">
        <f t="shared" si="514"/>
        <v>100</v>
      </c>
      <c r="AL300" s="37">
        <f t="shared" si="511"/>
        <v>1935.3000000000002</v>
      </c>
      <c r="AM300" s="37">
        <f t="shared" si="511"/>
        <v>2903.5</v>
      </c>
      <c r="AN300" s="37">
        <f t="shared" si="515"/>
        <v>150.02841936650645</v>
      </c>
      <c r="AO300" s="37">
        <f t="shared" si="512"/>
        <v>0</v>
      </c>
      <c r="AP300" s="37">
        <f t="shared" si="512"/>
        <v>489.2</v>
      </c>
      <c r="AQ300" s="37"/>
      <c r="AR300" s="33"/>
      <c r="AS300" s="33"/>
    </row>
    <row r="301" spans="1:45" x14ac:dyDescent="0.25">
      <c r="A301" s="147"/>
      <c r="B301" s="148"/>
      <c r="C301" s="149"/>
      <c r="D301" s="36" t="s">
        <v>21</v>
      </c>
      <c r="E301" s="37">
        <f t="shared" si="495"/>
        <v>0</v>
      </c>
      <c r="F301" s="37">
        <f t="shared" si="475"/>
        <v>0</v>
      </c>
      <c r="G301" s="37"/>
      <c r="H301" s="37">
        <f t="shared" si="497"/>
        <v>0</v>
      </c>
      <c r="I301" s="37">
        <f t="shared" si="497"/>
        <v>0</v>
      </c>
      <c r="J301" s="37"/>
      <c r="K301" s="37">
        <f t="shared" si="498"/>
        <v>0</v>
      </c>
      <c r="L301" s="37">
        <f t="shared" si="498"/>
        <v>0</v>
      </c>
      <c r="M301" s="37"/>
      <c r="N301" s="37">
        <f t="shared" si="499"/>
        <v>0</v>
      </c>
      <c r="O301" s="37">
        <f t="shared" si="499"/>
        <v>0</v>
      </c>
      <c r="P301" s="37"/>
      <c r="Q301" s="37">
        <f t="shared" si="500"/>
        <v>0</v>
      </c>
      <c r="R301" s="37">
        <f t="shared" si="500"/>
        <v>0</v>
      </c>
      <c r="S301" s="37"/>
      <c r="T301" s="37">
        <f t="shared" si="502"/>
        <v>0</v>
      </c>
      <c r="U301" s="37">
        <f t="shared" si="502"/>
        <v>0</v>
      </c>
      <c r="V301" s="37"/>
      <c r="W301" s="37">
        <f t="shared" si="504"/>
        <v>0</v>
      </c>
      <c r="X301" s="37">
        <f t="shared" si="504"/>
        <v>0</v>
      </c>
      <c r="Y301" s="37"/>
      <c r="Z301" s="37">
        <f>Z50+Z56</f>
        <v>0</v>
      </c>
      <c r="AA301" s="37">
        <f>AA50+AA56</f>
        <v>0</v>
      </c>
      <c r="AB301" s="37"/>
      <c r="AC301" s="37">
        <f t="shared" si="508"/>
        <v>0</v>
      </c>
      <c r="AD301" s="37">
        <f t="shared" si="508"/>
        <v>0</v>
      </c>
      <c r="AE301" s="37"/>
      <c r="AF301" s="37">
        <f t="shared" si="509"/>
        <v>0</v>
      </c>
      <c r="AG301" s="37">
        <f t="shared" si="509"/>
        <v>0</v>
      </c>
      <c r="AH301" s="37"/>
      <c r="AI301" s="37">
        <f t="shared" si="510"/>
        <v>0</v>
      </c>
      <c r="AJ301" s="37">
        <f t="shared" si="510"/>
        <v>0</v>
      </c>
      <c r="AK301" s="37"/>
      <c r="AL301" s="37">
        <f t="shared" si="511"/>
        <v>0</v>
      </c>
      <c r="AM301" s="37">
        <f t="shared" si="511"/>
        <v>0</v>
      </c>
      <c r="AN301" s="37"/>
      <c r="AO301" s="37">
        <f t="shared" si="512"/>
        <v>0</v>
      </c>
      <c r="AP301" s="47">
        <f t="shared" si="512"/>
        <v>0</v>
      </c>
      <c r="AQ301" s="37"/>
      <c r="AR301" s="33"/>
      <c r="AS301" s="33"/>
    </row>
    <row r="302" spans="1:45" ht="14.25" customHeight="1" x14ac:dyDescent="0.25">
      <c r="A302" s="150"/>
      <c r="B302" s="151"/>
      <c r="C302" s="152"/>
      <c r="D302" s="36" t="s">
        <v>120</v>
      </c>
      <c r="E302" s="37"/>
      <c r="F302" s="37">
        <f t="shared" si="475"/>
        <v>21446</v>
      </c>
      <c r="G302" s="37"/>
      <c r="H302" s="37"/>
      <c r="I302" s="37"/>
      <c r="J302" s="37"/>
      <c r="K302" s="37"/>
      <c r="L302" s="37"/>
      <c r="M302" s="37"/>
      <c r="N302" s="37"/>
      <c r="O302" s="37">
        <f>O51</f>
        <v>3766.1</v>
      </c>
      <c r="P302" s="37"/>
      <c r="Q302" s="37"/>
      <c r="R302" s="37">
        <f>R51</f>
        <v>835.4</v>
      </c>
      <c r="S302" s="37"/>
      <c r="T302" s="37"/>
      <c r="U302" s="37">
        <f>U51</f>
        <v>3742.8</v>
      </c>
      <c r="V302" s="37"/>
      <c r="W302" s="37"/>
      <c r="X302" s="37">
        <f>X51</f>
        <v>0</v>
      </c>
      <c r="Y302" s="37"/>
      <c r="Z302" s="37"/>
      <c r="AA302" s="37"/>
      <c r="AB302" s="37"/>
      <c r="AC302" s="37"/>
      <c r="AD302" s="37"/>
      <c r="AE302" s="37"/>
      <c r="AF302" s="37"/>
      <c r="AG302" s="37">
        <f>AG51</f>
        <v>11236.7</v>
      </c>
      <c r="AH302" s="37"/>
      <c r="AI302" s="37"/>
      <c r="AJ302" s="37">
        <f>AJ51</f>
        <v>0</v>
      </c>
      <c r="AK302" s="37"/>
      <c r="AL302" s="37"/>
      <c r="AM302" s="37">
        <f>AM51</f>
        <v>0</v>
      </c>
      <c r="AN302" s="37"/>
      <c r="AO302" s="37"/>
      <c r="AP302" s="37">
        <f>AP51</f>
        <v>1865</v>
      </c>
      <c r="AQ302" s="25"/>
      <c r="AR302" s="33"/>
      <c r="AS302" s="33"/>
    </row>
    <row r="303" spans="1:45" ht="12.6" customHeight="1" x14ac:dyDescent="0.25">
      <c r="A303" s="144" t="s">
        <v>114</v>
      </c>
      <c r="B303" s="145"/>
      <c r="C303" s="146"/>
      <c r="D303" s="36" t="s">
        <v>3</v>
      </c>
      <c r="E303" s="37">
        <f>H303+K303+N303+Q303+T303+W303+Z303+AC303+AF303+AI303+AL303+AO303</f>
        <v>1786291.1</v>
      </c>
      <c r="F303" s="37">
        <f t="shared" si="475"/>
        <v>1773600.7996799997</v>
      </c>
      <c r="G303" s="37">
        <f>F303/E303*100</f>
        <v>99.289572661477152</v>
      </c>
      <c r="H303" s="37">
        <f>H304+H305+H306+H307</f>
        <v>36669.799999999996</v>
      </c>
      <c r="I303" s="37">
        <f>I304+I305+I306+I307</f>
        <v>35625.9</v>
      </c>
      <c r="J303" s="37">
        <f>I303/H303*100</f>
        <v>97.153243268302546</v>
      </c>
      <c r="K303" s="37">
        <f>K304+K305+K306+K307</f>
        <v>139686.40000000002</v>
      </c>
      <c r="L303" s="37">
        <f>L304+L305+L306+L307</f>
        <v>140487.5</v>
      </c>
      <c r="M303" s="37">
        <f>L303/K303*100</f>
        <v>100.57349892330248</v>
      </c>
      <c r="N303" s="37">
        <f>N304+N305+N306+N307</f>
        <v>129861.7</v>
      </c>
      <c r="O303" s="37">
        <f>O304+O305+O306+O307</f>
        <v>127692.79999999999</v>
      </c>
      <c r="P303" s="37">
        <f>O303/N303*100</f>
        <v>98.329838589822856</v>
      </c>
      <c r="Q303" s="37">
        <f>Q304+Q305+Q306+Q307</f>
        <v>150556.70000000001</v>
      </c>
      <c r="R303" s="37">
        <f>R304+R305+R306+R307</f>
        <v>147928</v>
      </c>
      <c r="S303" s="37">
        <f>R303/Q303*100</f>
        <v>98.254013272076222</v>
      </c>
      <c r="T303" s="37">
        <f>T304+T305+T306+T307</f>
        <v>181498.30000000002</v>
      </c>
      <c r="U303" s="37">
        <f>U304+U305+U306+U307</f>
        <v>179724.1</v>
      </c>
      <c r="V303" s="37">
        <f>U303/T303*100</f>
        <v>99.022470182916308</v>
      </c>
      <c r="W303" s="37">
        <f>W304+W305+W306+W307</f>
        <v>262022.40000000002</v>
      </c>
      <c r="X303" s="37">
        <f>X304+X305+X306+X307</f>
        <v>256020.19999999995</v>
      </c>
      <c r="Y303" s="37">
        <f>X303/W303*100</f>
        <v>97.709279817298039</v>
      </c>
      <c r="Z303" s="37">
        <f>Z304+Z305+Z306+Z307</f>
        <v>152230.00000000003</v>
      </c>
      <c r="AA303" s="37">
        <f>AA304+AA305+AA306+AA307</f>
        <v>150476.01975000001</v>
      </c>
      <c r="AB303" s="37">
        <f>AA303/Z303*100</f>
        <v>98.847809071799247</v>
      </c>
      <c r="AC303" s="37">
        <f>AC304+AC305+AC306+AC307</f>
        <v>82146.5</v>
      </c>
      <c r="AD303" s="37">
        <f>AD304+AD305+AD306+AD307</f>
        <v>85492.800000000003</v>
      </c>
      <c r="AE303" s="37">
        <f>AD303/AC303*100</f>
        <v>104.07357586750501</v>
      </c>
      <c r="AF303" s="37">
        <f>AF304+AF305+AF306+AF307</f>
        <v>94210.8</v>
      </c>
      <c r="AG303" s="37">
        <f>AG304+AG305+AG306+AG307</f>
        <v>83941.000000000015</v>
      </c>
      <c r="AH303" s="37">
        <f>AG303/AF303*100</f>
        <v>89.099126639408652</v>
      </c>
      <c r="AI303" s="37">
        <f>AI304+AI305+AI306+AI307</f>
        <v>148124.70000000001</v>
      </c>
      <c r="AJ303" s="37">
        <f>AJ304+AJ305+AJ306+AJ307</f>
        <v>143617.40000000002</v>
      </c>
      <c r="AK303" s="37">
        <f>AJ303/AI303*100</f>
        <v>96.957090883559601</v>
      </c>
      <c r="AL303" s="37">
        <f>AL304+AL305+AL306+AL307</f>
        <v>143016.99999999997</v>
      </c>
      <c r="AM303" s="37">
        <f>AM304+AM305+AM306+AM307</f>
        <v>139170</v>
      </c>
      <c r="AN303" s="37">
        <f>AM303/AL303*100</f>
        <v>97.310109986924658</v>
      </c>
      <c r="AO303" s="37">
        <f>AO304+AO305+AO306+AO307</f>
        <v>266266.8</v>
      </c>
      <c r="AP303" s="37">
        <f>AP304+AP305+AP306+AP307</f>
        <v>283425.07992999995</v>
      </c>
      <c r="AQ303" s="37">
        <f>AP303/AO303*100</f>
        <v>106.44401777840871</v>
      </c>
      <c r="AR303" s="33"/>
      <c r="AS303" s="33"/>
    </row>
    <row r="304" spans="1:45" x14ac:dyDescent="0.25">
      <c r="A304" s="147"/>
      <c r="B304" s="148"/>
      <c r="C304" s="149"/>
      <c r="D304" s="36" t="s">
        <v>20</v>
      </c>
      <c r="E304" s="37">
        <f t="shared" ref="E304:E307" si="518">H304+K304+N304+Q304+T304+W304+Z304+AC304+AF304+AI304+AL304+AO304</f>
        <v>46410.500000000007</v>
      </c>
      <c r="F304" s="37">
        <f t="shared" si="475"/>
        <v>45192.3</v>
      </c>
      <c r="G304" s="37">
        <f>F304/E304*100</f>
        <v>97.375162948039758</v>
      </c>
      <c r="H304" s="37">
        <f t="shared" ref="H304:I307" si="519">H292-H298</f>
        <v>2727</v>
      </c>
      <c r="I304" s="37">
        <f t="shared" si="519"/>
        <v>2727</v>
      </c>
      <c r="J304" s="37">
        <f>I304/H304*100</f>
        <v>100</v>
      </c>
      <c r="K304" s="37">
        <f t="shared" ref="K304:L307" si="520">K292-K298</f>
        <v>3598</v>
      </c>
      <c r="L304" s="37">
        <f t="shared" si="520"/>
        <v>3598</v>
      </c>
      <c r="M304" s="37">
        <f>L304/K304*100</f>
        <v>100</v>
      </c>
      <c r="N304" s="37">
        <f t="shared" ref="N304:O307" si="521">N292-N298</f>
        <v>3433.5</v>
      </c>
      <c r="O304" s="37">
        <f t="shared" si="521"/>
        <v>3433.5</v>
      </c>
      <c r="P304" s="37">
        <f>O304/N304*100</f>
        <v>100</v>
      </c>
      <c r="Q304" s="37">
        <f t="shared" ref="Q304:R307" si="522">Q292-Q298</f>
        <v>4204.7999999999993</v>
      </c>
      <c r="R304" s="37">
        <f t="shared" si="522"/>
        <v>4003.6000000000004</v>
      </c>
      <c r="S304" s="37">
        <f>R304/Q304*100</f>
        <v>95.21499238964995</v>
      </c>
      <c r="T304" s="37">
        <f t="shared" ref="T304:U307" si="523">T292-T298</f>
        <v>5352.9000000000015</v>
      </c>
      <c r="U304" s="37">
        <f t="shared" si="523"/>
        <v>5012.7999999999993</v>
      </c>
      <c r="V304" s="37">
        <f>U304/T304*100</f>
        <v>93.646434642903813</v>
      </c>
      <c r="W304" s="37">
        <f t="shared" ref="W304:X307" si="524">W292-W298</f>
        <v>9750.8000000000029</v>
      </c>
      <c r="X304" s="37">
        <f t="shared" si="524"/>
        <v>8996.2999999999993</v>
      </c>
      <c r="Y304" s="37">
        <f>X304/W304*100</f>
        <v>92.262173360134511</v>
      </c>
      <c r="Z304" s="37">
        <f t="shared" ref="Z304:AA307" si="525">Z292-Z298</f>
        <v>0</v>
      </c>
      <c r="AA304" s="37">
        <f t="shared" ref="AA304" si="526">AA292-AA298</f>
        <v>0</v>
      </c>
      <c r="AB304" s="37"/>
      <c r="AC304" s="37">
        <f t="shared" ref="AC304:AD307" si="527">AC292-AC298</f>
        <v>253.89999999999998</v>
      </c>
      <c r="AD304" s="37">
        <f t="shared" si="527"/>
        <v>250.60000000000002</v>
      </c>
      <c r="AE304" s="37">
        <f>AD304/AC304*100</f>
        <v>98.700275699094149</v>
      </c>
      <c r="AF304" s="37">
        <f t="shared" ref="AF304:AG307" si="528">AF292-AF298</f>
        <v>2921.8</v>
      </c>
      <c r="AG304" s="37">
        <f t="shared" si="528"/>
        <v>2639.6000000000004</v>
      </c>
      <c r="AH304" s="37">
        <f>AG304/AF304*100</f>
        <v>90.341570264905201</v>
      </c>
      <c r="AI304" s="37">
        <f t="shared" ref="AI304:AJ307" si="529">AI292-AI298</f>
        <v>4857.8</v>
      </c>
      <c r="AJ304" s="37">
        <f t="shared" si="529"/>
        <v>4828.5</v>
      </c>
      <c r="AK304" s="37">
        <f>AJ304/AI304*100</f>
        <v>99.396846309028774</v>
      </c>
      <c r="AL304" s="37">
        <f t="shared" ref="AL304:AM307" si="530">AL292-AL298</f>
        <v>4592.8</v>
      </c>
      <c r="AM304" s="37">
        <f t="shared" si="530"/>
        <v>4038.8999999999996</v>
      </c>
      <c r="AN304" s="37">
        <f>AM304/AL304*100</f>
        <v>87.939818846890773</v>
      </c>
      <c r="AO304" s="37">
        <f t="shared" ref="AO304:AO307" si="531">AO292-AO298</f>
        <v>4717.2</v>
      </c>
      <c r="AP304" s="37">
        <f t="shared" ref="AP304" si="532">AP292-AP298</f>
        <v>5663.4999999999991</v>
      </c>
      <c r="AQ304" s="37">
        <f>AP304/AO304*100</f>
        <v>120.06062918680571</v>
      </c>
      <c r="AR304" s="33"/>
      <c r="AS304" s="33"/>
    </row>
    <row r="305" spans="1:45" ht="25.5" customHeight="1" x14ac:dyDescent="0.25">
      <c r="A305" s="147"/>
      <c r="B305" s="148"/>
      <c r="C305" s="149"/>
      <c r="D305" s="36" t="s">
        <v>4</v>
      </c>
      <c r="E305" s="37">
        <f t="shared" si="518"/>
        <v>1417311.7000000002</v>
      </c>
      <c r="F305" s="37">
        <f t="shared" si="475"/>
        <v>1411156.51975</v>
      </c>
      <c r="G305" s="37">
        <f>F305/E305*100</f>
        <v>99.565714426120934</v>
      </c>
      <c r="H305" s="37">
        <f t="shared" si="519"/>
        <v>27460.6</v>
      </c>
      <c r="I305" s="37">
        <f t="shared" si="519"/>
        <v>27408.3</v>
      </c>
      <c r="J305" s="37">
        <f>I305/H305*100</f>
        <v>99.809545312192753</v>
      </c>
      <c r="K305" s="37">
        <f t="shared" si="520"/>
        <v>102827.6</v>
      </c>
      <c r="L305" s="37">
        <f t="shared" si="520"/>
        <v>102721.2</v>
      </c>
      <c r="M305" s="37">
        <f>L305/K305*100</f>
        <v>99.896525835476069</v>
      </c>
      <c r="N305" s="37">
        <f t="shared" si="521"/>
        <v>99722.7</v>
      </c>
      <c r="O305" s="37">
        <f t="shared" si="521"/>
        <v>99680.7</v>
      </c>
      <c r="P305" s="37">
        <f>O305/N305*100</f>
        <v>99.957883210141716</v>
      </c>
      <c r="Q305" s="37">
        <f t="shared" si="522"/>
        <v>111522.6</v>
      </c>
      <c r="R305" s="37">
        <f t="shared" si="522"/>
        <v>110306.1</v>
      </c>
      <c r="S305" s="37">
        <f>R305/Q305*100</f>
        <v>98.909189706839697</v>
      </c>
      <c r="T305" s="37">
        <f t="shared" si="523"/>
        <v>152376.00000000003</v>
      </c>
      <c r="U305" s="37">
        <f t="shared" si="523"/>
        <v>150931.00000000003</v>
      </c>
      <c r="V305" s="37">
        <f>U305/T305*100</f>
        <v>99.051687929857721</v>
      </c>
      <c r="W305" s="37">
        <f t="shared" si="524"/>
        <v>227785.4</v>
      </c>
      <c r="X305" s="37">
        <f t="shared" si="524"/>
        <v>224310.19999999998</v>
      </c>
      <c r="Y305" s="37">
        <f>X305/W305*100</f>
        <v>98.474353492366049</v>
      </c>
      <c r="Z305" s="37">
        <f t="shared" si="525"/>
        <v>120409.20000000001</v>
      </c>
      <c r="AA305" s="37">
        <f t="shared" ref="AA305" si="533">AA293-AA299</f>
        <v>122676.91975000002</v>
      </c>
      <c r="AB305" s="37">
        <f>AA305/Z305*100</f>
        <v>101.88334425442574</v>
      </c>
      <c r="AC305" s="37">
        <f t="shared" si="527"/>
        <v>63472.5</v>
      </c>
      <c r="AD305" s="37">
        <f t="shared" si="527"/>
        <v>67653.899999999994</v>
      </c>
      <c r="AE305" s="37">
        <f>AD305/AC305*100</f>
        <v>106.58773484579936</v>
      </c>
      <c r="AF305" s="37">
        <f t="shared" si="528"/>
        <v>72014.2</v>
      </c>
      <c r="AG305" s="37">
        <f t="shared" si="528"/>
        <v>65729.900000000009</v>
      </c>
      <c r="AH305" s="37">
        <f>AG305/AF305*100</f>
        <v>91.273526610029705</v>
      </c>
      <c r="AI305" s="37">
        <f t="shared" si="529"/>
        <v>110677.09999999999</v>
      </c>
      <c r="AJ305" s="37">
        <f t="shared" si="529"/>
        <v>110984.50000000001</v>
      </c>
      <c r="AK305" s="37">
        <f>AJ305/AI305*100</f>
        <v>100.27774489935138</v>
      </c>
      <c r="AL305" s="37">
        <f t="shared" si="530"/>
        <v>111344.99999999996</v>
      </c>
      <c r="AM305" s="37">
        <f t="shared" si="530"/>
        <v>107880.20000000001</v>
      </c>
      <c r="AN305" s="37">
        <f>AM305/AL305*100</f>
        <v>96.888230275270601</v>
      </c>
      <c r="AO305" s="37">
        <f t="shared" si="531"/>
        <v>217698.8</v>
      </c>
      <c r="AP305" s="37">
        <f t="shared" ref="AP305" si="534">AP293-AP299</f>
        <v>220873.59999999995</v>
      </c>
      <c r="AQ305" s="37">
        <f>AP305/AO305*100</f>
        <v>101.45834519988166</v>
      </c>
      <c r="AR305" s="33"/>
      <c r="AS305" s="33"/>
    </row>
    <row r="306" spans="1:45" ht="12.75" customHeight="1" x14ac:dyDescent="0.25">
      <c r="A306" s="147"/>
      <c r="B306" s="148"/>
      <c r="C306" s="149"/>
      <c r="D306" s="36" t="s">
        <v>43</v>
      </c>
      <c r="E306" s="37">
        <f t="shared" si="518"/>
        <v>322568.89999999997</v>
      </c>
      <c r="F306" s="37">
        <f t="shared" si="475"/>
        <v>317251.97992999997</v>
      </c>
      <c r="G306" s="37">
        <f t="shared" ref="G306" si="535">F306/E306*100</f>
        <v>98.35169476350633</v>
      </c>
      <c r="H306" s="37">
        <f t="shared" si="519"/>
        <v>6482.2</v>
      </c>
      <c r="I306" s="37">
        <f t="shared" si="519"/>
        <v>5490.6</v>
      </c>
      <c r="J306" s="37">
        <f t="shared" ref="J306" si="536">I306/H306*100</f>
        <v>84.702724383696903</v>
      </c>
      <c r="K306" s="37">
        <f t="shared" si="520"/>
        <v>33260.800000000003</v>
      </c>
      <c r="L306" s="37">
        <f t="shared" si="520"/>
        <v>34168.299999999996</v>
      </c>
      <c r="M306" s="37">
        <f t="shared" ref="M306" si="537">L306/K306*100</f>
        <v>102.72843707908406</v>
      </c>
      <c r="N306" s="37">
        <f t="shared" si="521"/>
        <v>26705.5</v>
      </c>
      <c r="O306" s="37">
        <f t="shared" si="521"/>
        <v>24578.6</v>
      </c>
      <c r="P306" s="37">
        <f t="shared" ref="P306" si="538">O306/N306*100</f>
        <v>92.035722978412679</v>
      </c>
      <c r="Q306" s="37">
        <f t="shared" si="522"/>
        <v>34829.299999999988</v>
      </c>
      <c r="R306" s="37">
        <f t="shared" si="522"/>
        <v>33618.299999999988</v>
      </c>
      <c r="S306" s="37">
        <f t="shared" ref="S306" si="539">R306/Q306*100</f>
        <v>96.523042380983824</v>
      </c>
      <c r="T306" s="37">
        <f t="shared" si="523"/>
        <v>23769.399999999998</v>
      </c>
      <c r="U306" s="37">
        <f t="shared" si="523"/>
        <v>23780.3</v>
      </c>
      <c r="V306" s="37">
        <f t="shared" ref="V306" si="540">U306/T306*100</f>
        <v>100.04585727868604</v>
      </c>
      <c r="W306" s="37">
        <f t="shared" si="524"/>
        <v>24486.199999999997</v>
      </c>
      <c r="X306" s="37">
        <f t="shared" si="524"/>
        <v>22713.699999999997</v>
      </c>
      <c r="Y306" s="37">
        <f t="shared" ref="Y306" si="541">X306/W306*100</f>
        <v>92.761228773758276</v>
      </c>
      <c r="Z306" s="37">
        <f t="shared" si="525"/>
        <v>31820.800000000007</v>
      </c>
      <c r="AA306" s="37">
        <f t="shared" ref="AA306" si="542">AA294-AA300</f>
        <v>27799.1</v>
      </c>
      <c r="AB306" s="37">
        <f t="shared" ref="AB306" si="543">AA306/Z306*100</f>
        <v>87.361411403861595</v>
      </c>
      <c r="AC306" s="37">
        <f t="shared" si="527"/>
        <v>18420.099999999999</v>
      </c>
      <c r="AD306" s="37">
        <f t="shared" si="527"/>
        <v>17588.3</v>
      </c>
      <c r="AE306" s="37">
        <f t="shared" ref="AE306" si="544">AD306/AC306*100</f>
        <v>95.484280758519219</v>
      </c>
      <c r="AF306" s="37">
        <f t="shared" si="528"/>
        <v>19274.800000000003</v>
      </c>
      <c r="AG306" s="37">
        <f t="shared" si="528"/>
        <v>15571.499999999998</v>
      </c>
      <c r="AH306" s="37">
        <f t="shared" ref="AH306" si="545">AG306/AF306*100</f>
        <v>80.786830472949106</v>
      </c>
      <c r="AI306" s="37">
        <f t="shared" si="529"/>
        <v>32589.800000000003</v>
      </c>
      <c r="AJ306" s="37">
        <f t="shared" si="529"/>
        <v>27804.400000000001</v>
      </c>
      <c r="AK306" s="37">
        <f t="shared" ref="AK306" si="546">AJ306/AI306*100</f>
        <v>85.316264598125784</v>
      </c>
      <c r="AL306" s="37">
        <f t="shared" si="530"/>
        <v>27079.200000000001</v>
      </c>
      <c r="AM306" s="37">
        <f t="shared" si="530"/>
        <v>27250.9</v>
      </c>
      <c r="AN306" s="37">
        <f t="shared" ref="AN306" si="547">AM306/AL306*100</f>
        <v>100.63406599899554</v>
      </c>
      <c r="AO306" s="37">
        <f t="shared" si="531"/>
        <v>43850.799999999996</v>
      </c>
      <c r="AP306" s="37">
        <f t="shared" ref="AP306" si="548">AP294-AP300</f>
        <v>56887.979930000009</v>
      </c>
      <c r="AQ306" s="37">
        <f t="shared" ref="AQ306" si="549">AP306/AO306*100</f>
        <v>129.73076872029702</v>
      </c>
      <c r="AR306" s="33"/>
      <c r="AS306" s="33"/>
    </row>
    <row r="307" spans="1:45" x14ac:dyDescent="0.25">
      <c r="A307" s="147"/>
      <c r="B307" s="148"/>
      <c r="C307" s="149"/>
      <c r="D307" s="36" t="s">
        <v>21</v>
      </c>
      <c r="E307" s="37">
        <f t="shared" si="518"/>
        <v>0</v>
      </c>
      <c r="F307" s="37">
        <f t="shared" si="475"/>
        <v>0</v>
      </c>
      <c r="G307" s="37"/>
      <c r="H307" s="37">
        <f t="shared" si="519"/>
        <v>0</v>
      </c>
      <c r="I307" s="37">
        <f t="shared" si="519"/>
        <v>0</v>
      </c>
      <c r="J307" s="37"/>
      <c r="K307" s="37">
        <f t="shared" si="520"/>
        <v>0</v>
      </c>
      <c r="L307" s="37">
        <f t="shared" si="520"/>
        <v>0</v>
      </c>
      <c r="M307" s="37"/>
      <c r="N307" s="37">
        <f t="shared" si="521"/>
        <v>0</v>
      </c>
      <c r="O307" s="37">
        <f t="shared" si="521"/>
        <v>0</v>
      </c>
      <c r="P307" s="37"/>
      <c r="Q307" s="37">
        <f t="shared" si="522"/>
        <v>0</v>
      </c>
      <c r="R307" s="37">
        <f t="shared" si="522"/>
        <v>0</v>
      </c>
      <c r="S307" s="37"/>
      <c r="T307" s="37">
        <f t="shared" si="523"/>
        <v>0</v>
      </c>
      <c r="U307" s="37">
        <f t="shared" si="523"/>
        <v>0</v>
      </c>
      <c r="V307" s="37"/>
      <c r="W307" s="37">
        <f t="shared" si="524"/>
        <v>0</v>
      </c>
      <c r="X307" s="37">
        <f t="shared" si="524"/>
        <v>0</v>
      </c>
      <c r="Y307" s="37"/>
      <c r="Z307" s="37">
        <f t="shared" si="525"/>
        <v>0</v>
      </c>
      <c r="AA307" s="37">
        <f t="shared" si="525"/>
        <v>0</v>
      </c>
      <c r="AB307" s="37"/>
      <c r="AC307" s="37">
        <f t="shared" si="527"/>
        <v>0</v>
      </c>
      <c r="AD307" s="37">
        <f t="shared" si="527"/>
        <v>0</v>
      </c>
      <c r="AE307" s="37"/>
      <c r="AF307" s="37">
        <f t="shared" si="528"/>
        <v>0</v>
      </c>
      <c r="AG307" s="37">
        <f t="shared" si="528"/>
        <v>0</v>
      </c>
      <c r="AH307" s="37"/>
      <c r="AI307" s="37">
        <f t="shared" si="529"/>
        <v>0</v>
      </c>
      <c r="AJ307" s="37">
        <f t="shared" si="529"/>
        <v>0</v>
      </c>
      <c r="AK307" s="37"/>
      <c r="AL307" s="37">
        <f t="shared" si="530"/>
        <v>0</v>
      </c>
      <c r="AM307" s="37">
        <f t="shared" si="530"/>
        <v>0</v>
      </c>
      <c r="AN307" s="37"/>
      <c r="AO307" s="37">
        <f t="shared" si="531"/>
        <v>0</v>
      </c>
      <c r="AP307" s="37">
        <f t="shared" ref="AP307" si="550">AP295-AP301</f>
        <v>0</v>
      </c>
      <c r="AQ307" s="37"/>
      <c r="AR307" s="33"/>
      <c r="AS307" s="33"/>
    </row>
    <row r="308" spans="1:45" ht="11.45" customHeight="1" x14ac:dyDescent="0.25">
      <c r="A308" s="150"/>
      <c r="B308" s="151"/>
      <c r="C308" s="152"/>
      <c r="D308" s="36" t="s">
        <v>120</v>
      </c>
      <c r="E308" s="37"/>
      <c r="F308" s="37">
        <f t="shared" si="475"/>
        <v>2150.3999999999996</v>
      </c>
      <c r="G308" s="37"/>
      <c r="H308" s="37"/>
      <c r="I308" s="37"/>
      <c r="J308" s="37"/>
      <c r="K308" s="37"/>
      <c r="L308" s="37"/>
      <c r="M308" s="37"/>
      <c r="N308" s="37"/>
      <c r="O308" s="37">
        <f>O77</f>
        <v>464.6</v>
      </c>
      <c r="P308" s="37"/>
      <c r="Q308" s="37"/>
      <c r="R308" s="37">
        <f>R77</f>
        <v>0</v>
      </c>
      <c r="S308" s="37"/>
      <c r="T308" s="37"/>
      <c r="U308" s="37">
        <f>U77</f>
        <v>0</v>
      </c>
      <c r="V308" s="37"/>
      <c r="W308" s="37"/>
      <c r="X308" s="37">
        <f>X77</f>
        <v>233.2</v>
      </c>
      <c r="Y308" s="37"/>
      <c r="Z308" s="37"/>
      <c r="AA308" s="37">
        <f>AA77</f>
        <v>372.8</v>
      </c>
      <c r="AB308" s="37"/>
      <c r="AC308" s="37"/>
      <c r="AD308" s="37">
        <f>AD77</f>
        <v>352.7</v>
      </c>
      <c r="AE308" s="37"/>
      <c r="AF308" s="37"/>
      <c r="AG308" s="37">
        <f>AG77</f>
        <v>130.30000000000001</v>
      </c>
      <c r="AH308" s="37"/>
      <c r="AI308" s="37"/>
      <c r="AJ308" s="37">
        <f>AJ88</f>
        <v>437.1</v>
      </c>
      <c r="AK308" s="37"/>
      <c r="AL308" s="37"/>
      <c r="AM308" s="37">
        <f>AM88</f>
        <v>159.69999999999999</v>
      </c>
      <c r="AN308" s="37"/>
      <c r="AO308" s="37"/>
      <c r="AP308" s="37">
        <f>AP88</f>
        <v>0</v>
      </c>
      <c r="AQ308" s="37"/>
      <c r="AR308" s="33"/>
      <c r="AS308" s="33"/>
    </row>
    <row r="309" spans="1:45" ht="15.75" customHeight="1" x14ac:dyDescent="0.25">
      <c r="A309" s="153" t="s">
        <v>115</v>
      </c>
      <c r="B309" s="154"/>
      <c r="C309" s="155"/>
      <c r="D309" s="36"/>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42"/>
      <c r="AQ309" s="37"/>
      <c r="AR309" s="33"/>
      <c r="AS309" s="33"/>
    </row>
    <row r="310" spans="1:45" ht="14.45" customHeight="1" x14ac:dyDescent="0.25">
      <c r="A310" s="156" t="s">
        <v>166</v>
      </c>
      <c r="B310" s="157"/>
      <c r="C310" s="158"/>
      <c r="D310" s="35" t="s">
        <v>3</v>
      </c>
      <c r="E310" s="23">
        <f>H310+K310+N310+Q310+T310+W310+Z310+AC310+AF310+AI310+AL310+AO310</f>
        <v>1783436.0000000002</v>
      </c>
      <c r="F310" s="23">
        <f t="shared" ref="F310:F326" si="551">I310+L310+O310+R310+U310+X310+AA310+AD310+AG310+AJ310+AM310+AP310</f>
        <v>1770745.6999299999</v>
      </c>
      <c r="G310" s="23">
        <f>F310/E310*100</f>
        <v>99.288435353441315</v>
      </c>
      <c r="H310" s="23">
        <f>H311+H312+H313+H314</f>
        <v>36669.799999999996</v>
      </c>
      <c r="I310" s="23">
        <f>I311+I312+I313+I314</f>
        <v>35625.9</v>
      </c>
      <c r="J310" s="23">
        <f>I310/H310*100</f>
        <v>97.153243268302546</v>
      </c>
      <c r="K310" s="23">
        <f>K311+K312+K313+K314</f>
        <v>139686.40000000002</v>
      </c>
      <c r="L310" s="23">
        <f>L311+L312+L313+L314</f>
        <v>140487.5</v>
      </c>
      <c r="M310" s="23">
        <f>L310/K310*100</f>
        <v>100.57349892330248</v>
      </c>
      <c r="N310" s="23">
        <f>N311+N312+N313+N314</f>
        <v>129649.9</v>
      </c>
      <c r="O310" s="23">
        <f>O311+O312+O313+O314</f>
        <v>127573.09999999999</v>
      </c>
      <c r="P310" s="23">
        <f>O310/N310*100</f>
        <v>98.398147626801105</v>
      </c>
      <c r="Q310" s="23">
        <f>Q311+Q312+Q313+Q314</f>
        <v>150234.9</v>
      </c>
      <c r="R310" s="23">
        <f>R311+R312+R313+R314</f>
        <v>147606.20000000001</v>
      </c>
      <c r="S310" s="23">
        <f>R310/Q310*100</f>
        <v>98.250273405180835</v>
      </c>
      <c r="T310" s="23">
        <f>T311+T312+T313+T314</f>
        <v>181498.30000000002</v>
      </c>
      <c r="U310" s="23">
        <f>U311+U312+U313+U314</f>
        <v>179724.1</v>
      </c>
      <c r="V310" s="23">
        <f>U310/T310*100</f>
        <v>99.022470182916308</v>
      </c>
      <c r="W310" s="23">
        <f>W311+W312+W313+W314</f>
        <v>261565.59999999998</v>
      </c>
      <c r="X310" s="23">
        <f>X311+X312+X313+X314</f>
        <v>255471.29999999996</v>
      </c>
      <c r="Y310" s="23">
        <f>X310/W310*100</f>
        <v>97.670068235272524</v>
      </c>
      <c r="Z310" s="23">
        <f>Z311+Z312+Z313+Z314</f>
        <v>150860.20000000001</v>
      </c>
      <c r="AA310" s="23">
        <f>AA311+AA312+AA313+AA314</f>
        <v>149106.22</v>
      </c>
      <c r="AB310" s="23">
        <f>AA310/Z310*100</f>
        <v>98.83734742496695</v>
      </c>
      <c r="AC310" s="23">
        <f>AC311+AC312+AC313+AC314</f>
        <v>82146.5</v>
      </c>
      <c r="AD310" s="23">
        <f>AD311+AD312+AD313+AD314</f>
        <v>85492.800000000003</v>
      </c>
      <c r="AE310" s="23">
        <f>AD310/AC310*100</f>
        <v>104.07357586750501</v>
      </c>
      <c r="AF310" s="23">
        <f>AF311+AF312+AF313+AF314</f>
        <v>94210.8</v>
      </c>
      <c r="AG310" s="23">
        <f>AG311+AG312+AG313+AG314</f>
        <v>83941.000000000015</v>
      </c>
      <c r="AH310" s="23">
        <f>AG310/AF310*100</f>
        <v>89.099126639408652</v>
      </c>
      <c r="AI310" s="23">
        <f>AI311+AI312+AI313+AI314</f>
        <v>147898</v>
      </c>
      <c r="AJ310" s="23">
        <f>AJ311+AJ312+AJ313+AJ314</f>
        <v>143615</v>
      </c>
      <c r="AK310" s="23">
        <f>AJ310/AI310*100</f>
        <v>97.104085247941157</v>
      </c>
      <c r="AL310" s="23">
        <f>AL311+AL312+AL313+AL314</f>
        <v>142748.79999999996</v>
      </c>
      <c r="AM310" s="23">
        <f>AM311+AM312+AM313+AM314</f>
        <v>138677.5</v>
      </c>
      <c r="AN310" s="23">
        <f>AM310/AL310*100</f>
        <v>97.147926987827589</v>
      </c>
      <c r="AO310" s="23">
        <f>AO311+AO312+AO313+AO314</f>
        <v>266266.8</v>
      </c>
      <c r="AP310" s="23">
        <f>AP311+AP312+AP313+AP314</f>
        <v>283425.07992999995</v>
      </c>
      <c r="AQ310" s="23">
        <f>AP310/AO310*100</f>
        <v>106.44401777840871</v>
      </c>
      <c r="AR310" s="33"/>
      <c r="AS310" s="33"/>
    </row>
    <row r="311" spans="1:45" ht="28.15" customHeight="1" x14ac:dyDescent="0.25">
      <c r="A311" s="159"/>
      <c r="B311" s="160"/>
      <c r="C311" s="161"/>
      <c r="D311" s="35" t="s">
        <v>20</v>
      </c>
      <c r="E311" s="23">
        <f t="shared" ref="E311:E314" si="552">H311+K311+N311+Q311+T311+W311+Z311+AC311+AF311+AI311+AL311+AO311</f>
        <v>46410.500000000007</v>
      </c>
      <c r="F311" s="23">
        <f>I311+L311+O311+R311+U311+X311+AA311+AD311+AG311+AJ311+AM311+AP311</f>
        <v>45192.3</v>
      </c>
      <c r="G311" s="23">
        <f>F311/E311*100</f>
        <v>97.375162948039758</v>
      </c>
      <c r="H311" s="23">
        <f t="shared" ref="H311:AO314" si="553">H292-H317-H323</f>
        <v>2727</v>
      </c>
      <c r="I311" s="23">
        <f t="shared" si="553"/>
        <v>2727</v>
      </c>
      <c r="J311" s="23">
        <f t="shared" si="553"/>
        <v>100</v>
      </c>
      <c r="K311" s="23">
        <f t="shared" si="553"/>
        <v>3598</v>
      </c>
      <c r="L311" s="23">
        <f t="shared" si="553"/>
        <v>3598</v>
      </c>
      <c r="M311" s="23">
        <f t="shared" si="553"/>
        <v>100</v>
      </c>
      <c r="N311" s="23">
        <f t="shared" si="553"/>
        <v>3433.5</v>
      </c>
      <c r="O311" s="23">
        <f t="shared" si="553"/>
        <v>3433.5</v>
      </c>
      <c r="P311" s="23">
        <f t="shared" si="553"/>
        <v>100</v>
      </c>
      <c r="Q311" s="23">
        <f t="shared" si="553"/>
        <v>4204.7999999999993</v>
      </c>
      <c r="R311" s="23">
        <f t="shared" si="553"/>
        <v>4003.6000000000004</v>
      </c>
      <c r="S311" s="23">
        <f>R311/Q311*100</f>
        <v>95.21499238964995</v>
      </c>
      <c r="T311" s="23">
        <f t="shared" si="553"/>
        <v>5352.9000000000015</v>
      </c>
      <c r="U311" s="23">
        <f t="shared" si="553"/>
        <v>5012.7999999999993</v>
      </c>
      <c r="V311" s="23">
        <f>U311/T311*100</f>
        <v>93.646434642903813</v>
      </c>
      <c r="W311" s="23">
        <f t="shared" si="553"/>
        <v>9750.8000000000029</v>
      </c>
      <c r="X311" s="23">
        <f t="shared" si="553"/>
        <v>8996.2999999999993</v>
      </c>
      <c r="Y311" s="23">
        <f>X311/W311*100</f>
        <v>92.262173360134511</v>
      </c>
      <c r="Z311" s="23">
        <f t="shared" si="553"/>
        <v>0</v>
      </c>
      <c r="AA311" s="23">
        <f t="shared" ref="AA311" si="554">AA292-AA317-AA323</f>
        <v>0</v>
      </c>
      <c r="AB311" s="23">
        <f t="shared" si="553"/>
        <v>0</v>
      </c>
      <c r="AC311" s="23">
        <f t="shared" si="553"/>
        <v>253.89999999999998</v>
      </c>
      <c r="AD311" s="23">
        <f t="shared" si="553"/>
        <v>250.60000000000002</v>
      </c>
      <c r="AE311" s="23">
        <f>AD311/AC311*100</f>
        <v>98.700275699094149</v>
      </c>
      <c r="AF311" s="23">
        <f t="shared" si="553"/>
        <v>2921.8</v>
      </c>
      <c r="AG311" s="23">
        <f t="shared" si="553"/>
        <v>2639.6000000000004</v>
      </c>
      <c r="AH311" s="23">
        <f t="shared" si="553"/>
        <v>1057.3955838014595</v>
      </c>
      <c r="AI311" s="23">
        <f t="shared" si="553"/>
        <v>4857.8</v>
      </c>
      <c r="AJ311" s="23">
        <f t="shared" si="553"/>
        <v>4828.5</v>
      </c>
      <c r="AK311" s="23">
        <f t="shared" si="553"/>
        <v>105.89773148338755</v>
      </c>
      <c r="AL311" s="23">
        <f t="shared" si="553"/>
        <v>4592.8</v>
      </c>
      <c r="AM311" s="23">
        <f t="shared" si="553"/>
        <v>4038.8999999999996</v>
      </c>
      <c r="AN311" s="23">
        <f>AM311/AL311*100</f>
        <v>87.939818846890773</v>
      </c>
      <c r="AO311" s="23">
        <f t="shared" si="553"/>
        <v>4717.2</v>
      </c>
      <c r="AP311" s="23">
        <f t="shared" ref="AP311" si="555">AP292-AP317-AP323</f>
        <v>5663.4999999999991</v>
      </c>
      <c r="AQ311" s="23">
        <f>AP311/AO311*100</f>
        <v>120.06062918680571</v>
      </c>
      <c r="AR311" s="33"/>
      <c r="AS311" s="116" t="s">
        <v>297</v>
      </c>
    </row>
    <row r="312" spans="1:45" ht="28.15" customHeight="1" x14ac:dyDescent="0.25">
      <c r="A312" s="159"/>
      <c r="B312" s="160"/>
      <c r="C312" s="161"/>
      <c r="D312" s="35" t="s">
        <v>4</v>
      </c>
      <c r="E312" s="23">
        <f t="shared" si="552"/>
        <v>1415773.7999999998</v>
      </c>
      <c r="F312" s="23">
        <f t="shared" si="551"/>
        <v>1409618.6199999999</v>
      </c>
      <c r="G312" s="23">
        <f>F312/E312*100</f>
        <v>99.565242696255581</v>
      </c>
      <c r="H312" s="23">
        <f t="shared" si="553"/>
        <v>27460.6</v>
      </c>
      <c r="I312" s="23">
        <f t="shared" si="553"/>
        <v>27408.3</v>
      </c>
      <c r="J312" s="23">
        <f t="shared" si="553"/>
        <v>99.809545312192753</v>
      </c>
      <c r="K312" s="23">
        <f t="shared" si="553"/>
        <v>102827.6</v>
      </c>
      <c r="L312" s="23">
        <f t="shared" si="553"/>
        <v>102721.2</v>
      </c>
      <c r="M312" s="23">
        <f t="shared" si="553"/>
        <v>99.896525835476069</v>
      </c>
      <c r="N312" s="23">
        <f t="shared" si="553"/>
        <v>99722.7</v>
      </c>
      <c r="O312" s="23">
        <f t="shared" si="553"/>
        <v>99680.7</v>
      </c>
      <c r="P312" s="23">
        <f t="shared" si="553"/>
        <v>99.957883210141716</v>
      </c>
      <c r="Q312" s="23">
        <f t="shared" si="553"/>
        <v>111261.6</v>
      </c>
      <c r="R312" s="23">
        <f t="shared" si="553"/>
        <v>110045.1</v>
      </c>
      <c r="S312" s="23">
        <f>R312/Q312*100</f>
        <v>98.906630859164352</v>
      </c>
      <c r="T312" s="23">
        <f t="shared" si="553"/>
        <v>152376.00000000003</v>
      </c>
      <c r="U312" s="23">
        <f t="shared" si="553"/>
        <v>150931.00000000003</v>
      </c>
      <c r="V312" s="23">
        <f>U312/T312*100</f>
        <v>99.051687929857721</v>
      </c>
      <c r="W312" s="23">
        <f t="shared" si="553"/>
        <v>227785.3</v>
      </c>
      <c r="X312" s="23">
        <f t="shared" si="553"/>
        <v>224310.09999999998</v>
      </c>
      <c r="Y312" s="23">
        <f>X312/W312*100</f>
        <v>98.474352822592152</v>
      </c>
      <c r="Z312" s="23">
        <f t="shared" si="553"/>
        <v>119393.40000000001</v>
      </c>
      <c r="AA312" s="23">
        <f t="shared" ref="AA312" si="556">AA293-AA318-AA324</f>
        <v>121661.12000000001</v>
      </c>
      <c r="AB312" s="23">
        <f t="shared" si="553"/>
        <v>-35.315153377369398</v>
      </c>
      <c r="AC312" s="23">
        <f t="shared" si="553"/>
        <v>63472.5</v>
      </c>
      <c r="AD312" s="23">
        <f t="shared" si="553"/>
        <v>67653.899999999994</v>
      </c>
      <c r="AE312" s="23">
        <f>AD312/AC312*100</f>
        <v>106.58773484579936</v>
      </c>
      <c r="AF312" s="23">
        <f t="shared" si="553"/>
        <v>72014.2</v>
      </c>
      <c r="AG312" s="23">
        <f t="shared" si="553"/>
        <v>65729.900000000009</v>
      </c>
      <c r="AH312" s="23">
        <f t="shared" si="553"/>
        <v>109.73641309630602</v>
      </c>
      <c r="AI312" s="23">
        <f t="shared" si="553"/>
        <v>110527.49999999999</v>
      </c>
      <c r="AJ312" s="23">
        <f t="shared" si="553"/>
        <v>110984.50000000001</v>
      </c>
      <c r="AK312" s="23">
        <f t="shared" si="553"/>
        <v>100.27677959646365</v>
      </c>
      <c r="AL312" s="23">
        <f t="shared" si="553"/>
        <v>111233.59999999996</v>
      </c>
      <c r="AM312" s="23">
        <f t="shared" si="553"/>
        <v>107619.20000000001</v>
      </c>
      <c r="AN312" s="23">
        <f>AM312/AL312*100</f>
        <v>96.750622114181368</v>
      </c>
      <c r="AO312" s="23">
        <f t="shared" si="553"/>
        <v>217698.8</v>
      </c>
      <c r="AP312" s="23">
        <f t="shared" ref="AP312" si="557">AP293-AP318-AP324</f>
        <v>220873.59999999995</v>
      </c>
      <c r="AQ312" s="23">
        <f>AP312/AO312*100</f>
        <v>101.45834519988166</v>
      </c>
      <c r="AR312" s="33"/>
      <c r="AS312" s="118"/>
    </row>
    <row r="313" spans="1:45" ht="28.15" customHeight="1" x14ac:dyDescent="0.25">
      <c r="A313" s="159"/>
      <c r="B313" s="160"/>
      <c r="C313" s="161"/>
      <c r="D313" s="35" t="s">
        <v>43</v>
      </c>
      <c r="E313" s="23">
        <f t="shared" si="552"/>
        <v>321251.7</v>
      </c>
      <c r="F313" s="23">
        <f t="shared" si="551"/>
        <v>315934.77992999996</v>
      </c>
      <c r="G313" s="23">
        <f t="shared" ref="G313" si="558">F313/E313*100</f>
        <v>98.344936362982665</v>
      </c>
      <c r="H313" s="23">
        <f t="shared" si="553"/>
        <v>6482.2</v>
      </c>
      <c r="I313" s="23">
        <f t="shared" si="553"/>
        <v>5490.6</v>
      </c>
      <c r="J313" s="23">
        <f t="shared" si="553"/>
        <v>84.702724383696903</v>
      </c>
      <c r="K313" s="23">
        <f t="shared" si="553"/>
        <v>33260.800000000003</v>
      </c>
      <c r="L313" s="23">
        <f t="shared" si="553"/>
        <v>34168.299999999996</v>
      </c>
      <c r="M313" s="23">
        <f t="shared" si="553"/>
        <v>102.72843707908406</v>
      </c>
      <c r="N313" s="23">
        <f t="shared" si="553"/>
        <v>26493.7</v>
      </c>
      <c r="O313" s="23">
        <f t="shared" si="553"/>
        <v>24458.899999999998</v>
      </c>
      <c r="P313" s="23">
        <f t="shared" si="553"/>
        <v>589.5764973862382</v>
      </c>
      <c r="Q313" s="23">
        <f t="shared" si="553"/>
        <v>34768.499999999985</v>
      </c>
      <c r="R313" s="23">
        <f t="shared" si="553"/>
        <v>33557.499999999985</v>
      </c>
      <c r="S313" s="23">
        <f t="shared" ref="S313" si="559">R313/Q313*100</f>
        <v>96.51696219278945</v>
      </c>
      <c r="T313" s="23">
        <f t="shared" si="553"/>
        <v>23769.399999999998</v>
      </c>
      <c r="U313" s="23">
        <f t="shared" si="553"/>
        <v>23780.3</v>
      </c>
      <c r="V313" s="23">
        <f t="shared" ref="V313" si="560">U313/T313*100</f>
        <v>100.04585727868604</v>
      </c>
      <c r="W313" s="23">
        <f t="shared" si="553"/>
        <v>24029.499999999996</v>
      </c>
      <c r="X313" s="23">
        <f t="shared" si="553"/>
        <v>22164.899999999998</v>
      </c>
      <c r="Y313" s="23">
        <f t="shared" ref="Y313" si="561">X313/W313*100</f>
        <v>92.240371210387238</v>
      </c>
      <c r="Z313" s="23">
        <f t="shared" si="553"/>
        <v>31466.800000000007</v>
      </c>
      <c r="AA313" s="23">
        <f t="shared" ref="AA313" si="562">AA294-AA319-AA325</f>
        <v>27445.1</v>
      </c>
      <c r="AB313" s="23">
        <f t="shared" si="553"/>
        <v>273.9507584303712</v>
      </c>
      <c r="AC313" s="23">
        <f t="shared" si="553"/>
        <v>18420.099999999999</v>
      </c>
      <c r="AD313" s="23">
        <f t="shared" si="553"/>
        <v>17588.3</v>
      </c>
      <c r="AE313" s="23">
        <f t="shared" ref="AE313" si="563">AD313/AC313*100</f>
        <v>95.484280758519219</v>
      </c>
      <c r="AF313" s="23">
        <f t="shared" si="553"/>
        <v>19274.800000000003</v>
      </c>
      <c r="AG313" s="23">
        <f t="shared" si="553"/>
        <v>15571.499999999998</v>
      </c>
      <c r="AH313" s="23">
        <f t="shared" si="553"/>
        <v>947.65917070515343</v>
      </c>
      <c r="AI313" s="23">
        <f t="shared" si="553"/>
        <v>32512.700000000004</v>
      </c>
      <c r="AJ313" s="23">
        <f t="shared" si="553"/>
        <v>27802</v>
      </c>
      <c r="AK313" s="23">
        <f t="shared" si="553"/>
        <v>-17.761515921042967</v>
      </c>
      <c r="AL313" s="23">
        <f t="shared" si="553"/>
        <v>26922.400000000001</v>
      </c>
      <c r="AM313" s="23">
        <f t="shared" si="553"/>
        <v>27019.4</v>
      </c>
      <c r="AN313" s="23">
        <f t="shared" ref="AN313" si="564">AM313/AL313*100</f>
        <v>100.36029477312572</v>
      </c>
      <c r="AO313" s="23">
        <f t="shared" si="553"/>
        <v>43850.799999999996</v>
      </c>
      <c r="AP313" s="23">
        <f t="shared" ref="AP313" si="565">AP294-AP319-AP325</f>
        <v>56887.979930000009</v>
      </c>
      <c r="AQ313" s="23">
        <f t="shared" ref="AQ313" si="566">AP313/AO313*100</f>
        <v>129.73076872029702</v>
      </c>
      <c r="AR313" s="33"/>
      <c r="AS313" s="117"/>
    </row>
    <row r="314" spans="1:45" x14ac:dyDescent="0.25">
      <c r="A314" s="159"/>
      <c r="B314" s="160"/>
      <c r="C314" s="161"/>
      <c r="D314" s="35" t="s">
        <v>21</v>
      </c>
      <c r="E314" s="23">
        <f t="shared" si="552"/>
        <v>0</v>
      </c>
      <c r="F314" s="23">
        <f t="shared" si="551"/>
        <v>0</v>
      </c>
      <c r="G314" s="23"/>
      <c r="H314" s="23">
        <f t="shared" si="553"/>
        <v>0</v>
      </c>
      <c r="I314" s="23">
        <f t="shared" si="553"/>
        <v>0</v>
      </c>
      <c r="J314" s="23">
        <f t="shared" si="553"/>
        <v>0</v>
      </c>
      <c r="K314" s="23">
        <f t="shared" si="553"/>
        <v>0</v>
      </c>
      <c r="L314" s="23">
        <f t="shared" si="553"/>
        <v>0</v>
      </c>
      <c r="M314" s="23">
        <f t="shared" si="553"/>
        <v>0</v>
      </c>
      <c r="N314" s="23">
        <f t="shared" si="553"/>
        <v>0</v>
      </c>
      <c r="O314" s="23">
        <f t="shared" si="553"/>
        <v>0</v>
      </c>
      <c r="P314" s="23">
        <f t="shared" si="553"/>
        <v>0</v>
      </c>
      <c r="Q314" s="23">
        <f t="shared" si="553"/>
        <v>0</v>
      </c>
      <c r="R314" s="23">
        <f t="shared" si="553"/>
        <v>0</v>
      </c>
      <c r="S314" s="23">
        <f t="shared" si="553"/>
        <v>0</v>
      </c>
      <c r="T314" s="23">
        <f t="shared" si="553"/>
        <v>0</v>
      </c>
      <c r="U314" s="23">
        <f t="shared" si="553"/>
        <v>0</v>
      </c>
      <c r="V314" s="23">
        <f t="shared" si="553"/>
        <v>0</v>
      </c>
      <c r="W314" s="23">
        <f t="shared" si="553"/>
        <v>0</v>
      </c>
      <c r="X314" s="23">
        <f t="shared" si="553"/>
        <v>0</v>
      </c>
      <c r="Y314" s="23">
        <f t="shared" si="553"/>
        <v>0</v>
      </c>
      <c r="Z314" s="23">
        <f t="shared" si="553"/>
        <v>0</v>
      </c>
      <c r="AA314" s="23">
        <f t="shared" ref="AA314" si="567">AA295-AA320-AA326</f>
        <v>0</v>
      </c>
      <c r="AB314" s="23">
        <f t="shared" si="553"/>
        <v>0</v>
      </c>
      <c r="AC314" s="23">
        <f t="shared" si="553"/>
        <v>0</v>
      </c>
      <c r="AD314" s="23">
        <f t="shared" si="553"/>
        <v>0</v>
      </c>
      <c r="AE314" s="23">
        <f t="shared" si="553"/>
        <v>0</v>
      </c>
      <c r="AF314" s="23">
        <f t="shared" si="553"/>
        <v>0</v>
      </c>
      <c r="AG314" s="23">
        <f t="shared" si="553"/>
        <v>0</v>
      </c>
      <c r="AH314" s="23">
        <f t="shared" si="553"/>
        <v>0</v>
      </c>
      <c r="AI314" s="23">
        <f t="shared" si="553"/>
        <v>0</v>
      </c>
      <c r="AJ314" s="23">
        <f t="shared" si="553"/>
        <v>0</v>
      </c>
      <c r="AK314" s="23">
        <f t="shared" si="553"/>
        <v>0</v>
      </c>
      <c r="AL314" s="23">
        <f t="shared" si="553"/>
        <v>0</v>
      </c>
      <c r="AM314" s="23">
        <f t="shared" si="553"/>
        <v>0</v>
      </c>
      <c r="AN314" s="23"/>
      <c r="AO314" s="23">
        <f t="shared" si="553"/>
        <v>0</v>
      </c>
      <c r="AP314" s="47"/>
      <c r="AQ314" s="23"/>
      <c r="AR314" s="33"/>
      <c r="AS314" s="33"/>
    </row>
    <row r="315" spans="1:45" x14ac:dyDescent="0.25">
      <c r="A315" s="162"/>
      <c r="B315" s="163"/>
      <c r="C315" s="164"/>
      <c r="D315" s="35" t="s">
        <v>120</v>
      </c>
      <c r="E315" s="23"/>
      <c r="F315" s="23">
        <f t="shared" si="551"/>
        <v>2274.5999999999995</v>
      </c>
      <c r="G315" s="23"/>
      <c r="H315" s="23"/>
      <c r="I315" s="23"/>
      <c r="J315" s="23"/>
      <c r="K315" s="23"/>
      <c r="L315" s="23"/>
      <c r="M315" s="23"/>
      <c r="N315" s="23"/>
      <c r="O315" s="23">
        <f>O77</f>
        <v>464.6</v>
      </c>
      <c r="P315" s="23"/>
      <c r="Q315" s="23"/>
      <c r="R315" s="23">
        <f>R77</f>
        <v>0</v>
      </c>
      <c r="S315" s="23"/>
      <c r="T315" s="23"/>
      <c r="U315" s="23">
        <f>U77</f>
        <v>0</v>
      </c>
      <c r="V315" s="23"/>
      <c r="W315" s="23"/>
      <c r="X315" s="23">
        <f>X77</f>
        <v>233.2</v>
      </c>
      <c r="Y315" s="23"/>
      <c r="Z315" s="23"/>
      <c r="AA315" s="23">
        <f>AA77</f>
        <v>372.8</v>
      </c>
      <c r="AB315" s="23"/>
      <c r="AC315" s="23"/>
      <c r="AD315" s="23">
        <f>AD77</f>
        <v>352.7</v>
      </c>
      <c r="AE315" s="23"/>
      <c r="AF315" s="23"/>
      <c r="AG315" s="23">
        <f>AG77</f>
        <v>130.30000000000001</v>
      </c>
      <c r="AH315" s="23"/>
      <c r="AI315" s="23"/>
      <c r="AJ315" s="23">
        <f>AJ88</f>
        <v>437.1</v>
      </c>
      <c r="AK315" s="23"/>
      <c r="AL315" s="23"/>
      <c r="AM315" s="23">
        <f>AM77</f>
        <v>159.69999999999999</v>
      </c>
      <c r="AN315" s="23"/>
      <c r="AO315" s="23"/>
      <c r="AP315" s="23">
        <f>AP77</f>
        <v>124.2</v>
      </c>
      <c r="AQ315" s="23"/>
      <c r="AR315" s="33"/>
      <c r="AS315" s="33"/>
    </row>
    <row r="316" spans="1:45" ht="15.75" customHeight="1" x14ac:dyDescent="0.25">
      <c r="A316" s="156" t="s">
        <v>116</v>
      </c>
      <c r="B316" s="157"/>
      <c r="C316" s="158"/>
      <c r="D316" s="35" t="s">
        <v>3</v>
      </c>
      <c r="E316" s="23">
        <f>H316+K316+N316+Q316+T316+W316+Z316+AC316+AF316+AI316+AL316+AO316</f>
        <v>209363.9</v>
      </c>
      <c r="F316" s="23">
        <f t="shared" si="551"/>
        <v>209103.3</v>
      </c>
      <c r="G316" s="23">
        <f>F316/E316*100</f>
        <v>99.875527729470065</v>
      </c>
      <c r="H316" s="23">
        <f>H317+H318+H319+H320</f>
        <v>0</v>
      </c>
      <c r="I316" s="23">
        <f>I317+I318+I319+I320</f>
        <v>0</v>
      </c>
      <c r="J316" s="23"/>
      <c r="K316" s="23">
        <f>K317+K318+K319+K320</f>
        <v>0</v>
      </c>
      <c r="L316" s="23">
        <f>L317+L318+L319+L320</f>
        <v>0</v>
      </c>
      <c r="M316" s="23"/>
      <c r="N316" s="23">
        <f>N317+N318+N319+N320</f>
        <v>0</v>
      </c>
      <c r="O316" s="23">
        <f>O317+O318+O319+O320</f>
        <v>0</v>
      </c>
      <c r="P316" s="23"/>
      <c r="Q316" s="23">
        <f>Q317+Q318+Q319+Q320</f>
        <v>22013.7</v>
      </c>
      <c r="R316" s="23">
        <f>R317+R318+R319+R320</f>
        <v>22013.7</v>
      </c>
      <c r="S316" s="23">
        <f>R316/Q316*100</f>
        <v>100</v>
      </c>
      <c r="T316" s="23">
        <f>T317+T318+T319+T320</f>
        <v>39999.800000000003</v>
      </c>
      <c r="U316" s="23">
        <f>U317+U318+U319+U320</f>
        <v>39999.800000000003</v>
      </c>
      <c r="V316" s="23">
        <f>U316/T316*100</f>
        <v>100</v>
      </c>
      <c r="W316" s="23">
        <f>W317+W318+W319+W320</f>
        <v>54899.9</v>
      </c>
      <c r="X316" s="23">
        <f>X317+X318+X319+X320</f>
        <v>54899.9</v>
      </c>
      <c r="Y316" s="23">
        <f>X316/W316*100</f>
        <v>100</v>
      </c>
      <c r="Z316" s="23">
        <f>Z317+Z318+Z319+Z320</f>
        <v>54133</v>
      </c>
      <c r="AA316" s="23">
        <f>AA317+AA318+AA319+AA320</f>
        <v>11793.4</v>
      </c>
      <c r="AB316" s="23">
        <f>AA316/Z316*100</f>
        <v>21.785971588495002</v>
      </c>
      <c r="AC316" s="23">
        <f>AC317+AC318+AC319+AC320</f>
        <v>1553.4</v>
      </c>
      <c r="AD316" s="23">
        <f>AD317+AD318+AD319+AD320</f>
        <v>895.3</v>
      </c>
      <c r="AE316" s="23">
        <f>AD316/AC316*100</f>
        <v>57.634865456418169</v>
      </c>
      <c r="AF316" s="23">
        <f>AF317+AF318+AF319+AF320</f>
        <v>0</v>
      </c>
      <c r="AG316" s="23">
        <f>AG317+AG318+AG319+AG320</f>
        <v>33428.300000000003</v>
      </c>
      <c r="AH316" s="23"/>
      <c r="AI316" s="23">
        <f>AI317+AI318+AI319+AI320</f>
        <v>464</v>
      </c>
      <c r="AJ316" s="23">
        <f>AJ317+AJ318+AJ319+AJ320</f>
        <v>779.8</v>
      </c>
      <c r="AK316" s="23">
        <f>AJ316/AI316*100</f>
        <v>168.06034482758619</v>
      </c>
      <c r="AL316" s="23">
        <f>AL317+AL318+AL319+AL320</f>
        <v>36300.100000000006</v>
      </c>
      <c r="AM316" s="23">
        <f>AM317+AM318+AM319+AM320</f>
        <v>40400.9</v>
      </c>
      <c r="AN316" s="23">
        <f>AM316/AL316*100</f>
        <v>111.29693857592677</v>
      </c>
      <c r="AO316" s="23">
        <f>AO317+AO318+AO319+AO320</f>
        <v>0</v>
      </c>
      <c r="AP316" s="23">
        <f>AP317+AP318+AP319+AP320</f>
        <v>4892.2</v>
      </c>
      <c r="AQ316" s="23"/>
      <c r="AR316" s="33"/>
      <c r="AS316" s="33"/>
    </row>
    <row r="317" spans="1:45" ht="29.45" customHeight="1" x14ac:dyDescent="0.25">
      <c r="A317" s="159"/>
      <c r="B317" s="160"/>
      <c r="C317" s="161"/>
      <c r="D317" s="35" t="s">
        <v>20</v>
      </c>
      <c r="E317" s="23">
        <f t="shared" ref="E317:E320" si="568">H317+K317+N317+Q317+T317+W317+Z317+AC317+AF317+AI317+AL317+AO317</f>
        <v>56413.8</v>
      </c>
      <c r="F317" s="23">
        <f t="shared" si="551"/>
        <v>56296.500000000007</v>
      </c>
      <c r="G317" s="23">
        <f t="shared" ref="G317:G319" si="569">F317/E317*100</f>
        <v>99.792072152558418</v>
      </c>
      <c r="H317" s="23"/>
      <c r="I317" s="23"/>
      <c r="J317" s="23"/>
      <c r="K317" s="23"/>
      <c r="L317" s="23"/>
      <c r="M317" s="23"/>
      <c r="N317" s="23"/>
      <c r="O317" s="23"/>
      <c r="P317" s="23"/>
      <c r="Q317" s="23">
        <f t="shared" ref="Q317:R319" si="570">Q47+Q68</f>
        <v>8915.5</v>
      </c>
      <c r="R317" s="23">
        <f t="shared" si="570"/>
        <v>8915.5</v>
      </c>
      <c r="S317" s="23">
        <f t="shared" ref="S317:S319" si="571">R317/Q317*100</f>
        <v>100</v>
      </c>
      <c r="T317" s="23">
        <f t="shared" ref="T317:U319" si="572">T47+T68</f>
        <v>11340</v>
      </c>
      <c r="U317" s="23">
        <f t="shared" si="572"/>
        <v>11340</v>
      </c>
      <c r="V317" s="23">
        <f t="shared" ref="V317:V319" si="573">U317/T317*100</f>
        <v>100</v>
      </c>
      <c r="W317" s="23">
        <f t="shared" ref="W317:X319" si="574">W47+W68</f>
        <v>16490.5</v>
      </c>
      <c r="X317" s="23">
        <f t="shared" si="574"/>
        <v>16490.5</v>
      </c>
      <c r="Y317" s="23">
        <f t="shared" ref="Y317:Y319" si="575">X317/W317*100</f>
        <v>100</v>
      </c>
      <c r="Z317" s="23">
        <f>Z47+Z68</f>
        <v>19667.8</v>
      </c>
      <c r="AA317" s="23">
        <f>AA47+AA68</f>
        <v>4776.3</v>
      </c>
      <c r="AB317" s="23">
        <f t="shared" ref="AB317:AB319" si="576">AA317/Z317*100</f>
        <v>24.284871719256859</v>
      </c>
      <c r="AC317" s="23">
        <f>AC47+AC68</f>
        <v>0</v>
      </c>
      <c r="AD317" s="23">
        <f>AD47+AD68</f>
        <v>362.6</v>
      </c>
      <c r="AE317" s="23"/>
      <c r="AF317" s="23">
        <f>AF47+AF68</f>
        <v>0</v>
      </c>
      <c r="AG317" s="23">
        <f>AG47+AG68</f>
        <v>10878.5</v>
      </c>
      <c r="AH317" s="23"/>
      <c r="AI317" s="23">
        <f>AI47+AI68</f>
        <v>0</v>
      </c>
      <c r="AJ317" s="23">
        <f>AJ47+AJ68</f>
        <v>315.8</v>
      </c>
      <c r="AK317" s="23"/>
      <c r="AL317" s="23">
        <f>AL47+AL68</f>
        <v>0</v>
      </c>
      <c r="AM317" s="23">
        <f>AM47+AM68</f>
        <v>1236</v>
      </c>
      <c r="AN317" s="23"/>
      <c r="AO317" s="23">
        <f>AO47+AO68</f>
        <v>0</v>
      </c>
      <c r="AP317" s="23">
        <f>AP47+AP68</f>
        <v>1981.3</v>
      </c>
      <c r="AQ317" s="23"/>
      <c r="AR317" s="33"/>
      <c r="AS317" s="116" t="s">
        <v>210</v>
      </c>
    </row>
    <row r="318" spans="1:45" ht="29.45" customHeight="1" x14ac:dyDescent="0.25">
      <c r="A318" s="159"/>
      <c r="B318" s="160"/>
      <c r="C318" s="161"/>
      <c r="D318" s="35" t="s">
        <v>4</v>
      </c>
      <c r="E318" s="23">
        <f t="shared" si="568"/>
        <v>127265.3</v>
      </c>
      <c r="F318" s="23">
        <f t="shared" si="551"/>
        <v>127121.99999999999</v>
      </c>
      <c r="G318" s="23">
        <f t="shared" si="569"/>
        <v>99.887400571876213</v>
      </c>
      <c r="H318" s="23">
        <f t="shared" ref="H318:O319" si="577">H48+H69</f>
        <v>0</v>
      </c>
      <c r="I318" s="23">
        <f t="shared" si="577"/>
        <v>0</v>
      </c>
      <c r="J318" s="23">
        <f t="shared" si="577"/>
        <v>0</v>
      </c>
      <c r="K318" s="23">
        <f t="shared" si="577"/>
        <v>0</v>
      </c>
      <c r="L318" s="23">
        <f t="shared" si="577"/>
        <v>0</v>
      </c>
      <c r="M318" s="23">
        <f t="shared" si="577"/>
        <v>0</v>
      </c>
      <c r="N318" s="23">
        <f t="shared" si="577"/>
        <v>0</v>
      </c>
      <c r="O318" s="23">
        <f t="shared" si="577"/>
        <v>0</v>
      </c>
      <c r="P318" s="23"/>
      <c r="Q318" s="23">
        <f t="shared" si="570"/>
        <v>10896.8</v>
      </c>
      <c r="R318" s="23">
        <f t="shared" si="570"/>
        <v>10896.8</v>
      </c>
      <c r="S318" s="23">
        <f t="shared" si="571"/>
        <v>100</v>
      </c>
      <c r="T318" s="23">
        <f t="shared" si="572"/>
        <v>24659.8</v>
      </c>
      <c r="U318" s="23">
        <f t="shared" si="572"/>
        <v>24659.8</v>
      </c>
      <c r="V318" s="23">
        <f t="shared" si="573"/>
        <v>100</v>
      </c>
      <c r="W318" s="23">
        <f t="shared" si="574"/>
        <v>32919.5</v>
      </c>
      <c r="X318" s="23">
        <f t="shared" si="574"/>
        <v>32919.5</v>
      </c>
      <c r="Y318" s="23">
        <f t="shared" si="575"/>
        <v>100</v>
      </c>
      <c r="Z318" s="23">
        <f t="shared" ref="Z318:AA318" si="578">Z48+Z69</f>
        <v>24038.399999999998</v>
      </c>
      <c r="AA318" s="23">
        <f t="shared" si="578"/>
        <v>5837.7</v>
      </c>
      <c r="AB318" s="23">
        <f t="shared" si="576"/>
        <v>24.284894169329075</v>
      </c>
      <c r="AC318" s="23">
        <f t="shared" ref="AC318:AD318" si="579">AC48+AC69</f>
        <v>0</v>
      </c>
      <c r="AD318" s="23">
        <f t="shared" si="579"/>
        <v>443.2</v>
      </c>
      <c r="AE318" s="23"/>
      <c r="AF318" s="23">
        <f t="shared" ref="AF318:AG318" si="580">AF48+AF69</f>
        <v>0</v>
      </c>
      <c r="AG318" s="23">
        <f t="shared" si="580"/>
        <v>13295.9</v>
      </c>
      <c r="AH318" s="23"/>
      <c r="AI318" s="23">
        <f t="shared" ref="AI318:AJ318" si="581">AI48+AI69</f>
        <v>386</v>
      </c>
      <c r="AJ318" s="23">
        <f t="shared" si="581"/>
        <v>386</v>
      </c>
      <c r="AK318" s="23"/>
      <c r="AL318" s="23">
        <f t="shared" ref="AL318:AM318" si="582">AL48+AL69</f>
        <v>34364.800000000003</v>
      </c>
      <c r="AM318" s="23">
        <f t="shared" si="582"/>
        <v>36261.4</v>
      </c>
      <c r="AN318" s="23">
        <f t="shared" ref="AN318:AN319" si="583">AM318/AL318*100</f>
        <v>105.51901946177485</v>
      </c>
      <c r="AO318" s="23">
        <f t="shared" ref="AO318:AP318" si="584">AO48+AO69</f>
        <v>0</v>
      </c>
      <c r="AP318" s="23">
        <f t="shared" si="584"/>
        <v>2421.6999999999998</v>
      </c>
      <c r="AQ318" s="23"/>
      <c r="AR318" s="33"/>
      <c r="AS318" s="118"/>
    </row>
    <row r="319" spans="1:45" ht="29.45" customHeight="1" x14ac:dyDescent="0.25">
      <c r="A319" s="159"/>
      <c r="B319" s="160"/>
      <c r="C319" s="161"/>
      <c r="D319" s="35" t="s">
        <v>43</v>
      </c>
      <c r="E319" s="23">
        <f t="shared" si="568"/>
        <v>25684.799999999999</v>
      </c>
      <c r="F319" s="23">
        <f t="shared" si="551"/>
        <v>25684.799999999999</v>
      </c>
      <c r="G319" s="23">
        <f t="shared" si="569"/>
        <v>100</v>
      </c>
      <c r="H319" s="23">
        <f t="shared" si="577"/>
        <v>0</v>
      </c>
      <c r="I319" s="23">
        <f t="shared" si="577"/>
        <v>0</v>
      </c>
      <c r="J319" s="23">
        <f t="shared" si="577"/>
        <v>0</v>
      </c>
      <c r="K319" s="23">
        <f t="shared" si="577"/>
        <v>0</v>
      </c>
      <c r="L319" s="23">
        <f t="shared" si="577"/>
        <v>0</v>
      </c>
      <c r="M319" s="23">
        <f t="shared" si="577"/>
        <v>0</v>
      </c>
      <c r="N319" s="23">
        <f t="shared" si="577"/>
        <v>0</v>
      </c>
      <c r="O319" s="23">
        <f t="shared" si="577"/>
        <v>0</v>
      </c>
      <c r="P319" s="23"/>
      <c r="Q319" s="23">
        <f t="shared" si="570"/>
        <v>2201.4</v>
      </c>
      <c r="R319" s="23">
        <f t="shared" si="570"/>
        <v>2201.4</v>
      </c>
      <c r="S319" s="23">
        <f t="shared" si="571"/>
        <v>100</v>
      </c>
      <c r="T319" s="23">
        <f t="shared" si="572"/>
        <v>4000</v>
      </c>
      <c r="U319" s="23">
        <f t="shared" si="572"/>
        <v>4000</v>
      </c>
      <c r="V319" s="23">
        <f t="shared" si="573"/>
        <v>100</v>
      </c>
      <c r="W319" s="23">
        <f t="shared" si="574"/>
        <v>5489.9</v>
      </c>
      <c r="X319" s="23">
        <f t="shared" si="574"/>
        <v>5489.9</v>
      </c>
      <c r="Y319" s="23">
        <f t="shared" si="575"/>
        <v>100</v>
      </c>
      <c r="Z319" s="23">
        <f t="shared" ref="Z319:AA319" si="585">Z49+Z70</f>
        <v>10426.799999999999</v>
      </c>
      <c r="AA319" s="23">
        <f t="shared" si="585"/>
        <v>1179.4000000000001</v>
      </c>
      <c r="AB319" s="23">
        <f t="shared" si="576"/>
        <v>11.311236429201674</v>
      </c>
      <c r="AC319" s="23">
        <f t="shared" ref="AC319:AD319" si="586">AC49+AC70</f>
        <v>1553.4</v>
      </c>
      <c r="AD319" s="23">
        <f t="shared" si="586"/>
        <v>89.5</v>
      </c>
      <c r="AE319" s="23">
        <f t="shared" ref="AE319" si="587">AD319/AC319*100</f>
        <v>5.7615552980558773</v>
      </c>
      <c r="AF319" s="23">
        <f t="shared" ref="AF319:AG319" si="588">AF49+AF70</f>
        <v>0</v>
      </c>
      <c r="AG319" s="23">
        <f t="shared" si="588"/>
        <v>9253.9</v>
      </c>
      <c r="AH319" s="23"/>
      <c r="AI319" s="23">
        <f t="shared" ref="AI319:AJ319" si="589">AI49+AI70</f>
        <v>78</v>
      </c>
      <c r="AJ319" s="23">
        <f t="shared" si="589"/>
        <v>78</v>
      </c>
      <c r="AK319" s="23">
        <f t="shared" ref="AK319" si="590">AJ319/AI319*100</f>
        <v>100</v>
      </c>
      <c r="AL319" s="23">
        <f t="shared" ref="AL319:AM319" si="591">AL49+AL70</f>
        <v>1935.3000000000002</v>
      </c>
      <c r="AM319" s="23">
        <f t="shared" si="591"/>
        <v>2903.5</v>
      </c>
      <c r="AN319" s="23">
        <f t="shared" si="583"/>
        <v>150.02841936650645</v>
      </c>
      <c r="AO319" s="23">
        <f t="shared" ref="AO319:AP319" si="592">AO49+AO70</f>
        <v>0</v>
      </c>
      <c r="AP319" s="23">
        <f t="shared" si="592"/>
        <v>489.2</v>
      </c>
      <c r="AQ319" s="23"/>
      <c r="AR319" s="33"/>
      <c r="AS319" s="117"/>
    </row>
    <row r="320" spans="1:45" ht="14.25" customHeight="1" x14ac:dyDescent="0.25">
      <c r="A320" s="159"/>
      <c r="B320" s="160"/>
      <c r="C320" s="161"/>
      <c r="D320" s="35" t="s">
        <v>21</v>
      </c>
      <c r="E320" s="23">
        <f t="shared" si="568"/>
        <v>0</v>
      </c>
      <c r="F320" s="23">
        <f t="shared" si="551"/>
        <v>0</v>
      </c>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33"/>
      <c r="AS320" s="33"/>
    </row>
    <row r="321" spans="1:67" ht="14.25" customHeight="1" x14ac:dyDescent="0.25">
      <c r="A321" s="162"/>
      <c r="B321" s="163"/>
      <c r="C321" s="164"/>
      <c r="D321" s="35" t="s">
        <v>120</v>
      </c>
      <c r="E321" s="23"/>
      <c r="F321" s="23">
        <f t="shared" si="551"/>
        <v>21446</v>
      </c>
      <c r="G321" s="23"/>
      <c r="H321" s="23"/>
      <c r="I321" s="23"/>
      <c r="J321" s="23"/>
      <c r="K321" s="23"/>
      <c r="L321" s="23"/>
      <c r="M321" s="23"/>
      <c r="N321" s="23"/>
      <c r="O321" s="23">
        <f>O51</f>
        <v>3766.1</v>
      </c>
      <c r="P321" s="23"/>
      <c r="Q321" s="23"/>
      <c r="R321" s="23">
        <f>R51</f>
        <v>835.4</v>
      </c>
      <c r="S321" s="23"/>
      <c r="T321" s="23"/>
      <c r="U321" s="23">
        <f>U51</f>
        <v>3742.8</v>
      </c>
      <c r="V321" s="23"/>
      <c r="W321" s="23"/>
      <c r="X321" s="23">
        <f>X51</f>
        <v>0</v>
      </c>
      <c r="Y321" s="23"/>
      <c r="Z321" s="23"/>
      <c r="AA321" s="23">
        <f>AA51</f>
        <v>0</v>
      </c>
      <c r="AB321" s="23"/>
      <c r="AC321" s="23"/>
      <c r="AD321" s="23">
        <f>AD51</f>
        <v>0</v>
      </c>
      <c r="AE321" s="23"/>
      <c r="AF321" s="23"/>
      <c r="AG321" s="23">
        <f>AG51</f>
        <v>11236.7</v>
      </c>
      <c r="AH321" s="23"/>
      <c r="AI321" s="23"/>
      <c r="AJ321" s="23">
        <f>AJ51</f>
        <v>0</v>
      </c>
      <c r="AK321" s="23"/>
      <c r="AL321" s="23"/>
      <c r="AM321" s="23">
        <f>AM51</f>
        <v>0</v>
      </c>
      <c r="AN321" s="23"/>
      <c r="AO321" s="23"/>
      <c r="AP321" s="23">
        <f>AP51</f>
        <v>1865</v>
      </c>
      <c r="AQ321" s="23"/>
      <c r="AR321" s="33"/>
      <c r="AS321" s="33"/>
    </row>
    <row r="322" spans="1:67" ht="14.25" customHeight="1" x14ac:dyDescent="0.25">
      <c r="A322" s="142" t="s">
        <v>118</v>
      </c>
      <c r="B322" s="142"/>
      <c r="C322" s="142"/>
      <c r="D322" s="35" t="s">
        <v>3</v>
      </c>
      <c r="E322" s="23">
        <f>H322+K322+N322+Q322+T322+W322+Z322+AC322+AF322+AI322+AL322+AO322</f>
        <v>2855.1</v>
      </c>
      <c r="F322" s="23">
        <f t="shared" si="551"/>
        <v>2855.0997500000003</v>
      </c>
      <c r="G322" s="23">
        <f>F322/E322*100</f>
        <v>99.999991243739288</v>
      </c>
      <c r="H322" s="23">
        <f>H323+H324+H325+H326</f>
        <v>0</v>
      </c>
      <c r="I322" s="23">
        <f>I323+I324+I325+I326</f>
        <v>0</v>
      </c>
      <c r="J322" s="23"/>
      <c r="K322" s="23">
        <f>K323+K324+K325+K326</f>
        <v>0</v>
      </c>
      <c r="L322" s="23">
        <f>L323+L324+L325+L326</f>
        <v>0</v>
      </c>
      <c r="M322" s="23"/>
      <c r="N322" s="23">
        <f>N323+N324+N325+N326</f>
        <v>211.8</v>
      </c>
      <c r="O322" s="23">
        <f>O323+O324+O325+O326</f>
        <v>119.7</v>
      </c>
      <c r="P322" s="23">
        <f>O322/N322*100</f>
        <v>56.515580736543903</v>
      </c>
      <c r="Q322" s="23">
        <f>Q323+Q324+Q325+Q326</f>
        <v>321.8</v>
      </c>
      <c r="R322" s="23">
        <f>R323+R324+R325+R326</f>
        <v>321.8</v>
      </c>
      <c r="S322" s="23">
        <f>R322/Q322*100</f>
        <v>100</v>
      </c>
      <c r="T322" s="23">
        <f>T323+T324+T325+T326</f>
        <v>0</v>
      </c>
      <c r="U322" s="23">
        <f>U323+U324+U325+U326</f>
        <v>0</v>
      </c>
      <c r="V322" s="23"/>
      <c r="W322" s="23">
        <f>W323+W324+W325+W326</f>
        <v>456.79999999999995</v>
      </c>
      <c r="X322" s="23">
        <f>X323+X324+X325+X326</f>
        <v>548.9</v>
      </c>
      <c r="Y322" s="23">
        <f>X322/W322*100</f>
        <v>120.16199649737305</v>
      </c>
      <c r="Z322" s="23">
        <f>Z323+Z324+Z325+Z326</f>
        <v>1369.8000000000002</v>
      </c>
      <c r="AA322" s="23">
        <f>AA323+AA324+AA325+AA326</f>
        <v>1369.7997500000001</v>
      </c>
      <c r="AB322" s="23">
        <f>AA322/Z322*100</f>
        <v>99.999981749160455</v>
      </c>
      <c r="AC322" s="23">
        <f>AC323+AC324+AC325+AC326</f>
        <v>0</v>
      </c>
      <c r="AD322" s="23">
        <f>AD323+AD324+AD325+AD326</f>
        <v>0</v>
      </c>
      <c r="AE322" s="23"/>
      <c r="AF322" s="23">
        <f>AF323+AF324+AF325+AF326</f>
        <v>0</v>
      </c>
      <c r="AG322" s="23">
        <f>AG323+AG324+AG325+AG326</f>
        <v>0</v>
      </c>
      <c r="AH322" s="23"/>
      <c r="AI322" s="23">
        <f>AI323+AI324+AI325+AI326</f>
        <v>226.70000000000002</v>
      </c>
      <c r="AJ322" s="23">
        <f>AJ323+AJ324+AJ325+AJ326</f>
        <v>2.4</v>
      </c>
      <c r="AK322" s="23">
        <f>AJ322/AI322*100</f>
        <v>1.0586678429642697</v>
      </c>
      <c r="AL322" s="23">
        <f>AL323+AL324+AL325+AL326</f>
        <v>268.2</v>
      </c>
      <c r="AM322" s="23">
        <f>AM323+AM324+AM325+AM326</f>
        <v>492.5</v>
      </c>
      <c r="AN322" s="23">
        <f>AM322/AL322*100</f>
        <v>183.63161819537657</v>
      </c>
      <c r="AO322" s="23">
        <f>AO323+AO324+AO325+AO326</f>
        <v>0</v>
      </c>
      <c r="AP322" s="42"/>
      <c r="AQ322" s="23"/>
      <c r="AR322" s="33"/>
      <c r="AS322" s="33"/>
    </row>
    <row r="323" spans="1:67" ht="13.9" customHeight="1" x14ac:dyDescent="0.25">
      <c r="A323" s="142"/>
      <c r="B323" s="142"/>
      <c r="C323" s="142"/>
      <c r="D323" s="35" t="s">
        <v>20</v>
      </c>
      <c r="E323" s="23">
        <f t="shared" ref="E323:E326" si="593">H323+K323+N323+Q323+T323+W323+Z323+AC323+AF323+AI323+AL323+AO323</f>
        <v>0</v>
      </c>
      <c r="F323" s="23">
        <f t="shared" si="551"/>
        <v>0</v>
      </c>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42"/>
      <c r="AQ323" s="22"/>
      <c r="AR323" s="33"/>
      <c r="AS323" s="33"/>
    </row>
    <row r="324" spans="1:67" ht="25.15" customHeight="1" x14ac:dyDescent="0.25">
      <c r="A324" s="142"/>
      <c r="B324" s="142"/>
      <c r="C324" s="142"/>
      <c r="D324" s="35" t="s">
        <v>4</v>
      </c>
      <c r="E324" s="23">
        <f t="shared" si="593"/>
        <v>1537.9</v>
      </c>
      <c r="F324" s="23">
        <f t="shared" si="551"/>
        <v>1537.89975</v>
      </c>
      <c r="G324" s="23">
        <f t="shared" ref="G324:G325" si="594">F324/E324*100</f>
        <v>99.999983744066583</v>
      </c>
      <c r="H324" s="23"/>
      <c r="I324" s="23"/>
      <c r="J324" s="23"/>
      <c r="K324" s="23"/>
      <c r="L324" s="23"/>
      <c r="M324" s="23"/>
      <c r="N324" s="23"/>
      <c r="O324" s="23"/>
      <c r="P324" s="23"/>
      <c r="Q324" s="23">
        <v>261</v>
      </c>
      <c r="R324" s="23">
        <v>261</v>
      </c>
      <c r="S324" s="23">
        <f t="shared" ref="S324:S325" si="595">R324/Q324*100</f>
        <v>100</v>
      </c>
      <c r="T324" s="23"/>
      <c r="U324" s="23"/>
      <c r="V324" s="23"/>
      <c r="W324" s="23">
        <f>146.1-146</f>
        <v>9.9999999999994316E-2</v>
      </c>
      <c r="X324" s="23">
        <v>0.1</v>
      </c>
      <c r="Y324" s="23">
        <f t="shared" ref="Y324:Y325" si="596">X324/W324*100</f>
        <v>100.00000000000568</v>
      </c>
      <c r="Z324" s="23">
        <f>1168.7-65.5+3.8-91.2</f>
        <v>1015.8</v>
      </c>
      <c r="AA324" s="23">
        <v>1015.79975</v>
      </c>
      <c r="AB324" s="23">
        <f t="shared" ref="AB324:AB325" si="597">AA324/Z324*100</f>
        <v>99.999975388856072</v>
      </c>
      <c r="AC324" s="23"/>
      <c r="AD324" s="23"/>
      <c r="AE324" s="23"/>
      <c r="AF324" s="23"/>
      <c r="AG324" s="23"/>
      <c r="AH324" s="23"/>
      <c r="AI324" s="23">
        <f>64.9+196.1-3.8-107.7+0.1</f>
        <v>149.6</v>
      </c>
      <c r="AJ324" s="23">
        <v>0</v>
      </c>
      <c r="AK324" s="23">
        <f t="shared" ref="AK324:AK325" si="598">AJ324/AI324*100</f>
        <v>0</v>
      </c>
      <c r="AL324" s="23">
        <f>146.2-34.8</f>
        <v>111.39999999999999</v>
      </c>
      <c r="AM324" s="23">
        <v>261</v>
      </c>
      <c r="AN324" s="23">
        <f t="shared" ref="AN324:AN325" si="599">AM324/AL324*100</f>
        <v>234.29084380610416</v>
      </c>
      <c r="AO324" s="23"/>
      <c r="AP324" s="42"/>
      <c r="AQ324" s="22"/>
      <c r="AR324" s="79" t="s">
        <v>150</v>
      </c>
      <c r="AS324" s="59"/>
    </row>
    <row r="325" spans="1:67" ht="84" x14ac:dyDescent="0.25">
      <c r="A325" s="142"/>
      <c r="B325" s="142"/>
      <c r="C325" s="142"/>
      <c r="D325" s="35" t="s">
        <v>43</v>
      </c>
      <c r="E325" s="23">
        <f t="shared" si="593"/>
        <v>1317.2</v>
      </c>
      <c r="F325" s="23">
        <f t="shared" si="551"/>
        <v>1317.2</v>
      </c>
      <c r="G325" s="23">
        <f t="shared" si="594"/>
        <v>100</v>
      </c>
      <c r="H325" s="23"/>
      <c r="I325" s="23"/>
      <c r="J325" s="23"/>
      <c r="K325" s="23"/>
      <c r="L325" s="23"/>
      <c r="M325" s="23"/>
      <c r="N325" s="23">
        <f>197.9+13.9</f>
        <v>211.8</v>
      </c>
      <c r="O325" s="23">
        <v>119.7</v>
      </c>
      <c r="P325" s="23">
        <f t="shared" ref="P325" si="600">O325/N325*100</f>
        <v>56.515580736543903</v>
      </c>
      <c r="Q325" s="23">
        <v>60.8</v>
      </c>
      <c r="R325" s="23">
        <v>60.8</v>
      </c>
      <c r="S325" s="23">
        <f t="shared" si="595"/>
        <v>100</v>
      </c>
      <c r="T325" s="23"/>
      <c r="U325" s="23"/>
      <c r="V325" s="23"/>
      <c r="W325" s="23">
        <f>548.8-92.1</f>
        <v>456.69999999999993</v>
      </c>
      <c r="X325" s="23">
        <v>548.79999999999995</v>
      </c>
      <c r="Y325" s="23">
        <f t="shared" si="596"/>
        <v>120.16641121086053</v>
      </c>
      <c r="Z325" s="23">
        <f>716.7+163.1+0.7-757.8+231.3</f>
        <v>354.00000000000017</v>
      </c>
      <c r="AA325" s="23">
        <v>354</v>
      </c>
      <c r="AB325" s="23">
        <f t="shared" si="597"/>
        <v>99.999999999999957</v>
      </c>
      <c r="AC325" s="23"/>
      <c r="AD325" s="23"/>
      <c r="AE325" s="23"/>
      <c r="AF325" s="23"/>
      <c r="AG325" s="23"/>
      <c r="AH325" s="23"/>
      <c r="AI325" s="23">
        <f>82.4+239.7-0.7-13-231.3</f>
        <v>77.100000000000023</v>
      </c>
      <c r="AJ325" s="23">
        <v>2.4</v>
      </c>
      <c r="AK325" s="23">
        <f t="shared" si="598"/>
        <v>3.1128404669260692</v>
      </c>
      <c r="AL325" s="23">
        <f>163-6.2</f>
        <v>156.80000000000001</v>
      </c>
      <c r="AM325" s="23">
        <f>244.5-13</f>
        <v>231.5</v>
      </c>
      <c r="AN325" s="23">
        <f t="shared" si="599"/>
        <v>147.64030612244895</v>
      </c>
      <c r="AO325" s="23"/>
      <c r="AP325" s="42"/>
      <c r="AQ325" s="22"/>
      <c r="AR325" s="89" t="s">
        <v>151</v>
      </c>
      <c r="AS325" s="59" t="s">
        <v>298</v>
      </c>
    </row>
    <row r="326" spans="1:67" ht="14.25" customHeight="1" x14ac:dyDescent="0.25">
      <c r="A326" s="142"/>
      <c r="B326" s="142"/>
      <c r="C326" s="142"/>
      <c r="D326" s="35" t="s">
        <v>21</v>
      </c>
      <c r="E326" s="23">
        <f t="shared" si="593"/>
        <v>0</v>
      </c>
      <c r="F326" s="23">
        <f t="shared" si="551"/>
        <v>0</v>
      </c>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42"/>
      <c r="AQ326" s="25"/>
      <c r="AR326" s="33"/>
      <c r="AS326" s="33"/>
    </row>
    <row r="327" spans="1:67" ht="15.75" x14ac:dyDescent="0.25">
      <c r="A327" s="48"/>
    </row>
    <row r="328" spans="1:67" ht="15.75" x14ac:dyDescent="0.25">
      <c r="A328" s="48"/>
      <c r="D328" s="60"/>
      <c r="E328" s="60"/>
      <c r="F328" s="60"/>
      <c r="G328" s="60"/>
      <c r="H328" s="60"/>
      <c r="N328" s="56"/>
    </row>
    <row r="329" spans="1:67" s="8" customFormat="1" ht="68.25" customHeight="1" x14ac:dyDescent="0.25">
      <c r="A329" s="1"/>
      <c r="B329" s="2" t="s">
        <v>205</v>
      </c>
      <c r="C329" s="2"/>
      <c r="D329" s="73"/>
      <c r="E329" s="74"/>
      <c r="F329" s="74"/>
      <c r="G329" s="74"/>
      <c r="H329" s="75"/>
      <c r="I329" s="20"/>
      <c r="J329" s="20"/>
      <c r="K329" s="3" t="s">
        <v>145</v>
      </c>
      <c r="L329" s="3"/>
      <c r="M329" s="3"/>
      <c r="Q329" s="4"/>
      <c r="R329" s="4"/>
      <c r="S329" s="4"/>
      <c r="T329" s="4"/>
      <c r="U329" s="4"/>
      <c r="V329" s="4"/>
      <c r="W329" s="4"/>
      <c r="X329" s="4"/>
      <c r="Y329" s="4"/>
      <c r="Z329" s="4"/>
      <c r="AA329" s="4"/>
      <c r="AB329" s="4"/>
      <c r="AC329" s="4"/>
      <c r="AD329" s="4"/>
      <c r="AE329" s="4"/>
      <c r="AF329" s="2"/>
      <c r="AG329" s="2"/>
      <c r="AH329" s="2"/>
      <c r="AI329" s="2"/>
      <c r="AJ329" s="2"/>
      <c r="AK329" s="2"/>
      <c r="AL329" s="5"/>
      <c r="AM329" s="5"/>
      <c r="AN329" s="5"/>
      <c r="AO329" s="5" t="s">
        <v>37</v>
      </c>
      <c r="AP329" s="5"/>
      <c r="AQ329" s="5"/>
      <c r="AR329" s="11"/>
      <c r="AS329" s="11"/>
      <c r="AT329" s="6"/>
      <c r="AU329" s="6"/>
      <c r="AV329" s="6"/>
      <c r="AW329" s="6"/>
      <c r="AX329" s="6"/>
      <c r="AY329" s="6"/>
      <c r="AZ329" s="6"/>
      <c r="BA329" s="6"/>
      <c r="BB329" s="6"/>
      <c r="BC329" s="6"/>
      <c r="BD329" s="6"/>
      <c r="BE329" s="6"/>
      <c r="BF329" s="6"/>
      <c r="BG329" s="6"/>
      <c r="BH329" s="6"/>
      <c r="BI329" s="6"/>
      <c r="BJ329" s="6"/>
      <c r="BK329" s="6"/>
      <c r="BL329" s="7"/>
      <c r="BM329" s="7"/>
      <c r="BN329" s="7"/>
      <c r="BO329" s="7"/>
    </row>
    <row r="330" spans="1:67" s="8" customFormat="1" ht="83.25" customHeight="1" x14ac:dyDescent="0.25">
      <c r="A330" s="1"/>
      <c r="B330" s="78" t="s">
        <v>204</v>
      </c>
      <c r="C330" s="61"/>
      <c r="D330" s="62"/>
      <c r="E330" s="63"/>
      <c r="F330" s="63"/>
      <c r="G330" s="63"/>
      <c r="H330" s="64"/>
      <c r="I330" s="65"/>
      <c r="J330" s="65"/>
      <c r="K330" s="66" t="s">
        <v>134</v>
      </c>
      <c r="L330" s="67"/>
      <c r="M330" s="67"/>
      <c r="N330" s="68"/>
      <c r="O330" s="68"/>
      <c r="P330" s="68"/>
      <c r="Q330" s="68"/>
      <c r="R330" s="68"/>
      <c r="S330" s="68"/>
      <c r="T330" s="69"/>
      <c r="U330" s="69"/>
      <c r="V330" s="69"/>
      <c r="W330" s="69"/>
      <c r="X330" s="69"/>
      <c r="Y330" s="69"/>
      <c r="Z330" s="69"/>
      <c r="AA330" s="69"/>
      <c r="AB330" s="69"/>
      <c r="AC330" s="69"/>
      <c r="AD330" s="69"/>
      <c r="AE330" s="69"/>
      <c r="AF330" s="61"/>
      <c r="AG330" s="61"/>
      <c r="AH330" s="61"/>
      <c r="AI330" s="61"/>
      <c r="AJ330" s="61"/>
      <c r="AK330" s="61"/>
      <c r="AL330" s="68"/>
      <c r="AM330" s="68"/>
      <c r="AN330" s="68"/>
      <c r="AO330" s="70" t="s">
        <v>38</v>
      </c>
      <c r="AR330" s="11"/>
      <c r="AS330" s="11"/>
      <c r="AT330" s="6"/>
      <c r="AU330" s="6"/>
      <c r="AV330" s="6"/>
      <c r="AW330" s="6"/>
      <c r="AX330" s="6"/>
      <c r="AY330" s="6"/>
      <c r="AZ330" s="6"/>
      <c r="BA330" s="6"/>
      <c r="BB330" s="9"/>
      <c r="BC330" s="9"/>
      <c r="BD330" s="9"/>
      <c r="BE330" s="9"/>
      <c r="BF330" s="9"/>
      <c r="BG330" s="9"/>
      <c r="BH330" s="9"/>
      <c r="BI330" s="10"/>
      <c r="BJ330" s="10"/>
      <c r="BK330" s="10"/>
      <c r="BL330" s="7"/>
      <c r="BM330" s="7"/>
      <c r="BN330" s="7"/>
      <c r="BO330" s="7"/>
    </row>
    <row r="331" spans="1:67" ht="46.5" customHeight="1" x14ac:dyDescent="0.25">
      <c r="Z331" s="77"/>
      <c r="AA331" s="77"/>
      <c r="AB331" s="77"/>
      <c r="AC331" s="77"/>
      <c r="AD331" s="77"/>
      <c r="AE331" s="77"/>
      <c r="AF331" s="77"/>
      <c r="AG331" s="77"/>
      <c r="AH331" s="77"/>
      <c r="AI331" s="77"/>
      <c r="AJ331" s="71"/>
      <c r="AK331" s="71"/>
      <c r="AL331" s="71"/>
      <c r="AM331" s="71"/>
      <c r="AN331" s="71"/>
      <c r="AO331" s="72" t="s">
        <v>119</v>
      </c>
    </row>
    <row r="332" spans="1:67" ht="15.75" customHeight="1" x14ac:dyDescent="0.25"/>
    <row r="333" spans="1:67" s="12" customFormat="1" ht="14.25" customHeight="1" x14ac:dyDescent="0.2">
      <c r="A333" s="14" t="s">
        <v>39</v>
      </c>
      <c r="B333" s="14"/>
      <c r="C333" s="91"/>
      <c r="D333" s="13"/>
      <c r="E333" s="15"/>
      <c r="F333" s="15"/>
      <c r="G333" s="15"/>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1"/>
      <c r="AS333" s="11"/>
      <c r="AT333" s="6"/>
      <c r="AU333" s="6"/>
      <c r="AV333" s="6"/>
      <c r="AW333" s="6"/>
      <c r="AX333" s="6"/>
      <c r="AY333" s="6"/>
      <c r="AZ333" s="6"/>
      <c r="BA333" s="6"/>
      <c r="BB333" s="11"/>
      <c r="BC333" s="11"/>
      <c r="BD333" s="11"/>
      <c r="BE333" s="6"/>
      <c r="BF333" s="6"/>
      <c r="BG333" s="6"/>
      <c r="BH333" s="10"/>
      <c r="BI333" s="10"/>
      <c r="BJ333" s="10"/>
      <c r="BK333" s="10"/>
      <c r="BL333" s="7"/>
      <c r="BM333" s="7"/>
      <c r="BN333" s="7"/>
      <c r="BO333" s="16"/>
    </row>
    <row r="334" spans="1:67" s="12" customFormat="1" x14ac:dyDescent="0.25">
      <c r="A334" s="141" t="s">
        <v>206</v>
      </c>
      <c r="B334" s="141"/>
      <c r="C334" s="141"/>
      <c r="D334" s="141"/>
      <c r="E334" s="141"/>
      <c r="F334" s="141"/>
      <c r="G334" s="141"/>
      <c r="H334" s="141"/>
      <c r="I334" s="141"/>
      <c r="J334" s="141"/>
      <c r="K334" s="141"/>
      <c r="L334" s="91"/>
      <c r="M334" s="91"/>
      <c r="N334" s="18"/>
      <c r="O334" s="18"/>
      <c r="P334" s="18"/>
      <c r="Q334" s="11"/>
      <c r="R334" s="11"/>
      <c r="S334" s="11"/>
      <c r="T334" s="11"/>
      <c r="U334" s="11"/>
      <c r="V334" s="11"/>
      <c r="W334" s="19"/>
      <c r="X334" s="19"/>
      <c r="Y334" s="19"/>
      <c r="Z334" s="11"/>
      <c r="AA334" s="11"/>
      <c r="AB334" s="11"/>
      <c r="AC334" s="11"/>
      <c r="AD334" s="11"/>
      <c r="AE334" s="11"/>
      <c r="AF334" s="18"/>
      <c r="AG334" s="18"/>
      <c r="AH334" s="18"/>
      <c r="AI334" s="11"/>
      <c r="AJ334" s="11"/>
      <c r="AK334" s="11"/>
      <c r="AL334" s="11"/>
      <c r="AM334" s="11"/>
      <c r="AN334" s="11"/>
      <c r="AO334" s="18"/>
      <c r="AP334" s="18"/>
      <c r="AQ334" s="18"/>
      <c r="AR334" s="11"/>
      <c r="AS334" s="11"/>
      <c r="AT334" s="6"/>
      <c r="AU334" s="6"/>
      <c r="AV334" s="6"/>
      <c r="AW334" s="6"/>
      <c r="AX334" s="6"/>
      <c r="AY334" s="6"/>
      <c r="AZ334" s="6"/>
      <c r="BA334" s="6"/>
      <c r="BB334" s="11"/>
      <c r="BC334" s="11"/>
      <c r="BD334" s="11"/>
      <c r="BE334" s="6"/>
      <c r="BF334" s="6"/>
      <c r="BG334" s="6"/>
      <c r="BH334" s="10"/>
      <c r="BI334" s="10"/>
      <c r="BJ334" s="10"/>
      <c r="BK334" s="10"/>
      <c r="BL334" s="7"/>
      <c r="BM334" s="7"/>
      <c r="BN334" s="7"/>
    </row>
  </sheetData>
  <mergeCells count="199">
    <mergeCell ref="AS27:AS28"/>
    <mergeCell ref="AS74:AS75"/>
    <mergeCell ref="AS122:AS123"/>
    <mergeCell ref="AS255:AS256"/>
    <mergeCell ref="AS311:AS313"/>
    <mergeCell ref="AS317:AS319"/>
    <mergeCell ref="AS156:AS157"/>
    <mergeCell ref="A259:A263"/>
    <mergeCell ref="B259:B263"/>
    <mergeCell ref="C259:C263"/>
    <mergeCell ref="AS47:AS49"/>
    <mergeCell ref="AR223:AR225"/>
    <mergeCell ref="AS223:AS225"/>
    <mergeCell ref="A155:A159"/>
    <mergeCell ref="B155:B159"/>
    <mergeCell ref="C155:C159"/>
    <mergeCell ref="AR228:AR230"/>
    <mergeCell ref="AS228:AS230"/>
    <mergeCell ref="A196:C200"/>
    <mergeCell ref="A202:A206"/>
    <mergeCell ref="B202:B206"/>
    <mergeCell ref="C202:C206"/>
    <mergeCell ref="A207:A211"/>
    <mergeCell ref="B207:B211"/>
    <mergeCell ref="C207:C211"/>
    <mergeCell ref="A212:A216"/>
    <mergeCell ref="A253:A258"/>
    <mergeCell ref="B253:B258"/>
    <mergeCell ref="C253:C258"/>
    <mergeCell ref="B217:B221"/>
    <mergeCell ref="A264:C269"/>
    <mergeCell ref="A271:A275"/>
    <mergeCell ref="B271:B275"/>
    <mergeCell ref="C271:C275"/>
    <mergeCell ref="AR12:AR13"/>
    <mergeCell ref="AR17:AR18"/>
    <mergeCell ref="AR156:AR157"/>
    <mergeCell ref="AR245:AR246"/>
    <mergeCell ref="A238:A242"/>
    <mergeCell ref="B238:B242"/>
    <mergeCell ref="C238:C242"/>
    <mergeCell ref="A248:A252"/>
    <mergeCell ref="B248:B252"/>
    <mergeCell ref="C248:C252"/>
    <mergeCell ref="A222:A226"/>
    <mergeCell ref="B222:B226"/>
    <mergeCell ref="C222:C226"/>
    <mergeCell ref="A243:A247"/>
    <mergeCell ref="B243:B247"/>
    <mergeCell ref="C243:C247"/>
    <mergeCell ref="A232:C236"/>
    <mergeCell ref="B212:B216"/>
    <mergeCell ref="C212:C216"/>
    <mergeCell ref="A217:A221"/>
    <mergeCell ref="C217:C221"/>
    <mergeCell ref="A227:A231"/>
    <mergeCell ref="B227:B231"/>
    <mergeCell ref="C227:C231"/>
    <mergeCell ref="A334:K334"/>
    <mergeCell ref="A281:A285"/>
    <mergeCell ref="B281:B285"/>
    <mergeCell ref="C281:C285"/>
    <mergeCell ref="A286:C290"/>
    <mergeCell ref="A291:C296"/>
    <mergeCell ref="A297:C302"/>
    <mergeCell ref="A276:A280"/>
    <mergeCell ref="B276:B280"/>
    <mergeCell ref="C276:C280"/>
    <mergeCell ref="A309:C309"/>
    <mergeCell ref="A310:C315"/>
    <mergeCell ref="A316:C321"/>
    <mergeCell ref="A322:C326"/>
    <mergeCell ref="A303:C308"/>
    <mergeCell ref="A186:A190"/>
    <mergeCell ref="B186:B190"/>
    <mergeCell ref="C186:C190"/>
    <mergeCell ref="A191:A195"/>
    <mergeCell ref="B191:B195"/>
    <mergeCell ref="C191:C195"/>
    <mergeCell ref="A176:A180"/>
    <mergeCell ref="B176:B180"/>
    <mergeCell ref="C176:C180"/>
    <mergeCell ref="A181:A185"/>
    <mergeCell ref="B181:B185"/>
    <mergeCell ref="C181:C185"/>
    <mergeCell ref="A160:C164"/>
    <mergeCell ref="A166:A170"/>
    <mergeCell ref="B166:B170"/>
    <mergeCell ref="C166:C170"/>
    <mergeCell ref="A171:A175"/>
    <mergeCell ref="B171:B175"/>
    <mergeCell ref="C171:C175"/>
    <mergeCell ref="A145:A149"/>
    <mergeCell ref="B145:B149"/>
    <mergeCell ref="C145:C149"/>
    <mergeCell ref="A150:A154"/>
    <mergeCell ref="B150:B154"/>
    <mergeCell ref="C150:C154"/>
    <mergeCell ref="A135:A139"/>
    <mergeCell ref="B135:B139"/>
    <mergeCell ref="C135:C139"/>
    <mergeCell ref="A140:A144"/>
    <mergeCell ref="B140:B144"/>
    <mergeCell ref="C140:C144"/>
    <mergeCell ref="A120:A124"/>
    <mergeCell ref="B120:B124"/>
    <mergeCell ref="C120:C124"/>
    <mergeCell ref="A130:A134"/>
    <mergeCell ref="B130:B134"/>
    <mergeCell ref="C130:C134"/>
    <mergeCell ref="A110:A114"/>
    <mergeCell ref="B110:B114"/>
    <mergeCell ref="C110:C114"/>
    <mergeCell ref="A115:A119"/>
    <mergeCell ref="B115:B119"/>
    <mergeCell ref="C115:C119"/>
    <mergeCell ref="A125:A129"/>
    <mergeCell ref="B125:B129"/>
    <mergeCell ref="C125:C129"/>
    <mergeCell ref="A100:A104"/>
    <mergeCell ref="B100:B104"/>
    <mergeCell ref="C100:C104"/>
    <mergeCell ref="A105:A109"/>
    <mergeCell ref="B105:B109"/>
    <mergeCell ref="C105:C109"/>
    <mergeCell ref="A83:C88"/>
    <mergeCell ref="A90:A94"/>
    <mergeCell ref="B90:B94"/>
    <mergeCell ref="C90:C94"/>
    <mergeCell ref="A95:A99"/>
    <mergeCell ref="B95:B99"/>
    <mergeCell ref="C95:C99"/>
    <mergeCell ref="A72:A77"/>
    <mergeCell ref="B72:B77"/>
    <mergeCell ref="A78:A82"/>
    <mergeCell ref="B78:B82"/>
    <mergeCell ref="C78:C82"/>
    <mergeCell ref="A62:A66"/>
    <mergeCell ref="B62:B66"/>
    <mergeCell ref="C62:C66"/>
    <mergeCell ref="A67:A71"/>
    <mergeCell ref="B67:B71"/>
    <mergeCell ref="C67:C71"/>
    <mergeCell ref="C72:C77"/>
    <mergeCell ref="A52:A56"/>
    <mergeCell ref="B52:B56"/>
    <mergeCell ref="C52:C56"/>
    <mergeCell ref="A57:A61"/>
    <mergeCell ref="B57:B61"/>
    <mergeCell ref="C57:C61"/>
    <mergeCell ref="A35:C39"/>
    <mergeCell ref="A41:A45"/>
    <mergeCell ref="B41:B45"/>
    <mergeCell ref="C41:C45"/>
    <mergeCell ref="A46:A51"/>
    <mergeCell ref="B46:B51"/>
    <mergeCell ref="C46:C51"/>
    <mergeCell ref="Q7:S7"/>
    <mergeCell ref="T7:V7"/>
    <mergeCell ref="W7:Y7"/>
    <mergeCell ref="A25:A29"/>
    <mergeCell ref="B25:B29"/>
    <mergeCell ref="C25:C29"/>
    <mergeCell ref="A30:A34"/>
    <mergeCell ref="B30:B34"/>
    <mergeCell ref="C30:C34"/>
    <mergeCell ref="A10:A14"/>
    <mergeCell ref="B10:B14"/>
    <mergeCell ref="C10:C14"/>
    <mergeCell ref="A20:A24"/>
    <mergeCell ref="B20:B24"/>
    <mergeCell ref="C20:C24"/>
    <mergeCell ref="A15:A19"/>
    <mergeCell ref="B15:B19"/>
    <mergeCell ref="C15:C19"/>
    <mergeCell ref="AS12:AS13"/>
    <mergeCell ref="AS17:AS18"/>
    <mergeCell ref="AS240:AS241"/>
    <mergeCell ref="AS245:AS246"/>
    <mergeCell ref="AR47:AR49"/>
    <mergeCell ref="A2:AS2"/>
    <mergeCell ref="A4:AS4"/>
    <mergeCell ref="A6:A8"/>
    <mergeCell ref="B6:B8"/>
    <mergeCell ref="C6:C8"/>
    <mergeCell ref="D6:D8"/>
    <mergeCell ref="E6:G7"/>
    <mergeCell ref="H6:AQ6"/>
    <mergeCell ref="AR6:AR8"/>
    <mergeCell ref="AS6:AS8"/>
    <mergeCell ref="Z7:AB7"/>
    <mergeCell ref="AC7:AE7"/>
    <mergeCell ref="AF7:AH7"/>
    <mergeCell ref="AI7:AK7"/>
    <mergeCell ref="AL7:AN7"/>
    <mergeCell ref="AO7:AQ7"/>
    <mergeCell ref="H7:J7"/>
    <mergeCell ref="K7:M7"/>
    <mergeCell ref="N7:P7"/>
  </mergeCells>
  <pageMargins left="0.25" right="0.25" top="0.75" bottom="0.75" header="0.3" footer="0.3"/>
  <pageSetup paperSize="9" scale="30" fitToHeight="7"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6"/>
  <sheetViews>
    <sheetView workbookViewId="0">
      <selection activeCell="B19" sqref="B19"/>
    </sheetView>
  </sheetViews>
  <sheetFormatPr defaultColWidth="8.85546875" defaultRowHeight="15" x14ac:dyDescent="0.25"/>
  <cols>
    <col min="1" max="1" width="4.7109375" style="26" customWidth="1"/>
    <col min="2" max="2" width="65.5703125" style="26" customWidth="1"/>
    <col min="3" max="3" width="9.28515625" style="26" customWidth="1"/>
    <col min="4" max="5" width="10.42578125" style="26" customWidth="1"/>
    <col min="6" max="6" width="12.7109375" style="26" customWidth="1"/>
    <col min="7" max="7" width="64.28515625" style="26" customWidth="1"/>
    <col min="8" max="16384" width="8.85546875" style="26"/>
  </cols>
  <sheetData>
    <row r="1" spans="1:7" ht="15.75" x14ac:dyDescent="0.25">
      <c r="A1" s="172" t="s">
        <v>212</v>
      </c>
      <c r="B1" s="172"/>
      <c r="C1" s="172"/>
      <c r="D1" s="172"/>
      <c r="E1" s="172"/>
      <c r="F1" s="172"/>
      <c r="G1" s="172"/>
    </row>
    <row r="2" spans="1:7" ht="15.75" x14ac:dyDescent="0.25">
      <c r="A2" s="173" t="s">
        <v>213</v>
      </c>
      <c r="B2" s="173"/>
      <c r="C2" s="173"/>
      <c r="D2" s="173"/>
      <c r="E2" s="173"/>
      <c r="F2" s="173"/>
      <c r="G2" s="173"/>
    </row>
    <row r="3" spans="1:7" ht="15.75" x14ac:dyDescent="0.25">
      <c r="A3" s="173" t="s">
        <v>289</v>
      </c>
      <c r="B3" s="173"/>
      <c r="C3" s="173"/>
      <c r="D3" s="173"/>
      <c r="E3" s="173"/>
      <c r="F3" s="173"/>
      <c r="G3" s="173"/>
    </row>
    <row r="4" spans="1:7" ht="15.75" x14ac:dyDescent="0.25">
      <c r="A4" s="94"/>
    </row>
    <row r="5" spans="1:7" ht="62.25" customHeight="1" x14ac:dyDescent="0.25">
      <c r="A5" s="174" t="s">
        <v>214</v>
      </c>
      <c r="B5" s="176" t="s">
        <v>215</v>
      </c>
      <c r="C5" s="176" t="s">
        <v>216</v>
      </c>
      <c r="D5" s="176" t="s">
        <v>217</v>
      </c>
      <c r="E5" s="176"/>
      <c r="F5" s="176" t="s">
        <v>218</v>
      </c>
      <c r="G5" s="174" t="s">
        <v>219</v>
      </c>
    </row>
    <row r="6" spans="1:7" ht="47.25" x14ac:dyDescent="0.25">
      <c r="A6" s="175"/>
      <c r="B6" s="176"/>
      <c r="C6" s="176"/>
      <c r="D6" s="95" t="s">
        <v>220</v>
      </c>
      <c r="E6" s="95" t="s">
        <v>221</v>
      </c>
      <c r="F6" s="176"/>
      <c r="G6" s="175"/>
    </row>
    <row r="7" spans="1:7" x14ac:dyDescent="0.25">
      <c r="A7" s="96">
        <v>1</v>
      </c>
      <c r="B7" s="96">
        <v>2</v>
      </c>
      <c r="C7" s="96">
        <v>3</v>
      </c>
      <c r="D7" s="96">
        <v>4</v>
      </c>
      <c r="E7" s="96">
        <v>5</v>
      </c>
      <c r="F7" s="96">
        <v>6</v>
      </c>
      <c r="G7" s="96">
        <v>7</v>
      </c>
    </row>
    <row r="8" spans="1:7" ht="63.6" customHeight="1" x14ac:dyDescent="0.25">
      <c r="A8" s="97" t="s">
        <v>222</v>
      </c>
      <c r="B8" s="98" t="s">
        <v>223</v>
      </c>
      <c r="C8" s="95" t="s">
        <v>224</v>
      </c>
      <c r="D8" s="115">
        <v>413</v>
      </c>
      <c r="E8" s="115">
        <v>422</v>
      </c>
      <c r="F8" s="99">
        <f>E8/D8*100</f>
        <v>102.17917675544794</v>
      </c>
      <c r="G8" s="100" t="s">
        <v>225</v>
      </c>
    </row>
    <row r="9" spans="1:7" ht="63.6" customHeight="1" x14ac:dyDescent="0.25">
      <c r="A9" s="97" t="s">
        <v>226</v>
      </c>
      <c r="B9" s="101" t="s">
        <v>227</v>
      </c>
      <c r="C9" s="102" t="s">
        <v>228</v>
      </c>
      <c r="D9" s="114">
        <v>0</v>
      </c>
      <c r="E9" s="114">
        <v>0</v>
      </c>
      <c r="F9" s="103">
        <v>100</v>
      </c>
      <c r="G9" s="101" t="s">
        <v>307</v>
      </c>
    </row>
    <row r="10" spans="1:7" ht="64.5" customHeight="1" x14ac:dyDescent="0.25">
      <c r="A10" s="104" t="s">
        <v>229</v>
      </c>
      <c r="B10" s="100" t="s">
        <v>292</v>
      </c>
      <c r="C10" s="95" t="s">
        <v>228</v>
      </c>
      <c r="D10" s="115">
        <v>73.099999999999994</v>
      </c>
      <c r="E10" s="115">
        <v>74.05</v>
      </c>
      <c r="F10" s="99">
        <f>E10/D10*100</f>
        <v>101.29958960328318</v>
      </c>
      <c r="G10" s="100" t="s">
        <v>308</v>
      </c>
    </row>
    <row r="11" spans="1:7" ht="48.75" customHeight="1" x14ac:dyDescent="0.25">
      <c r="A11" s="104" t="s">
        <v>230</v>
      </c>
      <c r="B11" s="98" t="s">
        <v>231</v>
      </c>
      <c r="C11" s="95" t="s">
        <v>228</v>
      </c>
      <c r="D11" s="115">
        <v>0</v>
      </c>
      <c r="E11" s="115">
        <v>0</v>
      </c>
      <c r="F11" s="99">
        <v>100</v>
      </c>
      <c r="G11" s="98" t="s">
        <v>307</v>
      </c>
    </row>
    <row r="12" spans="1:7" ht="30.75" customHeight="1" x14ac:dyDescent="0.25">
      <c r="A12" s="104" t="s">
        <v>232</v>
      </c>
      <c r="B12" s="98" t="s">
        <v>233</v>
      </c>
      <c r="C12" s="95" t="s">
        <v>228</v>
      </c>
      <c r="D12" s="115">
        <v>100</v>
      </c>
      <c r="E12" s="115">
        <v>100</v>
      </c>
      <c r="F12" s="99">
        <f>E12/D12*100</f>
        <v>100</v>
      </c>
      <c r="G12" s="100" t="s">
        <v>234</v>
      </c>
    </row>
    <row r="13" spans="1:7" ht="48.75" customHeight="1" x14ac:dyDescent="0.25">
      <c r="A13" s="104" t="s">
        <v>235</v>
      </c>
      <c r="B13" s="98" t="s">
        <v>236</v>
      </c>
      <c r="C13" s="95" t="s">
        <v>228</v>
      </c>
      <c r="D13" s="115">
        <v>96.9</v>
      </c>
      <c r="E13" s="115">
        <v>100</v>
      </c>
      <c r="F13" s="99">
        <f>E13/D13*100</f>
        <v>103.19917440660473</v>
      </c>
      <c r="G13" s="100" t="s">
        <v>225</v>
      </c>
    </row>
    <row r="14" spans="1:7" ht="65.25" customHeight="1" x14ac:dyDescent="0.25">
      <c r="A14" s="104" t="s">
        <v>237</v>
      </c>
      <c r="B14" s="98" t="s">
        <v>238</v>
      </c>
      <c r="C14" s="95" t="s">
        <v>228</v>
      </c>
      <c r="D14" s="115">
        <v>18.5</v>
      </c>
      <c r="E14" s="115">
        <v>25.7</v>
      </c>
      <c r="F14" s="99">
        <f>(100-(E14/D14*100))+100</f>
        <v>61.081081081081066</v>
      </c>
      <c r="G14" s="100" t="s">
        <v>309</v>
      </c>
    </row>
    <row r="15" spans="1:7" ht="63" x14ac:dyDescent="0.25">
      <c r="A15" s="104" t="s">
        <v>239</v>
      </c>
      <c r="B15" s="98" t="s">
        <v>240</v>
      </c>
      <c r="C15" s="95" t="s">
        <v>228</v>
      </c>
      <c r="D15" s="115">
        <v>100</v>
      </c>
      <c r="E15" s="115">
        <v>100</v>
      </c>
      <c r="F15" s="99">
        <f>E15/D15*100</f>
        <v>100</v>
      </c>
      <c r="G15" s="100" t="s">
        <v>234</v>
      </c>
    </row>
    <row r="16" spans="1:7" ht="63" x14ac:dyDescent="0.25">
      <c r="A16" s="104" t="s">
        <v>241</v>
      </c>
      <c r="B16" s="100" t="s">
        <v>242</v>
      </c>
      <c r="C16" s="95" t="s">
        <v>228</v>
      </c>
      <c r="D16" s="115">
        <v>0</v>
      </c>
      <c r="E16" s="115">
        <v>0</v>
      </c>
      <c r="F16" s="99">
        <v>100</v>
      </c>
      <c r="G16" s="100" t="s">
        <v>234</v>
      </c>
    </row>
    <row r="17" spans="1:7" ht="64.5" customHeight="1" x14ac:dyDescent="0.25">
      <c r="A17" s="104" t="s">
        <v>243</v>
      </c>
      <c r="B17" s="100" t="s">
        <v>244</v>
      </c>
      <c r="C17" s="95" t="s">
        <v>228</v>
      </c>
      <c r="D17" s="115">
        <v>12.5</v>
      </c>
      <c r="E17" s="115">
        <v>12.5</v>
      </c>
      <c r="F17" s="99">
        <v>100</v>
      </c>
      <c r="G17" s="100" t="s">
        <v>245</v>
      </c>
    </row>
    <row r="18" spans="1:7" ht="78.75" x14ac:dyDescent="0.25">
      <c r="A18" s="104" t="s">
        <v>246</v>
      </c>
      <c r="B18" s="98" t="s">
        <v>247</v>
      </c>
      <c r="C18" s="95" t="s">
        <v>228</v>
      </c>
      <c r="D18" s="115">
        <v>5.8</v>
      </c>
      <c r="E18" s="115">
        <v>6.7</v>
      </c>
      <c r="F18" s="99">
        <f t="shared" ref="F18:F36" si="0">E18/D18*100</f>
        <v>115.51724137931035</v>
      </c>
      <c r="G18" s="100" t="s">
        <v>310</v>
      </c>
    </row>
    <row r="19" spans="1:7" ht="47.25" x14ac:dyDescent="0.25">
      <c r="A19" s="104" t="s">
        <v>248</v>
      </c>
      <c r="B19" s="98" t="s">
        <v>249</v>
      </c>
      <c r="C19" s="95" t="s">
        <v>228</v>
      </c>
      <c r="D19" s="115">
        <v>24.5</v>
      </c>
      <c r="E19" s="115">
        <v>26.3</v>
      </c>
      <c r="F19" s="99">
        <f t="shared" si="0"/>
        <v>107.34693877551021</v>
      </c>
      <c r="G19" s="100" t="s">
        <v>321</v>
      </c>
    </row>
    <row r="20" spans="1:7" ht="46.5" customHeight="1" x14ac:dyDescent="0.25">
      <c r="A20" s="104" t="s">
        <v>250</v>
      </c>
      <c r="B20" s="98" t="s">
        <v>251</v>
      </c>
      <c r="C20" s="95" t="s">
        <v>228</v>
      </c>
      <c r="D20" s="115">
        <v>75.900000000000006</v>
      </c>
      <c r="E20" s="115">
        <v>75.900000000000006</v>
      </c>
      <c r="F20" s="99">
        <f t="shared" si="0"/>
        <v>100</v>
      </c>
      <c r="G20" s="100" t="s">
        <v>311</v>
      </c>
    </row>
    <row r="21" spans="1:7" ht="49.5" customHeight="1" x14ac:dyDescent="0.25">
      <c r="A21" s="104" t="s">
        <v>252</v>
      </c>
      <c r="B21" s="98" t="s">
        <v>253</v>
      </c>
      <c r="C21" s="95" t="s">
        <v>228</v>
      </c>
      <c r="D21" s="115">
        <v>33.299999999999997</v>
      </c>
      <c r="E21" s="115">
        <v>33.299999999999997</v>
      </c>
      <c r="F21" s="99">
        <f t="shared" si="0"/>
        <v>100</v>
      </c>
      <c r="G21" s="100" t="s">
        <v>312</v>
      </c>
    </row>
    <row r="22" spans="1:7" ht="78.75" customHeight="1" x14ac:dyDescent="0.25">
      <c r="A22" s="104" t="s">
        <v>254</v>
      </c>
      <c r="B22" s="98" t="s">
        <v>255</v>
      </c>
      <c r="C22" s="95" t="s">
        <v>228</v>
      </c>
      <c r="D22" s="115">
        <v>100</v>
      </c>
      <c r="E22" s="115">
        <v>99.1</v>
      </c>
      <c r="F22" s="99">
        <f t="shared" si="0"/>
        <v>99.1</v>
      </c>
      <c r="G22" s="100" t="s">
        <v>313</v>
      </c>
    </row>
    <row r="23" spans="1:7" ht="63" x14ac:dyDescent="0.25">
      <c r="A23" s="104" t="s">
        <v>256</v>
      </c>
      <c r="B23" s="98" t="s">
        <v>257</v>
      </c>
      <c r="C23" s="95" t="s">
        <v>228</v>
      </c>
      <c r="D23" s="115">
        <v>58.2</v>
      </c>
      <c r="E23" s="115">
        <v>60.8</v>
      </c>
      <c r="F23" s="99">
        <f t="shared" si="0"/>
        <v>104.46735395189002</v>
      </c>
      <c r="G23" s="100" t="s">
        <v>314</v>
      </c>
    </row>
    <row r="24" spans="1:7" ht="31.5" x14ac:dyDescent="0.25">
      <c r="A24" s="104" t="s">
        <v>258</v>
      </c>
      <c r="B24" s="100" t="s">
        <v>259</v>
      </c>
      <c r="C24" s="95" t="s">
        <v>228</v>
      </c>
      <c r="D24" s="115">
        <v>86.9</v>
      </c>
      <c r="E24" s="115">
        <v>87.6</v>
      </c>
      <c r="F24" s="99">
        <f t="shared" si="0"/>
        <v>100.80552359033371</v>
      </c>
      <c r="G24" s="100" t="s">
        <v>315</v>
      </c>
    </row>
    <row r="25" spans="1:7" ht="141.75" x14ac:dyDescent="0.25">
      <c r="A25" s="104" t="s">
        <v>295</v>
      </c>
      <c r="B25" s="100" t="s">
        <v>260</v>
      </c>
      <c r="C25" s="95" t="s">
        <v>261</v>
      </c>
      <c r="D25" s="99">
        <v>162.69999999999999</v>
      </c>
      <c r="E25" s="115">
        <v>161.1</v>
      </c>
      <c r="F25" s="99">
        <f t="shared" si="0"/>
        <v>99.016594960049176</v>
      </c>
      <c r="G25" s="100" t="s">
        <v>290</v>
      </c>
    </row>
    <row r="26" spans="1:7" ht="50.25" customHeight="1" x14ac:dyDescent="0.25">
      <c r="A26" s="104" t="s">
        <v>262</v>
      </c>
      <c r="B26" s="98" t="s">
        <v>263</v>
      </c>
      <c r="C26" s="95" t="s">
        <v>264</v>
      </c>
      <c r="D26" s="115">
        <v>1.0281999999999999E-2</v>
      </c>
      <c r="E26" s="115">
        <v>1.0300999999999999E-2</v>
      </c>
      <c r="F26" s="99">
        <f t="shared" si="0"/>
        <v>100.18478895156584</v>
      </c>
      <c r="G26" s="100" t="s">
        <v>225</v>
      </c>
    </row>
    <row r="27" spans="1:7" ht="78.75" x14ac:dyDescent="0.25">
      <c r="A27" s="104" t="s">
        <v>265</v>
      </c>
      <c r="B27" s="98" t="s">
        <v>266</v>
      </c>
      <c r="C27" s="95" t="s">
        <v>228</v>
      </c>
      <c r="D27" s="115">
        <v>20</v>
      </c>
      <c r="E27" s="115">
        <v>50.9</v>
      </c>
      <c r="F27" s="99">
        <f t="shared" si="0"/>
        <v>254.5</v>
      </c>
      <c r="G27" s="100" t="s">
        <v>267</v>
      </c>
    </row>
    <row r="28" spans="1:7" ht="50.25" customHeight="1" x14ac:dyDescent="0.25">
      <c r="A28" s="104" t="s">
        <v>268</v>
      </c>
      <c r="B28" s="98" t="s">
        <v>269</v>
      </c>
      <c r="C28" s="95" t="s">
        <v>228</v>
      </c>
      <c r="D28" s="115">
        <v>84.8</v>
      </c>
      <c r="E28" s="115">
        <v>91.9</v>
      </c>
      <c r="F28" s="99">
        <f t="shared" si="0"/>
        <v>108.37264150943398</v>
      </c>
      <c r="G28" s="100" t="s">
        <v>316</v>
      </c>
    </row>
    <row r="29" spans="1:7" ht="63" x14ac:dyDescent="0.25">
      <c r="A29" s="104" t="s">
        <v>270</v>
      </c>
      <c r="B29" s="100" t="s">
        <v>271</v>
      </c>
      <c r="C29" s="95" t="s">
        <v>228</v>
      </c>
      <c r="D29" s="115">
        <v>6.2</v>
      </c>
      <c r="E29" s="115">
        <v>6.5</v>
      </c>
      <c r="F29" s="99">
        <v>104.8</v>
      </c>
      <c r="G29" s="100" t="s">
        <v>322</v>
      </c>
    </row>
    <row r="30" spans="1:7" ht="47.25" x14ac:dyDescent="0.25">
      <c r="A30" s="104" t="s">
        <v>272</v>
      </c>
      <c r="B30" s="98" t="s">
        <v>273</v>
      </c>
      <c r="C30" s="95" t="s">
        <v>228</v>
      </c>
      <c r="D30" s="115">
        <v>91.9</v>
      </c>
      <c r="E30" s="115">
        <v>97.8</v>
      </c>
      <c r="F30" s="99">
        <f t="shared" si="0"/>
        <v>106.42002176278562</v>
      </c>
      <c r="G30" s="98" t="s">
        <v>317</v>
      </c>
    </row>
    <row r="31" spans="1:7" ht="47.25" x14ac:dyDescent="0.25">
      <c r="A31" s="104" t="s">
        <v>274</v>
      </c>
      <c r="B31" s="98" t="s">
        <v>275</v>
      </c>
      <c r="C31" s="95" t="s">
        <v>228</v>
      </c>
      <c r="D31" s="115">
        <v>72.599999999999994</v>
      </c>
      <c r="E31" s="115">
        <v>72.8</v>
      </c>
      <c r="F31" s="99">
        <f t="shared" si="0"/>
        <v>100.27548209366392</v>
      </c>
      <c r="G31" s="100" t="s">
        <v>318</v>
      </c>
    </row>
    <row r="32" spans="1:7" ht="52.5" customHeight="1" x14ac:dyDescent="0.25">
      <c r="A32" s="104" t="s">
        <v>276</v>
      </c>
      <c r="B32" s="98" t="s">
        <v>277</v>
      </c>
      <c r="C32" s="95" t="s">
        <v>228</v>
      </c>
      <c r="D32" s="115">
        <v>64.5</v>
      </c>
      <c r="E32" s="115">
        <v>65.099999999999994</v>
      </c>
      <c r="F32" s="99">
        <f t="shared" si="0"/>
        <v>100.93023255813954</v>
      </c>
      <c r="G32" s="100" t="s">
        <v>319</v>
      </c>
    </row>
    <row r="33" spans="1:7" ht="79.900000000000006" customHeight="1" x14ac:dyDescent="0.25">
      <c r="A33" s="104" t="s">
        <v>278</v>
      </c>
      <c r="B33" s="98" t="s">
        <v>279</v>
      </c>
      <c r="C33" s="95" t="s">
        <v>264</v>
      </c>
      <c r="D33" s="115">
        <v>1.1355000000000001E-2</v>
      </c>
      <c r="E33" s="115">
        <v>1.2544E-2</v>
      </c>
      <c r="F33" s="99">
        <f t="shared" si="0"/>
        <v>110.4711580801409</v>
      </c>
      <c r="G33" s="100" t="s">
        <v>323</v>
      </c>
    </row>
    <row r="34" spans="1:7" ht="47.25" x14ac:dyDescent="0.25">
      <c r="A34" s="104" t="s">
        <v>280</v>
      </c>
      <c r="B34" s="98" t="s">
        <v>281</v>
      </c>
      <c r="C34" s="95" t="s">
        <v>228</v>
      </c>
      <c r="D34" s="114">
        <v>98</v>
      </c>
      <c r="E34" s="114">
        <v>100.1</v>
      </c>
      <c r="F34" s="103">
        <f t="shared" si="0"/>
        <v>102.14285714285714</v>
      </c>
      <c r="G34" s="100" t="s">
        <v>324</v>
      </c>
    </row>
    <row r="35" spans="1:7" ht="63" x14ac:dyDescent="0.25">
      <c r="A35" s="104" t="s">
        <v>282</v>
      </c>
      <c r="B35" s="98" t="s">
        <v>283</v>
      </c>
      <c r="C35" s="95" t="s">
        <v>228</v>
      </c>
      <c r="D35" s="104">
        <v>43.4</v>
      </c>
      <c r="E35" s="104">
        <v>43.6</v>
      </c>
      <c r="F35" s="103">
        <f t="shared" si="0"/>
        <v>100.46082949308757</v>
      </c>
      <c r="G35" s="100" t="s">
        <v>325</v>
      </c>
    </row>
    <row r="36" spans="1:7" ht="63" x14ac:dyDescent="0.25">
      <c r="A36" s="104" t="s">
        <v>284</v>
      </c>
      <c r="B36" s="98" t="s">
        <v>285</v>
      </c>
      <c r="C36" s="95" t="s">
        <v>228</v>
      </c>
      <c r="D36" s="104">
        <v>14.3</v>
      </c>
      <c r="E36" s="104">
        <v>15.3</v>
      </c>
      <c r="F36" s="105">
        <f t="shared" si="0"/>
        <v>106.993006993007</v>
      </c>
      <c r="G36" s="100" t="s">
        <v>320</v>
      </c>
    </row>
    <row r="37" spans="1:7" ht="31.15" customHeight="1" x14ac:dyDescent="0.25">
      <c r="A37" s="110" t="s">
        <v>291</v>
      </c>
      <c r="B37" s="112" t="s">
        <v>294</v>
      </c>
      <c r="C37" s="95" t="s">
        <v>228</v>
      </c>
      <c r="D37" s="111" t="s">
        <v>293</v>
      </c>
      <c r="E37" s="111" t="s">
        <v>293</v>
      </c>
      <c r="F37" s="111" t="s">
        <v>293</v>
      </c>
      <c r="G37" s="113"/>
    </row>
    <row r="38" spans="1:7" ht="15.75" x14ac:dyDescent="0.25">
      <c r="A38" s="48"/>
    </row>
    <row r="39" spans="1:7" ht="15.75" x14ac:dyDescent="0.25">
      <c r="A39" s="48"/>
    </row>
    <row r="40" spans="1:7" ht="15.75" x14ac:dyDescent="0.25">
      <c r="A40" s="48"/>
    </row>
    <row r="41" spans="1:7" ht="15.75" x14ac:dyDescent="0.25">
      <c r="A41" s="106" t="s">
        <v>286</v>
      </c>
    </row>
    <row r="42" spans="1:7" ht="15.75" x14ac:dyDescent="0.25">
      <c r="A42" s="48"/>
    </row>
    <row r="43" spans="1:7" ht="15.75" x14ac:dyDescent="0.25">
      <c r="A43" s="107" t="s">
        <v>306</v>
      </c>
    </row>
    <row r="44" spans="1:7" x14ac:dyDescent="0.25">
      <c r="A44" s="108"/>
    </row>
    <row r="45" spans="1:7" x14ac:dyDescent="0.25">
      <c r="A45" s="109" t="s">
        <v>287</v>
      </c>
    </row>
    <row r="46" spans="1:7" x14ac:dyDescent="0.25">
      <c r="A46" s="109" t="s">
        <v>288</v>
      </c>
    </row>
  </sheetData>
  <mergeCells count="9">
    <mergeCell ref="A1:G1"/>
    <mergeCell ref="A2:G2"/>
    <mergeCell ref="A3:G3"/>
    <mergeCell ref="A5:A6"/>
    <mergeCell ref="B5:B6"/>
    <mergeCell ref="C5:C6"/>
    <mergeCell ref="D5:E5"/>
    <mergeCell ref="F5:F6"/>
    <mergeCell ref="G5:G6"/>
  </mergeCells>
  <pageMargins left="0.7" right="0.7" top="0.75" bottom="0.75" header="0.3" footer="0.3"/>
  <pageSetup paperSize="9"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Таблица 1</vt:lpstr>
      <vt:lpstr>Таблица 2</vt:lpstr>
      <vt:lpstr>'Таблица 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И.Е. Невская</dc:creator>
  <cp:lastModifiedBy>Невская Ирина Евгеньевна</cp:lastModifiedBy>
  <cp:lastPrinted>2023-01-18T05:39:58Z</cp:lastPrinted>
  <dcterms:created xsi:type="dcterms:W3CDTF">2006-09-28T05:33:00Z</dcterms:created>
  <dcterms:modified xsi:type="dcterms:W3CDTF">2023-04-25T10:10:02Z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1049-10.2.0.6020</vt:lpwstr>
  </property>
</Properties>
</file>