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135" windowWidth="15480" windowHeight="5520" firstSheet="6" activeTab="6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на 01.01.2018" sheetId="34" r:id="rId4"/>
    <sheet name="на 01.02.2018" sheetId="35" r:id="rId5"/>
    <sheet name="на 01.04.2018" sheetId="37" r:id="rId6"/>
    <sheet name="на 01.07.2022" sheetId="46" r:id="rId7"/>
  </sheets>
  <definedNames>
    <definedName name="_xlnm._FilterDatabase" localSheetId="2" hidden="1">'Выполнение работ'!$A$3:$O$70</definedName>
    <definedName name="_xlnm.Print_Titles" localSheetId="2">'Выполнение работ'!$3:$3</definedName>
    <definedName name="_xlnm.Print_Titles" localSheetId="3">'на 01.01.2018'!$5:$6</definedName>
    <definedName name="_xlnm.Print_Titles" localSheetId="6">'на 01.07.2022'!$9:$10</definedName>
    <definedName name="_xlnm.Print_Area" localSheetId="2">'Выполнение работ'!$A$1:$Q$81</definedName>
  </definedNames>
  <calcPr calcId="125725" iterate="1"/>
</workbook>
</file>

<file path=xl/calcChain.xml><?xml version="1.0" encoding="utf-8"?>
<calcChain xmlns="http://schemas.openxmlformats.org/spreadsheetml/2006/main">
  <c r="AT30" i="46"/>
  <c r="AU30"/>
  <c r="V113" l="1"/>
  <c r="S113"/>
  <c r="Y112"/>
  <c r="S112"/>
  <c r="V112"/>
  <c r="V118"/>
  <c r="S118"/>
  <c r="AC117"/>
  <c r="Y117"/>
  <c r="V117"/>
  <c r="Q123"/>
  <c r="W123"/>
  <c r="T123"/>
  <c r="AF123"/>
  <c r="AO123"/>
  <c r="AO122"/>
  <c r="W122"/>
  <c r="Y122" s="1"/>
  <c r="AC133"/>
  <c r="W133"/>
  <c r="T133"/>
  <c r="Q133"/>
  <c r="S133"/>
  <c r="V133"/>
  <c r="V132"/>
  <c r="Y133"/>
  <c r="Y132"/>
  <c r="AF132"/>
  <c r="AL128"/>
  <c r="AF128"/>
  <c r="Q128"/>
  <c r="T128"/>
  <c r="W128"/>
  <c r="AO127"/>
  <c r="Y127"/>
  <c r="V127"/>
  <c r="AF107"/>
  <c r="AC107"/>
  <c r="Z107"/>
  <c r="AO107"/>
  <c r="Y107"/>
  <c r="S107"/>
  <c r="AO19"/>
  <c r="V20"/>
  <c r="Z19"/>
  <c r="T19"/>
  <c r="Q19"/>
  <c r="W19"/>
  <c r="N19"/>
  <c r="K19"/>
  <c r="H19"/>
  <c r="K18"/>
  <c r="N18"/>
  <c r="W18"/>
  <c r="Q18"/>
  <c r="AC18"/>
  <c r="AO18"/>
  <c r="T21"/>
  <c r="W21"/>
  <c r="Q21"/>
  <c r="AC21"/>
  <c r="AO21"/>
  <c r="AO34"/>
  <c r="AC34"/>
  <c r="Z34"/>
  <c r="Q34"/>
  <c r="W34"/>
  <c r="T34"/>
  <c r="AF35"/>
  <c r="AO35"/>
  <c r="AI35"/>
  <c r="Z35"/>
  <c r="W35"/>
  <c r="Q35"/>
  <c r="T35"/>
  <c r="AO40"/>
  <c r="Z40"/>
  <c r="AC40"/>
  <c r="T40"/>
  <c r="W40"/>
  <c r="Q40"/>
  <c r="Y41"/>
  <c r="V41"/>
  <c r="N41"/>
  <c r="T71"/>
  <c r="W71"/>
  <c r="V71"/>
  <c r="P72"/>
  <c r="V30"/>
  <c r="AL25"/>
  <c r="AC25"/>
  <c r="Q25"/>
  <c r="T25"/>
  <c r="N25"/>
  <c r="X104"/>
  <c r="U104"/>
  <c r="R131"/>
  <c r="R104"/>
  <c r="O104"/>
  <c r="L104"/>
  <c r="AP102" l="1"/>
  <c r="K71"/>
  <c r="H71"/>
  <c r="J71" s="1"/>
  <c r="I104"/>
  <c r="AN103"/>
  <c r="I103"/>
  <c r="P113"/>
  <c r="M113"/>
  <c r="S128" l="1"/>
  <c r="AL107" l="1"/>
  <c r="P107"/>
  <c r="AO14" l="1"/>
  <c r="AO78" s="1"/>
  <c r="AM14"/>
  <c r="AM78" s="1"/>
  <c r="AL14"/>
  <c r="AL78" s="1"/>
  <c r="AJ14"/>
  <c r="AJ78" s="1"/>
  <c r="AI14"/>
  <c r="AI78" s="1"/>
  <c r="AH14"/>
  <c r="AH78" s="1"/>
  <c r="AG14"/>
  <c r="AG78" s="1"/>
  <c r="AF14"/>
  <c r="AF78" s="1"/>
  <c r="AE14"/>
  <c r="AE78" s="1"/>
  <c r="AD14"/>
  <c r="AD78" s="1"/>
  <c r="AC14"/>
  <c r="AC78" s="1"/>
  <c r="AB14"/>
  <c r="AB78" s="1"/>
  <c r="AA14"/>
  <c r="AA78" s="1"/>
  <c r="Z14"/>
  <c r="Z78" s="1"/>
  <c r="X14"/>
  <c r="X78" s="1"/>
  <c r="W14"/>
  <c r="W78" s="1"/>
  <c r="V14"/>
  <c r="V78" s="1"/>
  <c r="U14"/>
  <c r="U78" s="1"/>
  <c r="T14"/>
  <c r="T78" s="1"/>
  <c r="R14"/>
  <c r="R78" s="1"/>
  <c r="Q14"/>
  <c r="Q78" s="1"/>
  <c r="O14"/>
  <c r="O78" s="1"/>
  <c r="L14"/>
  <c r="M14" s="1"/>
  <c r="K14"/>
  <c r="K78" s="1"/>
  <c r="I14"/>
  <c r="I78" s="1"/>
  <c r="H14"/>
  <c r="H78" s="1"/>
  <c r="AF19"/>
  <c r="AN20"/>
  <c r="AK20"/>
  <c r="S20"/>
  <c r="F20"/>
  <c r="E20"/>
  <c r="AL18"/>
  <c r="Z18"/>
  <c r="G20" l="1"/>
  <c r="F14"/>
  <c r="L78"/>
  <c r="M78" s="1"/>
  <c r="F78"/>
  <c r="AM17"/>
  <c r="AJ17"/>
  <c r="AG17"/>
  <c r="AD17"/>
  <c r="AA17"/>
  <c r="X17"/>
  <c r="U17"/>
  <c r="R17"/>
  <c r="O17"/>
  <c r="L17"/>
  <c r="K17"/>
  <c r="I17"/>
  <c r="M41"/>
  <c r="N14"/>
  <c r="N78" s="1"/>
  <c r="P78" s="1"/>
  <c r="AL40"/>
  <c r="AL104" s="1"/>
  <c r="AF40"/>
  <c r="AF104" s="1"/>
  <c r="AC104"/>
  <c r="Z104"/>
  <c r="Q104"/>
  <c r="K40"/>
  <c r="K104" s="1"/>
  <c r="H40"/>
  <c r="H104" s="1"/>
  <c r="J104" s="1"/>
  <c r="N40"/>
  <c r="N104" s="1"/>
  <c r="AN41"/>
  <c r="AN14" s="1"/>
  <c r="AK41"/>
  <c r="AK14" s="1"/>
  <c r="Y14"/>
  <c r="S14"/>
  <c r="F41"/>
  <c r="E41"/>
  <c r="AL35"/>
  <c r="N35"/>
  <c r="H25"/>
  <c r="AF25"/>
  <c r="AO25"/>
  <c r="K25"/>
  <c r="AQ64"/>
  <c r="AN64"/>
  <c r="AK64"/>
  <c r="F64"/>
  <c r="E64"/>
  <c r="AO71"/>
  <c r="M71"/>
  <c r="AO69"/>
  <c r="AM69"/>
  <c r="AL69"/>
  <c r="AJ69"/>
  <c r="AI69"/>
  <c r="AH69"/>
  <c r="AG69"/>
  <c r="AF69"/>
  <c r="AE69"/>
  <c r="AD69"/>
  <c r="AC69"/>
  <c r="AB69"/>
  <c r="AA69"/>
  <c r="Z69"/>
  <c r="X69"/>
  <c r="W69"/>
  <c r="V69"/>
  <c r="U69"/>
  <c r="T69"/>
  <c r="R69"/>
  <c r="Q69"/>
  <c r="O69"/>
  <c r="N69"/>
  <c r="L69"/>
  <c r="K69"/>
  <c r="M69" s="1"/>
  <c r="I69"/>
  <c r="H69"/>
  <c r="G64" l="1"/>
  <c r="P41"/>
  <c r="E14"/>
  <c r="G14" s="1"/>
  <c r="E78"/>
  <c r="G78" s="1"/>
  <c r="J40"/>
  <c r="P14"/>
  <c r="G41"/>
  <c r="AQ72"/>
  <c r="AN72"/>
  <c r="AN78" s="1"/>
  <c r="AK72"/>
  <c r="AK78" s="1"/>
  <c r="Y78"/>
  <c r="F72"/>
  <c r="E72"/>
  <c r="F135"/>
  <c r="E135"/>
  <c r="F134"/>
  <c r="E134"/>
  <c r="AQ133"/>
  <c r="F133"/>
  <c r="E133"/>
  <c r="F132"/>
  <c r="E132"/>
  <c r="AP131"/>
  <c r="AO131"/>
  <c r="AM131"/>
  <c r="AL131"/>
  <c r="AJ131"/>
  <c r="AG131"/>
  <c r="AF131"/>
  <c r="AH131" s="1"/>
  <c r="AD131"/>
  <c r="AC131"/>
  <c r="AA131"/>
  <c r="Z131"/>
  <c r="AB131" s="1"/>
  <c r="X131"/>
  <c r="W131"/>
  <c r="U131"/>
  <c r="T131"/>
  <c r="Q131"/>
  <c r="O131"/>
  <c r="N131"/>
  <c r="L131"/>
  <c r="K131"/>
  <c r="I131"/>
  <c r="H131"/>
  <c r="F130"/>
  <c r="E130"/>
  <c r="F129"/>
  <c r="E129"/>
  <c r="AQ128"/>
  <c r="AH128"/>
  <c r="AE128"/>
  <c r="AB128"/>
  <c r="Y128"/>
  <c r="V128"/>
  <c r="P128"/>
  <c r="M128"/>
  <c r="J128"/>
  <c r="F128"/>
  <c r="E128"/>
  <c r="Q126"/>
  <c r="F127"/>
  <c r="E127"/>
  <c r="AP126"/>
  <c r="AO126"/>
  <c r="AM126"/>
  <c r="AL126"/>
  <c r="AJ126"/>
  <c r="AG126"/>
  <c r="AF126"/>
  <c r="AD126"/>
  <c r="AC126"/>
  <c r="AA126"/>
  <c r="Z126"/>
  <c r="X126"/>
  <c r="W126"/>
  <c r="U126"/>
  <c r="T126"/>
  <c r="R126"/>
  <c r="O126"/>
  <c r="N126"/>
  <c r="L126"/>
  <c r="K126"/>
  <c r="I126"/>
  <c r="H126"/>
  <c r="F125"/>
  <c r="E125"/>
  <c r="F124"/>
  <c r="E124"/>
  <c r="AH123"/>
  <c r="AE123"/>
  <c r="AB123"/>
  <c r="Y123"/>
  <c r="V123"/>
  <c r="S123"/>
  <c r="P123"/>
  <c r="M123"/>
  <c r="F123"/>
  <c r="E123"/>
  <c r="AE122"/>
  <c r="AB122"/>
  <c r="F122"/>
  <c r="E122"/>
  <c r="AP121"/>
  <c r="AO121"/>
  <c r="AM121"/>
  <c r="AL121"/>
  <c r="AJ121"/>
  <c r="AI121"/>
  <c r="AG121"/>
  <c r="AF121"/>
  <c r="AD121"/>
  <c r="AC121"/>
  <c r="AA121"/>
  <c r="Z121"/>
  <c r="X121"/>
  <c r="W121"/>
  <c r="U121"/>
  <c r="T121"/>
  <c r="R121"/>
  <c r="Q121"/>
  <c r="O121"/>
  <c r="N121"/>
  <c r="L121"/>
  <c r="K121"/>
  <c r="I121"/>
  <c r="H121"/>
  <c r="F121"/>
  <c r="F120"/>
  <c r="E120"/>
  <c r="F119"/>
  <c r="E119"/>
  <c r="AE118"/>
  <c r="AB118"/>
  <c r="Y118"/>
  <c r="F118"/>
  <c r="E118"/>
  <c r="AH117"/>
  <c r="AE117"/>
  <c r="AB117"/>
  <c r="F117"/>
  <c r="E117"/>
  <c r="AO116"/>
  <c r="AL116"/>
  <c r="AJ116"/>
  <c r="AI116"/>
  <c r="AG116"/>
  <c r="AF116"/>
  <c r="AD116"/>
  <c r="AC116"/>
  <c r="AA116"/>
  <c r="Z116"/>
  <c r="X116"/>
  <c r="W116"/>
  <c r="U116"/>
  <c r="T116"/>
  <c r="R116"/>
  <c r="Q116"/>
  <c r="O116"/>
  <c r="N116"/>
  <c r="L116"/>
  <c r="K116"/>
  <c r="I116"/>
  <c r="H116"/>
  <c r="F115"/>
  <c r="E115"/>
  <c r="F114"/>
  <c r="E114"/>
  <c r="Y113"/>
  <c r="F113"/>
  <c r="E113"/>
  <c r="F112"/>
  <c r="E112"/>
  <c r="E111" s="1"/>
  <c r="AO111"/>
  <c r="AL111"/>
  <c r="AJ111"/>
  <c r="AI111"/>
  <c r="AG111"/>
  <c r="AF111"/>
  <c r="AD111"/>
  <c r="AC111"/>
  <c r="AA111"/>
  <c r="Z111"/>
  <c r="X111"/>
  <c r="W111"/>
  <c r="U111"/>
  <c r="T111"/>
  <c r="V111" s="1"/>
  <c r="R111"/>
  <c r="Q111"/>
  <c r="S111" s="1"/>
  <c r="O111"/>
  <c r="N111"/>
  <c r="L111"/>
  <c r="K111"/>
  <c r="I111"/>
  <c r="H111"/>
  <c r="F110"/>
  <c r="E110"/>
  <c r="F109"/>
  <c r="E109"/>
  <c r="F108"/>
  <c r="E108"/>
  <c r="AN107"/>
  <c r="AK107"/>
  <c r="AH107"/>
  <c r="AE107"/>
  <c r="AB107"/>
  <c r="V107"/>
  <c r="F107"/>
  <c r="E107"/>
  <c r="AP106"/>
  <c r="AO106"/>
  <c r="AM106"/>
  <c r="AL106"/>
  <c r="AN106" s="1"/>
  <c r="AJ106"/>
  <c r="AI106"/>
  <c r="AG106"/>
  <c r="AF106"/>
  <c r="AD106"/>
  <c r="AC106"/>
  <c r="AA106"/>
  <c r="Z106"/>
  <c r="AB106" s="1"/>
  <c r="X106"/>
  <c r="W106"/>
  <c r="Y106" s="1"/>
  <c r="U106"/>
  <c r="T106"/>
  <c r="R106"/>
  <c r="Q106"/>
  <c r="S106" s="1"/>
  <c r="O106"/>
  <c r="N106"/>
  <c r="P106" s="1"/>
  <c r="L106"/>
  <c r="K106"/>
  <c r="I106"/>
  <c r="H106"/>
  <c r="F105"/>
  <c r="E105"/>
  <c r="AL102"/>
  <c r="AF102"/>
  <c r="Z102"/>
  <c r="S104"/>
  <c r="N102"/>
  <c r="K102"/>
  <c r="H102"/>
  <c r="AQ103"/>
  <c r="AK103"/>
  <c r="AH103"/>
  <c r="AE103"/>
  <c r="AB103"/>
  <c r="Y103"/>
  <c r="V103"/>
  <c r="S103"/>
  <c r="P103"/>
  <c r="M103"/>
  <c r="F103"/>
  <c r="E103"/>
  <c r="AC102"/>
  <c r="X102"/>
  <c r="U102"/>
  <c r="R102"/>
  <c r="F101"/>
  <c r="E101"/>
  <c r="AP100"/>
  <c r="AO100"/>
  <c r="AM100"/>
  <c r="AL100"/>
  <c r="AL97" s="1"/>
  <c r="AJ100"/>
  <c r="AI100"/>
  <c r="AI97" s="1"/>
  <c r="AG100"/>
  <c r="AF100"/>
  <c r="AD100"/>
  <c r="AC100"/>
  <c r="AC97" s="1"/>
  <c r="AA100"/>
  <c r="Z100"/>
  <c r="Z97" s="1"/>
  <c r="X100"/>
  <c r="W100"/>
  <c r="U100"/>
  <c r="T100"/>
  <c r="T97" s="1"/>
  <c r="R100"/>
  <c r="Q100"/>
  <c r="Q97" s="1"/>
  <c r="O100"/>
  <c r="N100"/>
  <c r="L100"/>
  <c r="K100"/>
  <c r="K97" s="1"/>
  <c r="I100"/>
  <c r="H100"/>
  <c r="F100"/>
  <c r="E100"/>
  <c r="AQ99"/>
  <c r="AN99"/>
  <c r="AH99"/>
  <c r="AE99"/>
  <c r="AB99"/>
  <c r="Y99"/>
  <c r="V99"/>
  <c r="S99"/>
  <c r="P99"/>
  <c r="M99"/>
  <c r="J99"/>
  <c r="F99"/>
  <c r="AQ98"/>
  <c r="AN98"/>
  <c r="AK98"/>
  <c r="AH98"/>
  <c r="AE98"/>
  <c r="AB98"/>
  <c r="Y98"/>
  <c r="V98"/>
  <c r="S98"/>
  <c r="P98"/>
  <c r="M98"/>
  <c r="I98"/>
  <c r="F98" s="1"/>
  <c r="H98"/>
  <c r="E98" s="1"/>
  <c r="AP97"/>
  <c r="AM97"/>
  <c r="AJ97"/>
  <c r="AG97"/>
  <c r="AD97"/>
  <c r="AA97"/>
  <c r="X97"/>
  <c r="U97"/>
  <c r="R97"/>
  <c r="O97"/>
  <c r="L97"/>
  <c r="H97"/>
  <c r="F96"/>
  <c r="E96"/>
  <c r="F90"/>
  <c r="E90"/>
  <c r="F85"/>
  <c r="E85"/>
  <c r="F84"/>
  <c r="E84"/>
  <c r="F83"/>
  <c r="E83"/>
  <c r="F82"/>
  <c r="E82"/>
  <c r="AP81"/>
  <c r="AO81"/>
  <c r="AM81"/>
  <c r="AL81"/>
  <c r="AJ81"/>
  <c r="AI81"/>
  <c r="AG81"/>
  <c r="AF81"/>
  <c r="AD81"/>
  <c r="AC81"/>
  <c r="AA81"/>
  <c r="Z81"/>
  <c r="X81"/>
  <c r="W81"/>
  <c r="U81"/>
  <c r="T81"/>
  <c r="R81"/>
  <c r="Q81"/>
  <c r="O81"/>
  <c r="N81"/>
  <c r="L81"/>
  <c r="K81"/>
  <c r="I81"/>
  <c r="H81"/>
  <c r="F81"/>
  <c r="E81"/>
  <c r="F80"/>
  <c r="E80"/>
  <c r="F74"/>
  <c r="E74"/>
  <c r="F73"/>
  <c r="E73"/>
  <c r="E65" s="1"/>
  <c r="AQ71"/>
  <c r="AQ69" s="1"/>
  <c r="AN71"/>
  <c r="AN69" s="1"/>
  <c r="AK71"/>
  <c r="AK69" s="1"/>
  <c r="Y71"/>
  <c r="Y69" s="1"/>
  <c r="S71"/>
  <c r="S69" s="1"/>
  <c r="F71"/>
  <c r="E71"/>
  <c r="F70"/>
  <c r="E70"/>
  <c r="E62" s="1"/>
  <c r="AP69"/>
  <c r="F66"/>
  <c r="E66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L65"/>
  <c r="K65"/>
  <c r="J65"/>
  <c r="I65"/>
  <c r="H65"/>
  <c r="F65"/>
  <c r="AQ63"/>
  <c r="AP63"/>
  <c r="AO63"/>
  <c r="AM63"/>
  <c r="AM102" s="1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R63"/>
  <c r="Q63"/>
  <c r="O63"/>
  <c r="N63"/>
  <c r="L63"/>
  <c r="K63"/>
  <c r="I63"/>
  <c r="H63"/>
  <c r="F63"/>
  <c r="AQ62"/>
  <c r="AP62"/>
  <c r="AP61" s="1"/>
  <c r="AO62"/>
  <c r="AN62"/>
  <c r="AM62"/>
  <c r="AL62"/>
  <c r="AL61" s="1"/>
  <c r="AK62"/>
  <c r="AJ62"/>
  <c r="AJ61" s="1"/>
  <c r="AI62"/>
  <c r="AH62"/>
  <c r="AH61" s="1"/>
  <c r="AG62"/>
  <c r="AF62"/>
  <c r="AF61" s="1"/>
  <c r="AE62"/>
  <c r="AD62"/>
  <c r="AD61" s="1"/>
  <c r="AC62"/>
  <c r="AB62"/>
  <c r="AB61" s="1"/>
  <c r="AA62"/>
  <c r="Z62"/>
  <c r="Z61" s="1"/>
  <c r="Y62"/>
  <c r="X62"/>
  <c r="W62"/>
  <c r="V62"/>
  <c r="U62"/>
  <c r="T62"/>
  <c r="S62"/>
  <c r="R62"/>
  <c r="R61" s="1"/>
  <c r="Q62"/>
  <c r="O62"/>
  <c r="O61" s="1"/>
  <c r="N62"/>
  <c r="L62"/>
  <c r="L61" s="1"/>
  <c r="K62"/>
  <c r="I62"/>
  <c r="H62"/>
  <c r="F62"/>
  <c r="AK61"/>
  <c r="U61"/>
  <c r="F60"/>
  <c r="E60"/>
  <c r="F59"/>
  <c r="F53" s="1"/>
  <c r="E59"/>
  <c r="E53" s="1"/>
  <c r="F58"/>
  <c r="F52" s="1"/>
  <c r="E58"/>
  <c r="E52" s="1"/>
  <c r="F57"/>
  <c r="E57"/>
  <c r="AP56"/>
  <c r="AO56"/>
  <c r="AM56"/>
  <c r="AL56"/>
  <c r="AJ56"/>
  <c r="AI56"/>
  <c r="AG56"/>
  <c r="AF56"/>
  <c r="AD56"/>
  <c r="AC56"/>
  <c r="AA56"/>
  <c r="Z56"/>
  <c r="X56"/>
  <c r="W56"/>
  <c r="U56"/>
  <c r="T56"/>
  <c r="R56"/>
  <c r="Q56"/>
  <c r="O56"/>
  <c r="N56"/>
  <c r="L56"/>
  <c r="K56"/>
  <c r="I56"/>
  <c r="H56"/>
  <c r="F56"/>
  <c r="E56"/>
  <c r="F54"/>
  <c r="E54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R53"/>
  <c r="Q53"/>
  <c r="P53"/>
  <c r="O53"/>
  <c r="N53"/>
  <c r="L53"/>
  <c r="K53"/>
  <c r="I53"/>
  <c r="H53"/>
  <c r="AQ52"/>
  <c r="AP52"/>
  <c r="AO52"/>
  <c r="AN52"/>
  <c r="AM52"/>
  <c r="AL52"/>
  <c r="AK52"/>
  <c r="AJ52"/>
  <c r="AI52"/>
  <c r="AH52"/>
  <c r="AG52"/>
  <c r="AF52"/>
  <c r="AD52"/>
  <c r="AC52"/>
  <c r="AB52"/>
  <c r="AA52"/>
  <c r="Z52"/>
  <c r="Y52"/>
  <c r="X52"/>
  <c r="W52"/>
  <c r="V52"/>
  <c r="U52"/>
  <c r="T52"/>
  <c r="R52"/>
  <c r="Q52"/>
  <c r="O52"/>
  <c r="N52"/>
  <c r="L52"/>
  <c r="K52"/>
  <c r="I52"/>
  <c r="H52"/>
  <c r="AQ51"/>
  <c r="AP51"/>
  <c r="AO51"/>
  <c r="AN51"/>
  <c r="AM51"/>
  <c r="AL51"/>
  <c r="AK51"/>
  <c r="AJ51"/>
  <c r="AI51"/>
  <c r="AH51"/>
  <c r="AG51"/>
  <c r="AF51"/>
  <c r="AD51"/>
  <c r="AC51"/>
  <c r="AB51"/>
  <c r="AA51"/>
  <c r="Z51"/>
  <c r="Y51"/>
  <c r="X51"/>
  <c r="W51"/>
  <c r="W50" s="1"/>
  <c r="V51"/>
  <c r="U51"/>
  <c r="T51"/>
  <c r="R51"/>
  <c r="R50" s="1"/>
  <c r="Q51"/>
  <c r="O51"/>
  <c r="N51"/>
  <c r="L51"/>
  <c r="K51"/>
  <c r="I51"/>
  <c r="H51"/>
  <c r="F51"/>
  <c r="E51"/>
  <c r="AJ50"/>
  <c r="F48"/>
  <c r="E48"/>
  <c r="F47"/>
  <c r="E47"/>
  <c r="F46"/>
  <c r="E46"/>
  <c r="F45"/>
  <c r="E45"/>
  <c r="AP44"/>
  <c r="AO44"/>
  <c r="AM44"/>
  <c r="AL44"/>
  <c r="AJ44"/>
  <c r="AI44"/>
  <c r="AG44"/>
  <c r="AF44"/>
  <c r="AD44"/>
  <c r="AC44"/>
  <c r="AA44"/>
  <c r="Z44"/>
  <c r="Y44"/>
  <c r="X44"/>
  <c r="W44"/>
  <c r="V44"/>
  <c r="U44"/>
  <c r="T44"/>
  <c r="R44"/>
  <c r="Q44"/>
  <c r="O44"/>
  <c r="N44"/>
  <c r="L44"/>
  <c r="K44"/>
  <c r="I44"/>
  <c r="H44"/>
  <c r="F44"/>
  <c r="E44"/>
  <c r="F43"/>
  <c r="E43"/>
  <c r="F42"/>
  <c r="E42"/>
  <c r="AQ40"/>
  <c r="AQ38" s="1"/>
  <c r="AN40"/>
  <c r="AN38" s="1"/>
  <c r="AI40"/>
  <c r="AH40"/>
  <c r="AE40"/>
  <c r="AB40"/>
  <c r="S40"/>
  <c r="P40"/>
  <c r="M40"/>
  <c r="F40"/>
  <c r="F39"/>
  <c r="E39"/>
  <c r="AP38"/>
  <c r="AM38"/>
  <c r="AJ38"/>
  <c r="AG38"/>
  <c r="AD38"/>
  <c r="AA38"/>
  <c r="X38"/>
  <c r="U38"/>
  <c r="R38"/>
  <c r="Q38"/>
  <c r="O38"/>
  <c r="L38"/>
  <c r="K38"/>
  <c r="I38"/>
  <c r="H38"/>
  <c r="F37"/>
  <c r="E37"/>
  <c r="F36"/>
  <c r="E36"/>
  <c r="AQ35"/>
  <c r="AN35"/>
  <c r="AK35"/>
  <c r="AH35"/>
  <c r="AC35"/>
  <c r="AE35" s="1"/>
  <c r="AB35"/>
  <c r="Y35"/>
  <c r="V35"/>
  <c r="S35"/>
  <c r="P35"/>
  <c r="K35"/>
  <c r="M35" s="1"/>
  <c r="H35"/>
  <c r="J35" s="1"/>
  <c r="F35"/>
  <c r="AQ34"/>
  <c r="AL34"/>
  <c r="AN34" s="1"/>
  <c r="AI34"/>
  <c r="AK34" s="1"/>
  <c r="AF34"/>
  <c r="AH34" s="1"/>
  <c r="AE34"/>
  <c r="AB34"/>
  <c r="Y34"/>
  <c r="V34"/>
  <c r="S34"/>
  <c r="P34"/>
  <c r="F34"/>
  <c r="AP33"/>
  <c r="AM33"/>
  <c r="AJ33"/>
  <c r="AG33"/>
  <c r="AF33"/>
  <c r="AD33"/>
  <c r="AA33"/>
  <c r="X33"/>
  <c r="U33"/>
  <c r="R33"/>
  <c r="O33"/>
  <c r="N33"/>
  <c r="L33"/>
  <c r="I33"/>
  <c r="F32"/>
  <c r="E32"/>
  <c r="F31"/>
  <c r="E31"/>
  <c r="AQ30"/>
  <c r="AQ28" s="1"/>
  <c r="AN30"/>
  <c r="AN28" s="1"/>
  <c r="AK30"/>
  <c r="AH30"/>
  <c r="AE30"/>
  <c r="AB30"/>
  <c r="Y30"/>
  <c r="Y28" s="1"/>
  <c r="S30"/>
  <c r="P30"/>
  <c r="M30"/>
  <c r="J30"/>
  <c r="F30"/>
  <c r="E30"/>
  <c r="F29"/>
  <c r="F28" s="1"/>
  <c r="E29"/>
  <c r="AP28"/>
  <c r="AO28"/>
  <c r="AM28"/>
  <c r="AL28"/>
  <c r="AK28"/>
  <c r="AJ28"/>
  <c r="AI28"/>
  <c r="AG28"/>
  <c r="AF28"/>
  <c r="AD28"/>
  <c r="AC28"/>
  <c r="AA28"/>
  <c r="Z28"/>
  <c r="X28"/>
  <c r="W28"/>
  <c r="U28"/>
  <c r="T28"/>
  <c r="V28" s="1"/>
  <c r="R28"/>
  <c r="Q28"/>
  <c r="O28"/>
  <c r="N28"/>
  <c r="L28"/>
  <c r="K28"/>
  <c r="I28"/>
  <c r="H28"/>
  <c r="F27"/>
  <c r="E27"/>
  <c r="F26"/>
  <c r="E26"/>
  <c r="AQ25"/>
  <c r="AN25"/>
  <c r="AN23" s="1"/>
  <c r="AI25"/>
  <c r="AK25" s="1"/>
  <c r="AH25"/>
  <c r="AH23" s="1"/>
  <c r="AE25"/>
  <c r="AE23" s="1"/>
  <c r="Z25"/>
  <c r="AB25" s="1"/>
  <c r="AB23" s="1"/>
  <c r="W25"/>
  <c r="Y25" s="1"/>
  <c r="Y23" s="1"/>
  <c r="V25"/>
  <c r="V23" s="1"/>
  <c r="S25"/>
  <c r="S23" s="1"/>
  <c r="P25"/>
  <c r="M25"/>
  <c r="J25"/>
  <c r="F25"/>
  <c r="F24"/>
  <c r="E24"/>
  <c r="AP23"/>
  <c r="AO23"/>
  <c r="AM23"/>
  <c r="AJ23"/>
  <c r="AG23"/>
  <c r="AF23"/>
  <c r="AD23"/>
  <c r="AC23"/>
  <c r="AA23"/>
  <c r="X23"/>
  <c r="U23"/>
  <c r="T23"/>
  <c r="R23"/>
  <c r="Q23"/>
  <c r="O23"/>
  <c r="N23"/>
  <c r="L23"/>
  <c r="K23"/>
  <c r="I23"/>
  <c r="H23"/>
  <c r="F22"/>
  <c r="E22"/>
  <c r="AQ21"/>
  <c r="AN21"/>
  <c r="AK21"/>
  <c r="AH21"/>
  <c r="AE21"/>
  <c r="AB21"/>
  <c r="Y21"/>
  <c r="V21"/>
  <c r="S21"/>
  <c r="M21"/>
  <c r="J21"/>
  <c r="F21"/>
  <c r="AQ19"/>
  <c r="AL19"/>
  <c r="AK19"/>
  <c r="AH19"/>
  <c r="AC19"/>
  <c r="AE19" s="1"/>
  <c r="Y19"/>
  <c r="V19"/>
  <c r="P19"/>
  <c r="M19"/>
  <c r="J19"/>
  <c r="F19"/>
  <c r="AO17"/>
  <c r="AN18"/>
  <c r="AI18"/>
  <c r="AI17" s="1"/>
  <c r="AF18"/>
  <c r="AC17"/>
  <c r="AB18"/>
  <c r="W17"/>
  <c r="T18"/>
  <c r="H18"/>
  <c r="H17" s="1"/>
  <c r="J17" s="1"/>
  <c r="F18"/>
  <c r="AP17"/>
  <c r="M17"/>
  <c r="F16"/>
  <c r="E16"/>
  <c r="AP15"/>
  <c r="AP79" s="1"/>
  <c r="AO15"/>
  <c r="AO79" s="1"/>
  <c r="AM15"/>
  <c r="AM79" s="1"/>
  <c r="AL15"/>
  <c r="AJ15"/>
  <c r="AI15"/>
  <c r="AI79" s="1"/>
  <c r="AG15"/>
  <c r="AG79" s="1"/>
  <c r="AF15"/>
  <c r="AD15"/>
  <c r="AC15"/>
  <c r="AC79" s="1"/>
  <c r="AA15"/>
  <c r="AA79" s="1"/>
  <c r="Z15"/>
  <c r="X15"/>
  <c r="X79" s="1"/>
  <c r="W15"/>
  <c r="W79" s="1"/>
  <c r="U15"/>
  <c r="U79" s="1"/>
  <c r="T15"/>
  <c r="R15"/>
  <c r="R79" s="1"/>
  <c r="Q15"/>
  <c r="Q79" s="1"/>
  <c r="O15"/>
  <c r="O79" s="1"/>
  <c r="L15"/>
  <c r="L79" s="1"/>
  <c r="K15"/>
  <c r="K79" s="1"/>
  <c r="I15"/>
  <c r="I79" s="1"/>
  <c r="H15"/>
  <c r="H79" s="1"/>
  <c r="AP13"/>
  <c r="AO13"/>
  <c r="AO77" s="1"/>
  <c r="AM13"/>
  <c r="AM77" s="1"/>
  <c r="AJ13"/>
  <c r="AI13"/>
  <c r="AI77" s="1"/>
  <c r="AG13"/>
  <c r="AF13"/>
  <c r="AF77" s="1"/>
  <c r="AD13"/>
  <c r="AD77" s="1"/>
  <c r="AC13"/>
  <c r="AA13"/>
  <c r="AA77" s="1"/>
  <c r="X13"/>
  <c r="X77" s="1"/>
  <c r="W13"/>
  <c r="W77" s="1"/>
  <c r="U13"/>
  <c r="R13"/>
  <c r="R77" s="1"/>
  <c r="Q13"/>
  <c r="O13"/>
  <c r="O77" s="1"/>
  <c r="L13"/>
  <c r="L77" s="1"/>
  <c r="K13"/>
  <c r="K77" s="1"/>
  <c r="I13"/>
  <c r="H13"/>
  <c r="H77" s="1"/>
  <c r="AP12"/>
  <c r="AM12"/>
  <c r="AM76" s="1"/>
  <c r="AM75" s="1"/>
  <c r="AJ12"/>
  <c r="AJ76" s="1"/>
  <c r="AG12"/>
  <c r="AG76" s="1"/>
  <c r="AF12"/>
  <c r="AD12"/>
  <c r="AD76" s="1"/>
  <c r="AA12"/>
  <c r="AA76" s="1"/>
  <c r="AA75" s="1"/>
  <c r="Z12"/>
  <c r="X12"/>
  <c r="X76" s="1"/>
  <c r="U12"/>
  <c r="U76" s="1"/>
  <c r="T12"/>
  <c r="R12"/>
  <c r="R76" s="1"/>
  <c r="O12"/>
  <c r="O76" s="1"/>
  <c r="N12"/>
  <c r="L12"/>
  <c r="L76" s="1"/>
  <c r="I12"/>
  <c r="I76" s="1"/>
  <c r="H12"/>
  <c r="AM11"/>
  <c r="AA11"/>
  <c r="G127" l="1"/>
  <c r="E19"/>
  <c r="G19" s="1"/>
  <c r="K50"/>
  <c r="F131"/>
  <c r="G132"/>
  <c r="J79"/>
  <c r="F23"/>
  <c r="E28"/>
  <c r="G28" s="1"/>
  <c r="AH33"/>
  <c r="J38"/>
  <c r="S116"/>
  <c r="V116"/>
  <c r="G133"/>
  <c r="T61"/>
  <c r="V61"/>
  <c r="X61"/>
  <c r="X75"/>
  <c r="V131"/>
  <c r="S63"/>
  <c r="I11"/>
  <c r="I77"/>
  <c r="U11"/>
  <c r="U77"/>
  <c r="U75" s="1"/>
  <c r="V18"/>
  <c r="V17" s="1"/>
  <c r="T17"/>
  <c r="AH18"/>
  <c r="AF17"/>
  <c r="AB19"/>
  <c r="Z17"/>
  <c r="AN19"/>
  <c r="AN17" s="1"/>
  <c r="AL17"/>
  <c r="Y40"/>
  <c r="W104"/>
  <c r="AK40"/>
  <c r="AK38" s="1"/>
  <c r="AI104"/>
  <c r="AI102" s="1"/>
  <c r="AB17"/>
  <c r="AH17"/>
  <c r="AP50"/>
  <c r="AO61"/>
  <c r="E69"/>
  <c r="E131"/>
  <c r="AG11"/>
  <c r="AG77"/>
  <c r="AG75" s="1"/>
  <c r="AJ77"/>
  <c r="AJ88" s="1"/>
  <c r="AJ94" s="1"/>
  <c r="AD79"/>
  <c r="AD89" s="1"/>
  <c r="AD95" s="1"/>
  <c r="AJ79"/>
  <c r="AJ89" s="1"/>
  <c r="AJ95" s="1"/>
  <c r="P18"/>
  <c r="N17"/>
  <c r="P17" s="1"/>
  <c r="S19"/>
  <c r="Q17"/>
  <c r="V40"/>
  <c r="V38" s="1"/>
  <c r="T104"/>
  <c r="V104" s="1"/>
  <c r="AD75"/>
  <c r="J23"/>
  <c r="P23"/>
  <c r="E25"/>
  <c r="G25" s="1"/>
  <c r="Z33"/>
  <c r="F33"/>
  <c r="AO38"/>
  <c r="AD50"/>
  <c r="H61"/>
  <c r="Q61"/>
  <c r="W61"/>
  <c r="Y61"/>
  <c r="AC61"/>
  <c r="AE61"/>
  <c r="AI61"/>
  <c r="F69"/>
  <c r="G69" s="1"/>
  <c r="G103"/>
  <c r="M111"/>
  <c r="Y116"/>
  <c r="AH116"/>
  <c r="P121"/>
  <c r="V121"/>
  <c r="AB121"/>
  <c r="AH121"/>
  <c r="G122"/>
  <c r="AO104"/>
  <c r="AO102" s="1"/>
  <c r="P111"/>
  <c r="AH106"/>
  <c r="G107"/>
  <c r="F106"/>
  <c r="E116"/>
  <c r="G118"/>
  <c r="F17"/>
  <c r="F38"/>
  <c r="F12"/>
  <c r="F76" s="1"/>
  <c r="O11"/>
  <c r="P33"/>
  <c r="E63"/>
  <c r="E61" s="1"/>
  <c r="G72"/>
  <c r="F61"/>
  <c r="I61"/>
  <c r="G63"/>
  <c r="G71"/>
  <c r="O87"/>
  <c r="Q77"/>
  <c r="S77" s="1"/>
  <c r="AC77"/>
  <c r="AP77"/>
  <c r="AP88" s="1"/>
  <c r="I89"/>
  <c r="T79"/>
  <c r="Z79"/>
  <c r="AF79"/>
  <c r="AL79"/>
  <c r="AL12"/>
  <c r="N13"/>
  <c r="N77" s="1"/>
  <c r="N88" s="1"/>
  <c r="T13"/>
  <c r="T77" s="1"/>
  <c r="T88" s="1"/>
  <c r="T94" s="1"/>
  <c r="Z13"/>
  <c r="Z77" s="1"/>
  <c r="AL13"/>
  <c r="AL77" s="1"/>
  <c r="AL88" s="1"/>
  <c r="F15"/>
  <c r="F79" s="1"/>
  <c r="J28"/>
  <c r="P28"/>
  <c r="AB28"/>
  <c r="AE28"/>
  <c r="G30"/>
  <c r="AB33"/>
  <c r="E34"/>
  <c r="G34" s="1"/>
  <c r="E35"/>
  <c r="N38"/>
  <c r="P38" s="1"/>
  <c r="T38"/>
  <c r="E40"/>
  <c r="G40" s="1"/>
  <c r="AF50"/>
  <c r="AL50"/>
  <c r="F50"/>
  <c r="AG61"/>
  <c r="AQ61"/>
  <c r="Q102"/>
  <c r="E106"/>
  <c r="G106" s="1"/>
  <c r="AH111"/>
  <c r="G113"/>
  <c r="J126"/>
  <c r="P126"/>
  <c r="V126"/>
  <c r="AB126"/>
  <c r="AH126"/>
  <c r="F126"/>
  <c r="E126"/>
  <c r="H50"/>
  <c r="N50"/>
  <c r="T50"/>
  <c r="Z50"/>
  <c r="AG50"/>
  <c r="AI50"/>
  <c r="AK50" s="1"/>
  <c r="AM50"/>
  <c r="AO50"/>
  <c r="AQ50" s="1"/>
  <c r="N97"/>
  <c r="P97" s="1"/>
  <c r="V97"/>
  <c r="W97"/>
  <c r="Y97" s="1"/>
  <c r="AB97"/>
  <c r="AF97"/>
  <c r="AH97" s="1"/>
  <c r="AN97"/>
  <c r="G131"/>
  <c r="M23"/>
  <c r="W23"/>
  <c r="Z23"/>
  <c r="AI23"/>
  <c r="AL23"/>
  <c r="AQ23"/>
  <c r="M28"/>
  <c r="S28"/>
  <c r="AH28"/>
  <c r="H33"/>
  <c r="J33" s="1"/>
  <c r="T33"/>
  <c r="AL33"/>
  <c r="AN33" s="1"/>
  <c r="Y33"/>
  <c r="M38"/>
  <c r="S38"/>
  <c r="W38"/>
  <c r="Z38"/>
  <c r="AB38" s="1"/>
  <c r="AC38"/>
  <c r="AE38" s="1"/>
  <c r="AF38"/>
  <c r="AH38" s="1"/>
  <c r="AI38"/>
  <c r="AL38"/>
  <c r="E50"/>
  <c r="Q50"/>
  <c r="X50"/>
  <c r="AE51"/>
  <c r="I50"/>
  <c r="L50"/>
  <c r="U50"/>
  <c r="AA50"/>
  <c r="AB50" s="1"/>
  <c r="AE52"/>
  <c r="AA61"/>
  <c r="AM61"/>
  <c r="F104"/>
  <c r="AJ102"/>
  <c r="AN63"/>
  <c r="AN61" s="1"/>
  <c r="S61"/>
  <c r="AO97"/>
  <c r="AQ97" s="1"/>
  <c r="E99"/>
  <c r="G99" s="1"/>
  <c r="S102"/>
  <c r="T102"/>
  <c r="V102" s="1"/>
  <c r="V106"/>
  <c r="AE106"/>
  <c r="AK106"/>
  <c r="Y111"/>
  <c r="G112"/>
  <c r="F116"/>
  <c r="G116" s="1"/>
  <c r="AB116"/>
  <c r="G117"/>
  <c r="M121"/>
  <c r="S121"/>
  <c r="Y121"/>
  <c r="AE121"/>
  <c r="AQ121"/>
  <c r="E121"/>
  <c r="G121" s="1"/>
  <c r="M126"/>
  <c r="S126"/>
  <c r="Y126"/>
  <c r="AE126"/>
  <c r="AQ126"/>
  <c r="S131"/>
  <c r="Y131"/>
  <c r="AE131"/>
  <c r="AQ131"/>
  <c r="V33"/>
  <c r="Y38"/>
  <c r="AN50"/>
  <c r="K61"/>
  <c r="N61"/>
  <c r="M97"/>
  <c r="S97"/>
  <c r="AE97"/>
  <c r="AK97"/>
  <c r="H76"/>
  <c r="H11"/>
  <c r="J11" s="1"/>
  <c r="N76"/>
  <c r="T76"/>
  <c r="Z76"/>
  <c r="AL76"/>
  <c r="H88"/>
  <c r="R88"/>
  <c r="R94" s="1"/>
  <c r="AA88"/>
  <c r="AI88"/>
  <c r="AQ77"/>
  <c r="I95"/>
  <c r="L89"/>
  <c r="M79"/>
  <c r="R89"/>
  <c r="S79"/>
  <c r="W89"/>
  <c r="AI89"/>
  <c r="AI95" s="1"/>
  <c r="AM89"/>
  <c r="AN15"/>
  <c r="AN79" s="1"/>
  <c r="AP89"/>
  <c r="AQ79"/>
  <c r="J18"/>
  <c r="E18"/>
  <c r="P21"/>
  <c r="E21"/>
  <c r="E15" s="1"/>
  <c r="E79" s="1"/>
  <c r="N15"/>
  <c r="N79" s="1"/>
  <c r="I87"/>
  <c r="J76"/>
  <c r="L11"/>
  <c r="R11"/>
  <c r="U87"/>
  <c r="U93" s="1"/>
  <c r="V76"/>
  <c r="X11"/>
  <c r="AA87"/>
  <c r="AD11"/>
  <c r="AG87"/>
  <c r="AJ11"/>
  <c r="AM87"/>
  <c r="AP76"/>
  <c r="AP11"/>
  <c r="J13"/>
  <c r="L88"/>
  <c r="M77"/>
  <c r="X88"/>
  <c r="Y77"/>
  <c r="Z88"/>
  <c r="AC88"/>
  <c r="AG88"/>
  <c r="AH13"/>
  <c r="AH77" s="1"/>
  <c r="AO88"/>
  <c r="H89"/>
  <c r="K89"/>
  <c r="K95" s="1"/>
  <c r="Q89"/>
  <c r="V15"/>
  <c r="X89"/>
  <c r="Y79"/>
  <c r="Z89"/>
  <c r="Z95" s="1"/>
  <c r="AC89"/>
  <c r="AG89"/>
  <c r="AH15"/>
  <c r="AH79" s="1"/>
  <c r="AL89"/>
  <c r="AL95" s="1"/>
  <c r="AO89"/>
  <c r="M18"/>
  <c r="K12"/>
  <c r="S18"/>
  <c r="S17" s="1"/>
  <c r="Q12"/>
  <c r="Y18"/>
  <c r="Y17" s="1"/>
  <c r="W12"/>
  <c r="Y12" s="1"/>
  <c r="AE18"/>
  <c r="AE17" s="1"/>
  <c r="AC12"/>
  <c r="AK18"/>
  <c r="AK17" s="1"/>
  <c r="AI12"/>
  <c r="AK12" s="1"/>
  <c r="AK76" s="1"/>
  <c r="AQ18"/>
  <c r="AQ17" s="1"/>
  <c r="AO12"/>
  <c r="AK99"/>
  <c r="AK23"/>
  <c r="AB12"/>
  <c r="AB76" s="1"/>
  <c r="M13"/>
  <c r="Y13"/>
  <c r="AK13"/>
  <c r="AK77" s="1"/>
  <c r="Y15"/>
  <c r="S13"/>
  <c r="AE13"/>
  <c r="AQ13"/>
  <c r="M15"/>
  <c r="S15"/>
  <c r="AE15"/>
  <c r="AE79" s="1"/>
  <c r="AQ15"/>
  <c r="G18"/>
  <c r="G21"/>
  <c r="AF76"/>
  <c r="AF11"/>
  <c r="AH11" s="1"/>
  <c r="K88"/>
  <c r="W88"/>
  <c r="W94" s="1"/>
  <c r="AD88"/>
  <c r="AE77"/>
  <c r="AF88"/>
  <c r="AM88"/>
  <c r="T89"/>
  <c r="AA89"/>
  <c r="AB15"/>
  <c r="AB79" s="1"/>
  <c r="AF89"/>
  <c r="AF95" s="1"/>
  <c r="J12"/>
  <c r="P12"/>
  <c r="V12"/>
  <c r="AH12"/>
  <c r="AN12"/>
  <c r="AN76" s="1"/>
  <c r="AK15"/>
  <c r="AK79" s="1"/>
  <c r="AE104"/>
  <c r="AE102" s="1"/>
  <c r="AD102"/>
  <c r="AQ104"/>
  <c r="AQ102"/>
  <c r="G98"/>
  <c r="F97"/>
  <c r="F13"/>
  <c r="F77" s="1"/>
  <c r="K33"/>
  <c r="M33" s="1"/>
  <c r="Q33"/>
  <c r="S33" s="1"/>
  <c r="W33"/>
  <c r="AC33"/>
  <c r="AE33" s="1"/>
  <c r="AI33"/>
  <c r="AK33" s="1"/>
  <c r="AO33"/>
  <c r="AQ33" s="1"/>
  <c r="O50"/>
  <c r="AC50"/>
  <c r="AE50" s="1"/>
  <c r="AN102"/>
  <c r="I102"/>
  <c r="J102" s="1"/>
  <c r="L102"/>
  <c r="M102" s="1"/>
  <c r="M104"/>
  <c r="P104"/>
  <c r="O102"/>
  <c r="P102" s="1"/>
  <c r="AB104"/>
  <c r="AB102" s="1"/>
  <c r="AA102"/>
  <c r="AH104"/>
  <c r="AH102" s="1"/>
  <c r="AG102"/>
  <c r="AK104"/>
  <c r="AK102" s="1"/>
  <c r="G123"/>
  <c r="G128"/>
  <c r="I97"/>
  <c r="J97" s="1"/>
  <c r="F111"/>
  <c r="G111" s="1"/>
  <c r="E104" l="1"/>
  <c r="E102" s="1"/>
  <c r="AH50"/>
  <c r="E23"/>
  <c r="G23" s="1"/>
  <c r="AH76"/>
  <c r="P15"/>
  <c r="AK95"/>
  <c r="G126"/>
  <c r="AB13"/>
  <c r="AB77" s="1"/>
  <c r="K94"/>
  <c r="H94"/>
  <c r="W95"/>
  <c r="T95"/>
  <c r="Q95"/>
  <c r="AC95"/>
  <c r="G79"/>
  <c r="AO95"/>
  <c r="AF94"/>
  <c r="AI94"/>
  <c r="AK94"/>
  <c r="AO94"/>
  <c r="Z94"/>
  <c r="AL94"/>
  <c r="AN13"/>
  <c r="AN77" s="1"/>
  <c r="AL11"/>
  <c r="AN11" s="1"/>
  <c r="AC94"/>
  <c r="V13"/>
  <c r="T11"/>
  <c r="V11" s="1"/>
  <c r="Q88"/>
  <c r="Q94" s="1"/>
  <c r="N94"/>
  <c r="X94"/>
  <c r="AJ75"/>
  <c r="Y104"/>
  <c r="W102"/>
  <c r="Y102" s="1"/>
  <c r="G61"/>
  <c r="P13"/>
  <c r="P76"/>
  <c r="G15"/>
  <c r="F11"/>
  <c r="Z11"/>
  <c r="AB11" s="1"/>
  <c r="E33"/>
  <c r="G33" s="1"/>
  <c r="AK88"/>
  <c r="F102"/>
  <c r="AK89"/>
  <c r="G35"/>
  <c r="E13"/>
  <c r="E77" s="1"/>
  <c r="E38"/>
  <c r="G38" s="1"/>
  <c r="E97"/>
  <c r="G97" s="1"/>
  <c r="AA95"/>
  <c r="AB95" s="1"/>
  <c r="AB89"/>
  <c r="O89"/>
  <c r="P79"/>
  <c r="AN88"/>
  <c r="AM94"/>
  <c r="AN94" s="1"/>
  <c r="AD94"/>
  <c r="AE88"/>
  <c r="AF87"/>
  <c r="AH87" s="1"/>
  <c r="AF75"/>
  <c r="AO76"/>
  <c r="AQ12"/>
  <c r="AO11"/>
  <c r="AQ11" s="1"/>
  <c r="AI76"/>
  <c r="AI11"/>
  <c r="AK11" s="1"/>
  <c r="AC76"/>
  <c r="AE76" s="1"/>
  <c r="AC11"/>
  <c r="W76"/>
  <c r="Y76" s="1"/>
  <c r="W11"/>
  <c r="Q76"/>
  <c r="S76" s="1"/>
  <c r="Q11"/>
  <c r="S11" s="1"/>
  <c r="K76"/>
  <c r="M76" s="1"/>
  <c r="K11"/>
  <c r="M11" s="1"/>
  <c r="H95"/>
  <c r="AJ87"/>
  <c r="AG93"/>
  <c r="AG86"/>
  <c r="X87"/>
  <c r="X93" s="1"/>
  <c r="R87"/>
  <c r="R75"/>
  <c r="L87"/>
  <c r="L75"/>
  <c r="E17"/>
  <c r="G17" s="1"/>
  <c r="E12"/>
  <c r="AP94"/>
  <c r="AQ88"/>
  <c r="AB88"/>
  <c r="AA94"/>
  <c r="S88"/>
  <c r="O88"/>
  <c r="P77"/>
  <c r="AL87"/>
  <c r="AL75"/>
  <c r="Z87"/>
  <c r="Z75"/>
  <c r="T87"/>
  <c r="T75"/>
  <c r="N87"/>
  <c r="N75"/>
  <c r="H87"/>
  <c r="J87" s="1"/>
  <c r="H75"/>
  <c r="AE12"/>
  <c r="Y11"/>
  <c r="AE89"/>
  <c r="AG95"/>
  <c r="AH95" s="1"/>
  <c r="AH89"/>
  <c r="X95"/>
  <c r="Y89"/>
  <c r="U89"/>
  <c r="V79"/>
  <c r="AH88"/>
  <c r="AG94"/>
  <c r="Y88"/>
  <c r="U88"/>
  <c r="V77"/>
  <c r="L94"/>
  <c r="M94" s="1"/>
  <c r="M88"/>
  <c r="I88"/>
  <c r="I86" s="1"/>
  <c r="J77"/>
  <c r="AP87"/>
  <c r="AQ76"/>
  <c r="AP75"/>
  <c r="AM93"/>
  <c r="AM86"/>
  <c r="AD87"/>
  <c r="AA93"/>
  <c r="AA86"/>
  <c r="V87"/>
  <c r="O93"/>
  <c r="I93"/>
  <c r="N89"/>
  <c r="N95" s="1"/>
  <c r="AP95"/>
  <c r="AQ95" s="1"/>
  <c r="AQ89"/>
  <c r="AM95"/>
  <c r="AN95" s="1"/>
  <c r="AN89"/>
  <c r="R95"/>
  <c r="S89"/>
  <c r="L95"/>
  <c r="M95" s="1"/>
  <c r="M89"/>
  <c r="AH75"/>
  <c r="AE11"/>
  <c r="S12"/>
  <c r="O75"/>
  <c r="M12"/>
  <c r="I75"/>
  <c r="AE95"/>
  <c r="J89"/>
  <c r="N11"/>
  <c r="P11" s="1"/>
  <c r="G102" l="1"/>
  <c r="G104"/>
  <c r="Y95"/>
  <c r="AE94"/>
  <c r="AH94"/>
  <c r="AB94"/>
  <c r="G13"/>
  <c r="P87"/>
  <c r="S95"/>
  <c r="AB87"/>
  <c r="AQ94"/>
  <c r="E88"/>
  <c r="S94"/>
  <c r="Y94"/>
  <c r="U86"/>
  <c r="U94"/>
  <c r="F88"/>
  <c r="O86"/>
  <c r="J75"/>
  <c r="V75"/>
  <c r="F89"/>
  <c r="G77"/>
  <c r="AN75"/>
  <c r="F75"/>
  <c r="AA92"/>
  <c r="AM92"/>
  <c r="H86"/>
  <c r="J86" s="1"/>
  <c r="H93"/>
  <c r="T86"/>
  <c r="T93"/>
  <c r="AL86"/>
  <c r="AN86" s="1"/>
  <c r="AL93"/>
  <c r="E76"/>
  <c r="E11"/>
  <c r="G11" s="1"/>
  <c r="G12"/>
  <c r="L86"/>
  <c r="L93"/>
  <c r="X86"/>
  <c r="E95"/>
  <c r="AO87"/>
  <c r="AO75"/>
  <c r="AQ75" s="1"/>
  <c r="AF86"/>
  <c r="AH86" s="1"/>
  <c r="AF93"/>
  <c r="J93"/>
  <c r="AD86"/>
  <c r="AD93"/>
  <c r="AP86"/>
  <c r="AP93"/>
  <c r="J88"/>
  <c r="I94"/>
  <c r="I92" s="1"/>
  <c r="V88"/>
  <c r="U95"/>
  <c r="V95" s="1"/>
  <c r="V89"/>
  <c r="N86"/>
  <c r="P86" s="1"/>
  <c r="N93"/>
  <c r="Z86"/>
  <c r="AB86" s="1"/>
  <c r="Z93"/>
  <c r="E94"/>
  <c r="P88"/>
  <c r="O94"/>
  <c r="P94" s="1"/>
  <c r="R86"/>
  <c r="R93"/>
  <c r="AG92"/>
  <c r="AJ86"/>
  <c r="AJ93"/>
  <c r="K87"/>
  <c r="K75"/>
  <c r="M75" s="1"/>
  <c r="Q87"/>
  <c r="Q75"/>
  <c r="S75" s="1"/>
  <c r="W87"/>
  <c r="W75"/>
  <c r="Y75" s="1"/>
  <c r="AC87"/>
  <c r="AC75"/>
  <c r="AE75" s="1"/>
  <c r="AI87"/>
  <c r="AI75"/>
  <c r="AK75" s="1"/>
  <c r="O95"/>
  <c r="P89"/>
  <c r="P75"/>
  <c r="F87"/>
  <c r="AN87"/>
  <c r="AB75"/>
  <c r="E89"/>
  <c r="AH93" l="1"/>
  <c r="AQ87"/>
  <c r="S87"/>
  <c r="V93"/>
  <c r="G88"/>
  <c r="V94"/>
  <c r="V86"/>
  <c r="G89"/>
  <c r="F93"/>
  <c r="E87"/>
  <c r="AI93"/>
  <c r="AI86"/>
  <c r="AK86" s="1"/>
  <c r="F86"/>
  <c r="P95"/>
  <c r="F95"/>
  <c r="G95" s="1"/>
  <c r="AC93"/>
  <c r="AE93" s="1"/>
  <c r="AC86"/>
  <c r="AE86" s="1"/>
  <c r="Q93"/>
  <c r="S93" s="1"/>
  <c r="Q86"/>
  <c r="S86" s="1"/>
  <c r="AK93"/>
  <c r="AJ92"/>
  <c r="Z92"/>
  <c r="AB92" s="1"/>
  <c r="N92"/>
  <c r="J94"/>
  <c r="F94"/>
  <c r="AD92"/>
  <c r="AF92"/>
  <c r="AH92" s="1"/>
  <c r="AO93"/>
  <c r="AQ93" s="1"/>
  <c r="AO86"/>
  <c r="AQ86" s="1"/>
  <c r="L92"/>
  <c r="AL92"/>
  <c r="AN92" s="1"/>
  <c r="T92"/>
  <c r="H92"/>
  <c r="J92" s="1"/>
  <c r="AK87"/>
  <c r="AE87"/>
  <c r="M87"/>
  <c r="AN93"/>
  <c r="AB93"/>
  <c r="P93"/>
  <c r="W93"/>
  <c r="Y93" s="1"/>
  <c r="W86"/>
  <c r="Y86" s="1"/>
  <c r="K93"/>
  <c r="K86"/>
  <c r="M86" s="1"/>
  <c r="R92"/>
  <c r="AP92"/>
  <c r="X92"/>
  <c r="E75"/>
  <c r="G75" s="1"/>
  <c r="G76"/>
  <c r="U92"/>
  <c r="Y87"/>
  <c r="O92"/>
  <c r="E86" l="1"/>
  <c r="G86" s="1"/>
  <c r="G94"/>
  <c r="P92"/>
  <c r="V92"/>
  <c r="G87"/>
  <c r="K92"/>
  <c r="M92" s="1"/>
  <c r="W92"/>
  <c r="Y92" s="1"/>
  <c r="AO92"/>
  <c r="AQ92" s="1"/>
  <c r="Q92"/>
  <c r="S92" s="1"/>
  <c r="AC92"/>
  <c r="AE92" s="1"/>
  <c r="AI92"/>
  <c r="AK92" s="1"/>
  <c r="F92"/>
  <c r="E93"/>
  <c r="M93"/>
  <c r="E92" l="1"/>
  <c r="G92" s="1"/>
  <c r="G93"/>
  <c r="AG15" i="37" l="1"/>
  <c r="O15"/>
  <c r="AG14"/>
  <c r="X14"/>
  <c r="X15"/>
  <c r="AP15"/>
  <c r="AP14"/>
  <c r="AD14"/>
  <c r="U14"/>
  <c r="AP16"/>
  <c r="AA16"/>
  <c r="X16"/>
  <c r="O16"/>
  <c r="U79" l="1"/>
  <c r="O79"/>
  <c r="L79"/>
  <c r="L71"/>
  <c r="O71"/>
  <c r="AM71"/>
  <c r="Q24" l="1"/>
  <c r="N24"/>
  <c r="N26" l="1"/>
  <c r="AM26"/>
  <c r="AJ26"/>
  <c r="AG26"/>
  <c r="AD26"/>
  <c r="AA26"/>
  <c r="X26"/>
  <c r="U26"/>
  <c r="R26"/>
  <c r="O26"/>
  <c r="Q26" s="1"/>
  <c r="L15" l="1"/>
  <c r="AM16"/>
  <c r="Q16"/>
  <c r="N16"/>
  <c r="O14"/>
  <c r="Q14" s="1"/>
  <c r="Q15" l="1"/>
  <c r="R15"/>
  <c r="T15" s="1"/>
  <c r="AP11"/>
  <c r="AP71"/>
  <c r="F71" s="1"/>
  <c r="O58"/>
  <c r="Q58" s="1"/>
  <c r="R79"/>
  <c r="R77" s="1"/>
  <c r="N79"/>
  <c r="R79" i="35"/>
  <c r="T79" s="1"/>
  <c r="O79"/>
  <c r="L79"/>
  <c r="L64" s="1"/>
  <c r="G80" i="37"/>
  <c r="F80"/>
  <c r="AP79"/>
  <c r="AM79"/>
  <c r="AM77" s="1"/>
  <c r="AJ79"/>
  <c r="AI79"/>
  <c r="AG79"/>
  <c r="AG77" s="1"/>
  <c r="AF79"/>
  <c r="AD79"/>
  <c r="AC79"/>
  <c r="AA79"/>
  <c r="Z79"/>
  <c r="Z77" s="1"/>
  <c r="X79"/>
  <c r="W79"/>
  <c r="U77"/>
  <c r="Q79"/>
  <c r="G79"/>
  <c r="G78"/>
  <c r="F78"/>
  <c r="AP77"/>
  <c r="AO77"/>
  <c r="AN77"/>
  <c r="AL77"/>
  <c r="AK77"/>
  <c r="AJ77"/>
  <c r="AH77"/>
  <c r="AE77"/>
  <c r="AD77"/>
  <c r="AB77"/>
  <c r="AA77"/>
  <c r="Y77"/>
  <c r="X77"/>
  <c r="V77"/>
  <c r="S77"/>
  <c r="P77"/>
  <c r="O77"/>
  <c r="M77"/>
  <c r="L77"/>
  <c r="J77"/>
  <c r="I77"/>
  <c r="G76"/>
  <c r="F76"/>
  <c r="G75"/>
  <c r="F75"/>
  <c r="G74"/>
  <c r="F74"/>
  <c r="F73" s="1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S73"/>
  <c r="R73"/>
  <c r="P73"/>
  <c r="O73"/>
  <c r="M73"/>
  <c r="L73"/>
  <c r="J73"/>
  <c r="I73"/>
  <c r="G72"/>
  <c r="G65" s="1"/>
  <c r="F72"/>
  <c r="AI71"/>
  <c r="AF71"/>
  <c r="AC71"/>
  <c r="AC64" s="1"/>
  <c r="Z71"/>
  <c r="W71"/>
  <c r="T71"/>
  <c r="Q71"/>
  <c r="N71"/>
  <c r="G71"/>
  <c r="G69" s="1"/>
  <c r="G70"/>
  <c r="F70"/>
  <c r="AO69"/>
  <c r="AN69"/>
  <c r="AM69"/>
  <c r="AL69"/>
  <c r="AK69"/>
  <c r="AJ69"/>
  <c r="AH69"/>
  <c r="AG69"/>
  <c r="AE69"/>
  <c r="AD69"/>
  <c r="AB69"/>
  <c r="AA69"/>
  <c r="Y69"/>
  <c r="X69"/>
  <c r="V69"/>
  <c r="U69"/>
  <c r="S69"/>
  <c r="R69"/>
  <c r="P69"/>
  <c r="O69"/>
  <c r="M69"/>
  <c r="L69"/>
  <c r="J69"/>
  <c r="I69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S65"/>
  <c r="R65"/>
  <c r="P65"/>
  <c r="O65"/>
  <c r="N65"/>
  <c r="M65"/>
  <c r="L65"/>
  <c r="J65"/>
  <c r="I65"/>
  <c r="AR64"/>
  <c r="AQ64"/>
  <c r="AO64"/>
  <c r="AN64"/>
  <c r="AM64"/>
  <c r="AL64"/>
  <c r="AK64"/>
  <c r="AJ64"/>
  <c r="AI64"/>
  <c r="AH64"/>
  <c r="AE64"/>
  <c r="AF64" s="1"/>
  <c r="AD64"/>
  <c r="AB64"/>
  <c r="AA64"/>
  <c r="Z64"/>
  <c r="Y64"/>
  <c r="X64"/>
  <c r="V64"/>
  <c r="S64"/>
  <c r="P64"/>
  <c r="O64"/>
  <c r="M64"/>
  <c r="L64"/>
  <c r="J64"/>
  <c r="I64"/>
  <c r="AR63"/>
  <c r="AQ63"/>
  <c r="AP63"/>
  <c r="AO63"/>
  <c r="AO62" s="1"/>
  <c r="AN63"/>
  <c r="AM63"/>
  <c r="AL63"/>
  <c r="AK63"/>
  <c r="AJ63"/>
  <c r="AI63"/>
  <c r="AH63"/>
  <c r="AG63"/>
  <c r="AF63"/>
  <c r="AE63"/>
  <c r="AD63"/>
  <c r="AC63"/>
  <c r="AC62" s="1"/>
  <c r="AB63"/>
  <c r="AA63"/>
  <c r="Z63"/>
  <c r="Y63"/>
  <c r="X63"/>
  <c r="W63"/>
  <c r="V63"/>
  <c r="U63"/>
  <c r="S63"/>
  <c r="R63"/>
  <c r="P63"/>
  <c r="O63"/>
  <c r="N63"/>
  <c r="M63"/>
  <c r="L63"/>
  <c r="J63"/>
  <c r="J62" s="1"/>
  <c r="I63"/>
  <c r="G63"/>
  <c r="AR62"/>
  <c r="AQ62"/>
  <c r="AJ62"/>
  <c r="X62"/>
  <c r="L62"/>
  <c r="G59"/>
  <c r="F59"/>
  <c r="F51" s="1"/>
  <c r="AI58"/>
  <c r="Z58"/>
  <c r="G58"/>
  <c r="G50" s="1"/>
  <c r="F58"/>
  <c r="F50" s="1"/>
  <c r="G57"/>
  <c r="F57"/>
  <c r="F49" s="1"/>
  <c r="AP56"/>
  <c r="AO56"/>
  <c r="AN56"/>
  <c r="AM56"/>
  <c r="AL56"/>
  <c r="AK56"/>
  <c r="AJ56"/>
  <c r="AH56"/>
  <c r="AG56"/>
  <c r="AF56"/>
  <c r="AE56"/>
  <c r="AD56"/>
  <c r="AC56"/>
  <c r="AB56"/>
  <c r="AA56"/>
  <c r="Z56"/>
  <c r="Y56"/>
  <c r="X56"/>
  <c r="V56"/>
  <c r="U56"/>
  <c r="T56"/>
  <c r="S56"/>
  <c r="R56"/>
  <c r="P56"/>
  <c r="O56"/>
  <c r="M56"/>
  <c r="L56"/>
  <c r="J56"/>
  <c r="I56"/>
  <c r="G56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M51"/>
  <c r="L51"/>
  <c r="K51"/>
  <c r="J51"/>
  <c r="I51"/>
  <c r="G51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P50"/>
  <c r="O50"/>
  <c r="M50"/>
  <c r="L50"/>
  <c r="J50"/>
  <c r="I50"/>
  <c r="AR49"/>
  <c r="AQ49"/>
  <c r="AP49"/>
  <c r="AO49"/>
  <c r="AN49"/>
  <c r="AM49"/>
  <c r="AM48" s="1"/>
  <c r="AL49"/>
  <c r="AK49"/>
  <c r="AJ49"/>
  <c r="AI49"/>
  <c r="AI48" s="1"/>
  <c r="AH49"/>
  <c r="AG49"/>
  <c r="AF49"/>
  <c r="AE49"/>
  <c r="AE48" s="1"/>
  <c r="AD49"/>
  <c r="AC49"/>
  <c r="AB49"/>
  <c r="AA49"/>
  <c r="Z49"/>
  <c r="Y49"/>
  <c r="X49"/>
  <c r="W49"/>
  <c r="W48" s="1"/>
  <c r="V49"/>
  <c r="U49"/>
  <c r="T49"/>
  <c r="S49"/>
  <c r="S48" s="1"/>
  <c r="R49"/>
  <c r="P49"/>
  <c r="P48" s="1"/>
  <c r="O49"/>
  <c r="M49"/>
  <c r="M48" s="1"/>
  <c r="L49"/>
  <c r="J49"/>
  <c r="J48" s="1"/>
  <c r="I49"/>
  <c r="G49"/>
  <c r="AQ48"/>
  <c r="AA48"/>
  <c r="G45"/>
  <c r="G36" s="1"/>
  <c r="F45"/>
  <c r="AI44"/>
  <c r="AI35" s="1"/>
  <c r="AF44"/>
  <c r="AC44"/>
  <c r="Z44"/>
  <c r="Z35" s="1"/>
  <c r="W44"/>
  <c r="W35" s="1"/>
  <c r="T44"/>
  <c r="Q44"/>
  <c r="N44"/>
  <c r="K44"/>
  <c r="G44"/>
  <c r="G35" s="1"/>
  <c r="F44"/>
  <c r="AI43"/>
  <c r="AF43"/>
  <c r="AC43"/>
  <c r="Z43"/>
  <c r="Z34" s="1"/>
  <c r="W43"/>
  <c r="T43"/>
  <c r="Q43"/>
  <c r="N43"/>
  <c r="G43"/>
  <c r="F43"/>
  <c r="F34" s="1"/>
  <c r="AP42"/>
  <c r="AO42"/>
  <c r="AN42"/>
  <c r="AM42"/>
  <c r="AL42"/>
  <c r="AK42"/>
  <c r="AJ42"/>
  <c r="AH42"/>
  <c r="AI42" s="1"/>
  <c r="AG42"/>
  <c r="AE42"/>
  <c r="AF42" s="1"/>
  <c r="AD42"/>
  <c r="AB42"/>
  <c r="AC42" s="1"/>
  <c r="AA42"/>
  <c r="Y42"/>
  <c r="X42"/>
  <c r="V42"/>
  <c r="W42" s="1"/>
  <c r="U42"/>
  <c r="S42"/>
  <c r="T42" s="1"/>
  <c r="R42"/>
  <c r="P42"/>
  <c r="Q42" s="1"/>
  <c r="O42"/>
  <c r="M42"/>
  <c r="N42" s="1"/>
  <c r="L42"/>
  <c r="J42"/>
  <c r="I42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S36"/>
  <c r="R36"/>
  <c r="Q36"/>
  <c r="P36"/>
  <c r="O36"/>
  <c r="M36"/>
  <c r="L36"/>
  <c r="J36"/>
  <c r="I36"/>
  <c r="F36"/>
  <c r="AR35"/>
  <c r="AQ35"/>
  <c r="AP35"/>
  <c r="AO35"/>
  <c r="AN35"/>
  <c r="AM35"/>
  <c r="AL35"/>
  <c r="AK35"/>
  <c r="AJ35"/>
  <c r="AH35"/>
  <c r="AG35"/>
  <c r="AE35"/>
  <c r="AD35"/>
  <c r="AC35"/>
  <c r="AB35"/>
  <c r="AA35"/>
  <c r="Y35"/>
  <c r="X35"/>
  <c r="V35"/>
  <c r="U35"/>
  <c r="S35"/>
  <c r="R35"/>
  <c r="P35"/>
  <c r="O35"/>
  <c r="M35"/>
  <c r="L35"/>
  <c r="J35"/>
  <c r="I35"/>
  <c r="AR34"/>
  <c r="AQ34"/>
  <c r="AP34"/>
  <c r="AO34"/>
  <c r="AN34"/>
  <c r="AM34"/>
  <c r="AL34"/>
  <c r="AK34"/>
  <c r="AJ34"/>
  <c r="AI34"/>
  <c r="AH34"/>
  <c r="AG34"/>
  <c r="AE34"/>
  <c r="AD34"/>
  <c r="AC34"/>
  <c r="AB34"/>
  <c r="AA34"/>
  <c r="Y34"/>
  <c r="X34"/>
  <c r="W34"/>
  <c r="V34"/>
  <c r="U34"/>
  <c r="S34"/>
  <c r="R34"/>
  <c r="P34"/>
  <c r="O34"/>
  <c r="M34"/>
  <c r="L34"/>
  <c r="J34"/>
  <c r="I34"/>
  <c r="G34"/>
  <c r="AQ33"/>
  <c r="AA33"/>
  <c r="O33"/>
  <c r="G31"/>
  <c r="F31"/>
  <c r="G30"/>
  <c r="G29" s="1"/>
  <c r="F30"/>
  <c r="F29" s="1"/>
  <c r="AR29"/>
  <c r="AQ29"/>
  <c r="AP29"/>
  <c r="AO29"/>
  <c r="AN29"/>
  <c r="AM29"/>
  <c r="AL29"/>
  <c r="AK29"/>
  <c r="AJ29"/>
  <c r="AH29"/>
  <c r="AG29"/>
  <c r="AF29"/>
  <c r="AE29"/>
  <c r="AD29"/>
  <c r="AC29"/>
  <c r="AB29"/>
  <c r="AA29"/>
  <c r="Z29"/>
  <c r="Y29"/>
  <c r="X29"/>
  <c r="W29"/>
  <c r="V29"/>
  <c r="U29"/>
  <c r="S29"/>
  <c r="R29"/>
  <c r="P29"/>
  <c r="O29"/>
  <c r="M29"/>
  <c r="L29"/>
  <c r="K29"/>
  <c r="J29"/>
  <c r="I29"/>
  <c r="G28"/>
  <c r="F28"/>
  <c r="G27"/>
  <c r="F27"/>
  <c r="AI26"/>
  <c r="AI10" s="1"/>
  <c r="AI82" s="1"/>
  <c r="AF26"/>
  <c r="AC26"/>
  <c r="AC25" s="1"/>
  <c r="Z26"/>
  <c r="K26"/>
  <c r="G26"/>
  <c r="F26"/>
  <c r="AR25"/>
  <c r="AQ25"/>
  <c r="AP25"/>
  <c r="AO25"/>
  <c r="AN25"/>
  <c r="AM25"/>
  <c r="AL25"/>
  <c r="AK25"/>
  <c r="AJ25"/>
  <c r="AH25"/>
  <c r="AI25" s="1"/>
  <c r="AG25"/>
  <c r="AE25"/>
  <c r="AD25"/>
  <c r="AB25"/>
  <c r="AA25"/>
  <c r="Z25"/>
  <c r="Y25"/>
  <c r="X25"/>
  <c r="W25"/>
  <c r="V25"/>
  <c r="U25"/>
  <c r="S25"/>
  <c r="R25"/>
  <c r="P25"/>
  <c r="Q25" s="1"/>
  <c r="O25"/>
  <c r="M25"/>
  <c r="N25" s="1"/>
  <c r="L25"/>
  <c r="J25"/>
  <c r="K25" s="1"/>
  <c r="I25"/>
  <c r="K24"/>
  <c r="G24"/>
  <c r="F24"/>
  <c r="G23"/>
  <c r="F23"/>
  <c r="AR22"/>
  <c r="AQ22"/>
  <c r="AP22"/>
  <c r="AO22"/>
  <c r="AN22"/>
  <c r="AM22"/>
  <c r="AL22"/>
  <c r="AK22"/>
  <c r="AJ22"/>
  <c r="AI22"/>
  <c r="AH22"/>
  <c r="AG22"/>
  <c r="AE22"/>
  <c r="AD22"/>
  <c r="AC22"/>
  <c r="AB22"/>
  <c r="AA22"/>
  <c r="Z22"/>
  <c r="Y22"/>
  <c r="X22"/>
  <c r="V22"/>
  <c r="U22"/>
  <c r="W22" s="1"/>
  <c r="S22"/>
  <c r="R22"/>
  <c r="P22"/>
  <c r="O22"/>
  <c r="M22"/>
  <c r="L22"/>
  <c r="J22"/>
  <c r="I22"/>
  <c r="K22" s="1"/>
  <c r="G20"/>
  <c r="F20"/>
  <c r="K19"/>
  <c r="G19"/>
  <c r="F19"/>
  <c r="G18"/>
  <c r="F18"/>
  <c r="AR17"/>
  <c r="AQ17"/>
  <c r="AP17"/>
  <c r="AO17"/>
  <c r="AN17"/>
  <c r="AM17"/>
  <c r="AL17"/>
  <c r="AK17"/>
  <c r="AJ17"/>
  <c r="AI17"/>
  <c r="AH17"/>
  <c r="AG17"/>
  <c r="AE17"/>
  <c r="AF17" s="1"/>
  <c r="AD17"/>
  <c r="AC17"/>
  <c r="AB17"/>
  <c r="AA17"/>
  <c r="Y17"/>
  <c r="X17"/>
  <c r="V17"/>
  <c r="U17"/>
  <c r="S17"/>
  <c r="R17"/>
  <c r="P17"/>
  <c r="O17"/>
  <c r="M17"/>
  <c r="L17"/>
  <c r="J17"/>
  <c r="I17"/>
  <c r="AD16"/>
  <c r="AD12" s="1"/>
  <c r="K16"/>
  <c r="G16"/>
  <c r="AM15"/>
  <c r="AM13" s="1"/>
  <c r="AJ15"/>
  <c r="AG11"/>
  <c r="AD15"/>
  <c r="AF15" s="1"/>
  <c r="AA15"/>
  <c r="AA11" s="1"/>
  <c r="AA83" s="1"/>
  <c r="Z15"/>
  <c r="Z11" s="1"/>
  <c r="U15"/>
  <c r="U13" s="1"/>
  <c r="N15"/>
  <c r="K15"/>
  <c r="G15"/>
  <c r="AP10"/>
  <c r="AM14"/>
  <c r="AJ14"/>
  <c r="AJ13" s="1"/>
  <c r="AD10"/>
  <c r="AA14"/>
  <c r="AA13" s="1"/>
  <c r="R14"/>
  <c r="R10" s="1"/>
  <c r="L14"/>
  <c r="N14" s="1"/>
  <c r="I14"/>
  <c r="G14"/>
  <c r="AR13"/>
  <c r="AQ13"/>
  <c r="AO13"/>
  <c r="AN13"/>
  <c r="AL13"/>
  <c r="AK13"/>
  <c r="AH13"/>
  <c r="AE13"/>
  <c r="AD13"/>
  <c r="AB13"/>
  <c r="Z13"/>
  <c r="Y13"/>
  <c r="X13"/>
  <c r="V13"/>
  <c r="S13"/>
  <c r="P13"/>
  <c r="M13"/>
  <c r="J13"/>
  <c r="AR12"/>
  <c r="AQ12"/>
  <c r="AQ84" s="1"/>
  <c r="AP12"/>
  <c r="AO12"/>
  <c r="AO84" s="1"/>
  <c r="AN12"/>
  <c r="AM12"/>
  <c r="AM84" s="1"/>
  <c r="AL12"/>
  <c r="AK12"/>
  <c r="AK84" s="1"/>
  <c r="AJ12"/>
  <c r="AI12"/>
  <c r="AI84" s="1"/>
  <c r="AH12"/>
  <c r="AG12"/>
  <c r="AG84" s="1"/>
  <c r="AE12"/>
  <c r="AC12"/>
  <c r="AC84" s="1"/>
  <c r="AB12"/>
  <c r="AA12"/>
  <c r="AA84" s="1"/>
  <c r="Z12"/>
  <c r="Y12"/>
  <c r="Y84" s="1"/>
  <c r="X12"/>
  <c r="V12"/>
  <c r="W12" s="1"/>
  <c r="W84" s="1"/>
  <c r="U12"/>
  <c r="S12"/>
  <c r="R12"/>
  <c r="P12"/>
  <c r="P84" s="1"/>
  <c r="O12"/>
  <c r="M12"/>
  <c r="M84" s="1"/>
  <c r="L12"/>
  <c r="J12"/>
  <c r="I12"/>
  <c r="AR11"/>
  <c r="AR83" s="1"/>
  <c r="AQ11"/>
  <c r="AO11"/>
  <c r="AN11"/>
  <c r="AM11"/>
  <c r="AM83" s="1"/>
  <c r="AL11"/>
  <c r="AK11"/>
  <c r="AJ11"/>
  <c r="AI11"/>
  <c r="AH11"/>
  <c r="AE11"/>
  <c r="AE83" s="1"/>
  <c r="AD11"/>
  <c r="AB11"/>
  <c r="AB83" s="1"/>
  <c r="Y11"/>
  <c r="X11"/>
  <c r="X83" s="1"/>
  <c r="V11"/>
  <c r="S11"/>
  <c r="S83" s="1"/>
  <c r="P11"/>
  <c r="P83" s="1"/>
  <c r="M11"/>
  <c r="L11"/>
  <c r="J11"/>
  <c r="AR10"/>
  <c r="AQ10"/>
  <c r="AQ82" s="1"/>
  <c r="AO10"/>
  <c r="AN10"/>
  <c r="AM10"/>
  <c r="AL10"/>
  <c r="AL82" s="1"/>
  <c r="AK10"/>
  <c r="AJ10"/>
  <c r="AH10"/>
  <c r="AH82" s="1"/>
  <c r="AG10"/>
  <c r="AE10"/>
  <c r="AB10"/>
  <c r="Z10"/>
  <c r="Z82" s="1"/>
  <c r="Y10"/>
  <c r="X10"/>
  <c r="V10"/>
  <c r="V82" s="1"/>
  <c r="U10"/>
  <c r="S10"/>
  <c r="P10"/>
  <c r="O10"/>
  <c r="M10"/>
  <c r="M82" s="1"/>
  <c r="J10"/>
  <c r="J82" s="1"/>
  <c r="AR9"/>
  <c r="AQ9"/>
  <c r="AH9"/>
  <c r="O26" i="35"/>
  <c r="I14"/>
  <c r="K14" s="1"/>
  <c r="O14"/>
  <c r="K26"/>
  <c r="K24"/>
  <c r="K19"/>
  <c r="K16"/>
  <c r="X15"/>
  <c r="X11" s="1"/>
  <c r="AP15"/>
  <c r="I15"/>
  <c r="K15" s="1"/>
  <c r="AP14"/>
  <c r="G80"/>
  <c r="F80"/>
  <c r="AP79"/>
  <c r="AP77" s="1"/>
  <c r="AM79"/>
  <c r="AM77" s="1"/>
  <c r="AJ79"/>
  <c r="AJ64" s="1"/>
  <c r="AG79"/>
  <c r="AG64" s="1"/>
  <c r="AD79"/>
  <c r="AF79" s="1"/>
  <c r="AA79"/>
  <c r="AA77" s="1"/>
  <c r="X79"/>
  <c r="Z79" s="1"/>
  <c r="U79"/>
  <c r="U64" s="1"/>
  <c r="O77"/>
  <c r="N79"/>
  <c r="G79"/>
  <c r="G78"/>
  <c r="F78"/>
  <c r="AO77"/>
  <c r="AN77"/>
  <c r="AL77"/>
  <c r="AK77"/>
  <c r="AJ77"/>
  <c r="AH77"/>
  <c r="AG77"/>
  <c r="AE77"/>
  <c r="AB77"/>
  <c r="Y77"/>
  <c r="X77"/>
  <c r="V77"/>
  <c r="U77"/>
  <c r="S77"/>
  <c r="P77"/>
  <c r="M77"/>
  <c r="L77"/>
  <c r="J77"/>
  <c r="I77"/>
  <c r="G76"/>
  <c r="F76"/>
  <c r="G75"/>
  <c r="F75"/>
  <c r="G74"/>
  <c r="G73" s="1"/>
  <c r="F74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S73"/>
  <c r="R73"/>
  <c r="P73"/>
  <c r="O73"/>
  <c r="M73"/>
  <c r="L73"/>
  <c r="J73"/>
  <c r="I73"/>
  <c r="G72"/>
  <c r="F72"/>
  <c r="AI71"/>
  <c r="AF71"/>
  <c r="AC71"/>
  <c r="Z71"/>
  <c r="W71"/>
  <c r="T71"/>
  <c r="Q71"/>
  <c r="N71"/>
  <c r="G71"/>
  <c r="F71"/>
  <c r="H71" s="1"/>
  <c r="G70"/>
  <c r="F70"/>
  <c r="F63" s="1"/>
  <c r="AP69"/>
  <c r="AO69"/>
  <c r="AN69"/>
  <c r="AM69"/>
  <c r="AL69"/>
  <c r="AK69"/>
  <c r="AJ69"/>
  <c r="AH69"/>
  <c r="AI69" s="1"/>
  <c r="AG69"/>
  <c r="AE69"/>
  <c r="AF69" s="1"/>
  <c r="AD69"/>
  <c r="AB69"/>
  <c r="AA69"/>
  <c r="Y69"/>
  <c r="Z69" s="1"/>
  <c r="X69"/>
  <c r="V69"/>
  <c r="W69" s="1"/>
  <c r="U69"/>
  <c r="S69"/>
  <c r="T69" s="1"/>
  <c r="R69"/>
  <c r="P69"/>
  <c r="O69"/>
  <c r="M69"/>
  <c r="N69" s="1"/>
  <c r="L69"/>
  <c r="J69"/>
  <c r="I69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S65"/>
  <c r="R65"/>
  <c r="P65"/>
  <c r="O65"/>
  <c r="N65"/>
  <c r="M65"/>
  <c r="L65"/>
  <c r="J65"/>
  <c r="I65"/>
  <c r="AR64"/>
  <c r="AQ64"/>
  <c r="AP64"/>
  <c r="AO64"/>
  <c r="AN64"/>
  <c r="AL64"/>
  <c r="AK64"/>
  <c r="AH64"/>
  <c r="AE64"/>
  <c r="AD64"/>
  <c r="AB64"/>
  <c r="Y64"/>
  <c r="X64"/>
  <c r="V64"/>
  <c r="S64"/>
  <c r="P64"/>
  <c r="M64"/>
  <c r="J64"/>
  <c r="I64"/>
  <c r="AR63"/>
  <c r="AQ63"/>
  <c r="AP63"/>
  <c r="AP62" s="1"/>
  <c r="AO63"/>
  <c r="AN63"/>
  <c r="AN62" s="1"/>
  <c r="AM63"/>
  <c r="AL63"/>
  <c r="AL62" s="1"/>
  <c r="AK63"/>
  <c r="AJ63"/>
  <c r="AI63"/>
  <c r="AH63"/>
  <c r="AH62" s="1"/>
  <c r="AG63"/>
  <c r="AF63"/>
  <c r="AE63"/>
  <c r="AE62" s="1"/>
  <c r="AD63"/>
  <c r="AD62" s="1"/>
  <c r="AC63"/>
  <c r="AB63"/>
  <c r="AB62" s="1"/>
  <c r="AA63"/>
  <c r="Z63"/>
  <c r="Y63"/>
  <c r="X63"/>
  <c r="X62" s="1"/>
  <c r="W63"/>
  <c r="V63"/>
  <c r="V62" s="1"/>
  <c r="U63"/>
  <c r="S63"/>
  <c r="S62" s="1"/>
  <c r="R63"/>
  <c r="P63"/>
  <c r="P62" s="1"/>
  <c r="O63"/>
  <c r="N63"/>
  <c r="M63"/>
  <c r="L63"/>
  <c r="J63"/>
  <c r="I63"/>
  <c r="I62" s="1"/>
  <c r="AR62"/>
  <c r="AQ62"/>
  <c r="AO62"/>
  <c r="AK62"/>
  <c r="Y62"/>
  <c r="J62"/>
  <c r="G59"/>
  <c r="G51" s="1"/>
  <c r="F59"/>
  <c r="F51" s="1"/>
  <c r="AI58"/>
  <c r="AI50" s="1"/>
  <c r="Z58"/>
  <c r="Z56" s="1"/>
  <c r="Q58"/>
  <c r="G58"/>
  <c r="H58" s="1"/>
  <c r="F58"/>
  <c r="G57"/>
  <c r="G56" s="1"/>
  <c r="F57"/>
  <c r="AP56"/>
  <c r="AO56"/>
  <c r="AN56"/>
  <c r="AM56"/>
  <c r="AL56"/>
  <c r="AK56"/>
  <c r="AJ56"/>
  <c r="AH56"/>
  <c r="AG56"/>
  <c r="AF56"/>
  <c r="AE56"/>
  <c r="AD56"/>
  <c r="AC56"/>
  <c r="AB56"/>
  <c r="AA56"/>
  <c r="Y56"/>
  <c r="X56"/>
  <c r="V56"/>
  <c r="U56"/>
  <c r="T56"/>
  <c r="S56"/>
  <c r="R56"/>
  <c r="P56"/>
  <c r="O56"/>
  <c r="M56"/>
  <c r="L56"/>
  <c r="J56"/>
  <c r="I56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M51"/>
  <c r="L51"/>
  <c r="K51"/>
  <c r="J51"/>
  <c r="I51"/>
  <c r="AR50"/>
  <c r="AQ50"/>
  <c r="AP50"/>
  <c r="AO50"/>
  <c r="AN50"/>
  <c r="AM50"/>
  <c r="AL50"/>
  <c r="AK50"/>
  <c r="AJ50"/>
  <c r="AH50"/>
  <c r="AG50"/>
  <c r="AF50"/>
  <c r="AE50"/>
  <c r="AD50"/>
  <c r="AC50"/>
  <c r="AB50"/>
  <c r="AA50"/>
  <c r="Z50"/>
  <c r="Y50"/>
  <c r="X50"/>
  <c r="W50"/>
  <c r="V50"/>
  <c r="U50"/>
  <c r="T50"/>
  <c r="S50"/>
  <c r="R50"/>
  <c r="P50"/>
  <c r="O50"/>
  <c r="Q50" s="1"/>
  <c r="M50"/>
  <c r="L50"/>
  <c r="J50"/>
  <c r="I50"/>
  <c r="F50"/>
  <c r="AR49"/>
  <c r="AQ49"/>
  <c r="AP49"/>
  <c r="AO49"/>
  <c r="AN49"/>
  <c r="AM49"/>
  <c r="AL49"/>
  <c r="AK49"/>
  <c r="AJ49"/>
  <c r="AI49"/>
  <c r="AH49"/>
  <c r="AG49"/>
  <c r="AF49"/>
  <c r="AF48" s="1"/>
  <c r="AE49"/>
  <c r="AD49"/>
  <c r="AC49"/>
  <c r="AB49"/>
  <c r="AA49"/>
  <c r="Z49"/>
  <c r="Y49"/>
  <c r="X49"/>
  <c r="W49"/>
  <c r="V49"/>
  <c r="U49"/>
  <c r="T49"/>
  <c r="S49"/>
  <c r="R49"/>
  <c r="P49"/>
  <c r="P48" s="1"/>
  <c r="O49"/>
  <c r="M49"/>
  <c r="M48" s="1"/>
  <c r="L49"/>
  <c r="J49"/>
  <c r="I49"/>
  <c r="G49"/>
  <c r="AN48"/>
  <c r="X48"/>
  <c r="J48"/>
  <c r="G45"/>
  <c r="G36" s="1"/>
  <c r="F45"/>
  <c r="AI44"/>
  <c r="AF44"/>
  <c r="AC44"/>
  <c r="AC35" s="1"/>
  <c r="Z44"/>
  <c r="Z35" s="1"/>
  <c r="W44"/>
  <c r="T44"/>
  <c r="Q44"/>
  <c r="N44"/>
  <c r="K44"/>
  <c r="G44"/>
  <c r="F44"/>
  <c r="AI43"/>
  <c r="AI34" s="1"/>
  <c r="AF43"/>
  <c r="AC43"/>
  <c r="AC34" s="1"/>
  <c r="Z43"/>
  <c r="Z34" s="1"/>
  <c r="W43"/>
  <c r="W34" s="1"/>
  <c r="T43"/>
  <c r="Q43"/>
  <c r="N43"/>
  <c r="K43"/>
  <c r="G43"/>
  <c r="F43"/>
  <c r="F34" s="1"/>
  <c r="AP42"/>
  <c r="AO42"/>
  <c r="AN42"/>
  <c r="AM42"/>
  <c r="AL42"/>
  <c r="AK42"/>
  <c r="AJ42"/>
  <c r="AH42"/>
  <c r="AG42"/>
  <c r="AE42"/>
  <c r="AF42" s="1"/>
  <c r="AD42"/>
  <c r="AB42"/>
  <c r="AA42"/>
  <c r="Y42"/>
  <c r="Z42" s="1"/>
  <c r="X42"/>
  <c r="V42"/>
  <c r="W42" s="1"/>
  <c r="U42"/>
  <c r="S42"/>
  <c r="T42" s="1"/>
  <c r="R42"/>
  <c r="P42"/>
  <c r="O42"/>
  <c r="M42"/>
  <c r="N42" s="1"/>
  <c r="L42"/>
  <c r="J42"/>
  <c r="I42"/>
  <c r="F42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S36"/>
  <c r="R36"/>
  <c r="Q36"/>
  <c r="P36"/>
  <c r="O36"/>
  <c r="M36"/>
  <c r="L36"/>
  <c r="J36"/>
  <c r="I36"/>
  <c r="F36"/>
  <c r="AR35"/>
  <c r="AQ35"/>
  <c r="AP35"/>
  <c r="AO35"/>
  <c r="AN35"/>
  <c r="AM35"/>
  <c r="AL35"/>
  <c r="AK35"/>
  <c r="AJ35"/>
  <c r="AI35"/>
  <c r="AH35"/>
  <c r="AG35"/>
  <c r="AE35"/>
  <c r="AD35"/>
  <c r="AB35"/>
  <c r="AA35"/>
  <c r="Y35"/>
  <c r="X35"/>
  <c r="W35"/>
  <c r="V35"/>
  <c r="U35"/>
  <c r="S35"/>
  <c r="R35"/>
  <c r="P35"/>
  <c r="O35"/>
  <c r="M35"/>
  <c r="L35"/>
  <c r="J35"/>
  <c r="I35"/>
  <c r="F35"/>
  <c r="AR34"/>
  <c r="AR33" s="1"/>
  <c r="AQ34"/>
  <c r="AP34"/>
  <c r="AP33" s="1"/>
  <c r="AO34"/>
  <c r="AN34"/>
  <c r="AN33" s="1"/>
  <c r="AM34"/>
  <c r="AL34"/>
  <c r="AL33" s="1"/>
  <c r="AK34"/>
  <c r="AJ34"/>
  <c r="AJ33" s="1"/>
  <c r="AH34"/>
  <c r="AG34"/>
  <c r="AE34"/>
  <c r="AD34"/>
  <c r="AF34" s="1"/>
  <c r="AB34"/>
  <c r="AB33" s="1"/>
  <c r="AA34"/>
  <c r="Y34"/>
  <c r="Y33" s="1"/>
  <c r="X34"/>
  <c r="X33" s="1"/>
  <c r="V34"/>
  <c r="U34"/>
  <c r="S34"/>
  <c r="S33" s="1"/>
  <c r="R34"/>
  <c r="P34"/>
  <c r="P33" s="1"/>
  <c r="O34"/>
  <c r="M34"/>
  <c r="M33" s="1"/>
  <c r="L34"/>
  <c r="J34"/>
  <c r="I34"/>
  <c r="AQ33"/>
  <c r="AM33"/>
  <c r="AH33"/>
  <c r="V33"/>
  <c r="G31"/>
  <c r="F31"/>
  <c r="G30"/>
  <c r="G29" s="1"/>
  <c r="F30"/>
  <c r="F29" s="1"/>
  <c r="AR29"/>
  <c r="AQ29"/>
  <c r="AP29"/>
  <c r="AO29"/>
  <c r="AN29"/>
  <c r="AM29"/>
  <c r="AL29"/>
  <c r="AK29"/>
  <c r="AJ29"/>
  <c r="AH29"/>
  <c r="AG29"/>
  <c r="AF29"/>
  <c r="AE29"/>
  <c r="AD29"/>
  <c r="AC29"/>
  <c r="AB29"/>
  <c r="AA29"/>
  <c r="Z29"/>
  <c r="Y29"/>
  <c r="X29"/>
  <c r="W29"/>
  <c r="V29"/>
  <c r="U29"/>
  <c r="S29"/>
  <c r="R29"/>
  <c r="P29"/>
  <c r="O29"/>
  <c r="M29"/>
  <c r="L29"/>
  <c r="K29"/>
  <c r="J29"/>
  <c r="I29"/>
  <c r="G28"/>
  <c r="F28"/>
  <c r="G27"/>
  <c r="F27"/>
  <c r="AG26"/>
  <c r="AG25" s="1"/>
  <c r="AF26"/>
  <c r="AC26"/>
  <c r="AC25" s="1"/>
  <c r="Z26"/>
  <c r="G26"/>
  <c r="AR25"/>
  <c r="AQ25"/>
  <c r="AP25"/>
  <c r="AO25"/>
  <c r="AN25"/>
  <c r="AM25"/>
  <c r="AL25"/>
  <c r="AK25"/>
  <c r="AJ25"/>
  <c r="AH25"/>
  <c r="AE25"/>
  <c r="AD25"/>
  <c r="AB25"/>
  <c r="AA25"/>
  <c r="Z25"/>
  <c r="Y25"/>
  <c r="X25"/>
  <c r="W25"/>
  <c r="V25"/>
  <c r="U25"/>
  <c r="S25"/>
  <c r="R25"/>
  <c r="P25"/>
  <c r="M25"/>
  <c r="L25"/>
  <c r="J25"/>
  <c r="I25"/>
  <c r="G24"/>
  <c r="F24"/>
  <c r="G23"/>
  <c r="F23"/>
  <c r="F22" s="1"/>
  <c r="AR22"/>
  <c r="AQ22"/>
  <c r="AP22"/>
  <c r="AO22"/>
  <c r="AN22"/>
  <c r="AM22"/>
  <c r="AL22"/>
  <c r="AK22"/>
  <c r="AJ22"/>
  <c r="AI22"/>
  <c r="AH22"/>
  <c r="AG22"/>
  <c r="AE22"/>
  <c r="AD22"/>
  <c r="AC22"/>
  <c r="AB22"/>
  <c r="AA22"/>
  <c r="Z22"/>
  <c r="Y22"/>
  <c r="X22"/>
  <c r="V22"/>
  <c r="U22"/>
  <c r="S22"/>
  <c r="R22"/>
  <c r="T22" s="1"/>
  <c r="P22"/>
  <c r="O22"/>
  <c r="M22"/>
  <c r="L22"/>
  <c r="J22"/>
  <c r="I22"/>
  <c r="G20"/>
  <c r="F20"/>
  <c r="G19"/>
  <c r="F19"/>
  <c r="G18"/>
  <c r="G17" s="1"/>
  <c r="F18"/>
  <c r="F17" s="1"/>
  <c r="AR17"/>
  <c r="AQ17"/>
  <c r="AP17"/>
  <c r="AO17"/>
  <c r="AN17"/>
  <c r="AM17"/>
  <c r="AL17"/>
  <c r="AK17"/>
  <c r="AJ17"/>
  <c r="AI17"/>
  <c r="AH17"/>
  <c r="AG17"/>
  <c r="AE17"/>
  <c r="AD17"/>
  <c r="AF17" s="1"/>
  <c r="AC17"/>
  <c r="AB17"/>
  <c r="AA17"/>
  <c r="Y17"/>
  <c r="Z17" s="1"/>
  <c r="X17"/>
  <c r="V17"/>
  <c r="W17" s="1"/>
  <c r="U17"/>
  <c r="S17"/>
  <c r="R17"/>
  <c r="P17"/>
  <c r="Q17" s="1"/>
  <c r="O17"/>
  <c r="M17"/>
  <c r="N17" s="1"/>
  <c r="L17"/>
  <c r="J17"/>
  <c r="I17"/>
  <c r="AD16"/>
  <c r="F16" s="1"/>
  <c r="F12" s="1"/>
  <c r="G16"/>
  <c r="AM15"/>
  <c r="AJ15"/>
  <c r="AG15"/>
  <c r="AD15"/>
  <c r="AF15" s="1"/>
  <c r="AC15"/>
  <c r="AC13" s="1"/>
  <c r="AA15"/>
  <c r="Z15"/>
  <c r="U15"/>
  <c r="W15" s="1"/>
  <c r="R15"/>
  <c r="T15" s="1"/>
  <c r="O15"/>
  <c r="O13" s="1"/>
  <c r="L15"/>
  <c r="N15" s="1"/>
  <c r="G15"/>
  <c r="AM14"/>
  <c r="AJ14"/>
  <c r="AJ13" s="1"/>
  <c r="AG14"/>
  <c r="AD14"/>
  <c r="AA14"/>
  <c r="X14"/>
  <c r="U14"/>
  <c r="U13" s="1"/>
  <c r="R14"/>
  <c r="R13" s="1"/>
  <c r="L14"/>
  <c r="L13" s="1"/>
  <c r="G14"/>
  <c r="G13" s="1"/>
  <c r="AR13"/>
  <c r="AQ13"/>
  <c r="AO13"/>
  <c r="AN13"/>
  <c r="AL13"/>
  <c r="AK13"/>
  <c r="AH13"/>
  <c r="AE13"/>
  <c r="AB13"/>
  <c r="Y13"/>
  <c r="X13"/>
  <c r="V13"/>
  <c r="S13"/>
  <c r="P13"/>
  <c r="M13"/>
  <c r="J13"/>
  <c r="AR12"/>
  <c r="AR84" s="1"/>
  <c r="AQ12"/>
  <c r="AP12"/>
  <c r="AP84" s="1"/>
  <c r="AO12"/>
  <c r="AN12"/>
  <c r="AN84" s="1"/>
  <c r="AM12"/>
  <c r="AL12"/>
  <c r="AL84" s="1"/>
  <c r="AK12"/>
  <c r="AJ12"/>
  <c r="AJ84" s="1"/>
  <c r="AI12"/>
  <c r="AH12"/>
  <c r="AH84" s="1"/>
  <c r="AG12"/>
  <c r="AE12"/>
  <c r="AE84" s="1"/>
  <c r="AC12"/>
  <c r="AC84" s="1"/>
  <c r="AB12"/>
  <c r="AA12"/>
  <c r="AA84" s="1"/>
  <c r="Z12"/>
  <c r="Y12"/>
  <c r="Y84" s="1"/>
  <c r="X12"/>
  <c r="V12"/>
  <c r="V84" s="1"/>
  <c r="U12"/>
  <c r="S12"/>
  <c r="S84" s="1"/>
  <c r="R12"/>
  <c r="P12"/>
  <c r="P84" s="1"/>
  <c r="O12"/>
  <c r="O84" s="1"/>
  <c r="M12"/>
  <c r="M84" s="1"/>
  <c r="L12"/>
  <c r="J12"/>
  <c r="J84" s="1"/>
  <c r="I12"/>
  <c r="G12"/>
  <c r="AR11"/>
  <c r="AQ11"/>
  <c r="AQ83" s="1"/>
  <c r="AP11"/>
  <c r="AO11"/>
  <c r="AO83" s="1"/>
  <c r="AN11"/>
  <c r="AM11"/>
  <c r="AL11"/>
  <c r="AL83" s="1"/>
  <c r="AK11"/>
  <c r="AK83" s="1"/>
  <c r="AJ11"/>
  <c r="AI11"/>
  <c r="AH11"/>
  <c r="AG11"/>
  <c r="AE11"/>
  <c r="AE83" s="1"/>
  <c r="AD11"/>
  <c r="AD83" s="1"/>
  <c r="AB11"/>
  <c r="AB83" s="1"/>
  <c r="AA11"/>
  <c r="Y11"/>
  <c r="Y83" s="1"/>
  <c r="V11"/>
  <c r="U11"/>
  <c r="U83" s="1"/>
  <c r="S11"/>
  <c r="R11"/>
  <c r="P11"/>
  <c r="P83" s="1"/>
  <c r="O11"/>
  <c r="M11"/>
  <c r="L11"/>
  <c r="J11"/>
  <c r="AR10"/>
  <c r="AR82" s="1"/>
  <c r="AR81" s="1"/>
  <c r="AQ10"/>
  <c r="AP10"/>
  <c r="AP82" s="1"/>
  <c r="AO10"/>
  <c r="AN10"/>
  <c r="AN82" s="1"/>
  <c r="AM10"/>
  <c r="AL10"/>
  <c r="AL82" s="1"/>
  <c r="AK10"/>
  <c r="AJ10"/>
  <c r="AJ82" s="1"/>
  <c r="AH10"/>
  <c r="AG10"/>
  <c r="AG82" s="1"/>
  <c r="AE10"/>
  <c r="AD10"/>
  <c r="AD82" s="1"/>
  <c r="AC10"/>
  <c r="AB10"/>
  <c r="AB82" s="1"/>
  <c r="AA10"/>
  <c r="Z10"/>
  <c r="Z82" s="1"/>
  <c r="Y10"/>
  <c r="X10"/>
  <c r="X82" s="1"/>
  <c r="V10"/>
  <c r="U10"/>
  <c r="U82" s="1"/>
  <c r="S10"/>
  <c r="R10"/>
  <c r="R82" s="1"/>
  <c r="P10"/>
  <c r="O10"/>
  <c r="O82" s="1"/>
  <c r="M10"/>
  <c r="L10"/>
  <c r="L82" s="1"/>
  <c r="J10"/>
  <c r="G10"/>
  <c r="AR9"/>
  <c r="AQ9"/>
  <c r="AH9"/>
  <c r="V9"/>
  <c r="AP79" i="34"/>
  <c r="AJ15"/>
  <c r="AG15"/>
  <c r="X15"/>
  <c r="O15"/>
  <c r="AP14"/>
  <c r="AG14"/>
  <c r="X14"/>
  <c r="O14"/>
  <c r="AJ14"/>
  <c r="AD14"/>
  <c r="AA14"/>
  <c r="U14"/>
  <c r="R14"/>
  <c r="L14"/>
  <c r="AM14"/>
  <c r="I14"/>
  <c r="Z77" i="35" l="1"/>
  <c r="Z64"/>
  <c r="AG13"/>
  <c r="AM13"/>
  <c r="K25"/>
  <c r="O33"/>
  <c r="AB48"/>
  <c r="AJ48"/>
  <c r="AR48"/>
  <c r="Z62"/>
  <c r="S33" i="37"/>
  <c r="L48"/>
  <c r="R48"/>
  <c r="Z62"/>
  <c r="AB62"/>
  <c r="Q84" i="35"/>
  <c r="K34"/>
  <c r="AA33"/>
  <c r="R33"/>
  <c r="AE33"/>
  <c r="AI42"/>
  <c r="H44"/>
  <c r="M62"/>
  <c r="G65"/>
  <c r="W10" i="37"/>
  <c r="W82" s="1"/>
  <c r="K34"/>
  <c r="AF34"/>
  <c r="T35"/>
  <c r="AE33"/>
  <c r="AI56"/>
  <c r="P62"/>
  <c r="AN62"/>
  <c r="W69"/>
  <c r="Z69"/>
  <c r="AI69"/>
  <c r="G10"/>
  <c r="AJ62" i="35"/>
  <c r="AK33" i="37"/>
  <c r="AM33"/>
  <c r="AO33"/>
  <c r="R9" i="35"/>
  <c r="AL9"/>
  <c r="J82"/>
  <c r="M82"/>
  <c r="P82"/>
  <c r="S82"/>
  <c r="V82"/>
  <c r="Y82"/>
  <c r="Y81" s="1"/>
  <c r="AA82"/>
  <c r="AC82"/>
  <c r="AE82"/>
  <c r="AH82"/>
  <c r="AK82"/>
  <c r="AM82"/>
  <c r="AO82"/>
  <c r="AQ82"/>
  <c r="M83"/>
  <c r="S83"/>
  <c r="V83"/>
  <c r="AC11"/>
  <c r="AF83"/>
  <c r="AH83"/>
  <c r="AJ83"/>
  <c r="AN83"/>
  <c r="AP83"/>
  <c r="AR83"/>
  <c r="I84"/>
  <c r="L84"/>
  <c r="R84"/>
  <c r="U84"/>
  <c r="X84"/>
  <c r="Z84"/>
  <c r="AB84"/>
  <c r="AD12"/>
  <c r="AD84" s="1"/>
  <c r="AD81" s="1"/>
  <c r="AG84"/>
  <c r="AI84"/>
  <c r="AK84"/>
  <c r="AM84"/>
  <c r="AO84"/>
  <c r="AQ84"/>
  <c r="Q15"/>
  <c r="T17"/>
  <c r="K22"/>
  <c r="N22"/>
  <c r="Q22"/>
  <c r="W22"/>
  <c r="AF22"/>
  <c r="H29"/>
  <c r="AD33"/>
  <c r="AF33" s="1"/>
  <c r="I33"/>
  <c r="L33"/>
  <c r="N33" s="1"/>
  <c r="T34"/>
  <c r="AK33"/>
  <c r="AO33"/>
  <c r="N35"/>
  <c r="Q42"/>
  <c r="AC42"/>
  <c r="L48"/>
  <c r="O48"/>
  <c r="R48"/>
  <c r="V48"/>
  <c r="Z48"/>
  <c r="AD48"/>
  <c r="AH48"/>
  <c r="AL48"/>
  <c r="AP48"/>
  <c r="G50"/>
  <c r="H50" s="1"/>
  <c r="U48"/>
  <c r="Y48"/>
  <c r="AC48"/>
  <c r="AG48"/>
  <c r="AK48"/>
  <c r="AO48"/>
  <c r="Q56"/>
  <c r="F56"/>
  <c r="H56" s="1"/>
  <c r="Q69"/>
  <c r="AC69"/>
  <c r="H75"/>
  <c r="V9" i="37"/>
  <c r="AL9"/>
  <c r="L10"/>
  <c r="N10" s="1"/>
  <c r="O82"/>
  <c r="S82"/>
  <c r="AA10"/>
  <c r="AA82" s="1"/>
  <c r="AE82"/>
  <c r="AM82"/>
  <c r="V83"/>
  <c r="AD83"/>
  <c r="AH83"/>
  <c r="AJ83"/>
  <c r="AL83"/>
  <c r="AN83"/>
  <c r="AQ83"/>
  <c r="I84"/>
  <c r="L84"/>
  <c r="O84"/>
  <c r="T12"/>
  <c r="U84"/>
  <c r="X84"/>
  <c r="AB84"/>
  <c r="AE84"/>
  <c r="AJ84"/>
  <c r="AN84"/>
  <c r="AR84"/>
  <c r="L13"/>
  <c r="F14"/>
  <c r="H14" s="1"/>
  <c r="K17"/>
  <c r="Q17"/>
  <c r="T17"/>
  <c r="W17"/>
  <c r="Z17"/>
  <c r="Q22"/>
  <c r="T22"/>
  <c r="AF22"/>
  <c r="H26"/>
  <c r="N34"/>
  <c r="T34"/>
  <c r="AN33"/>
  <c r="K35"/>
  <c r="Q35"/>
  <c r="AF35"/>
  <c r="K42"/>
  <c r="Z42"/>
  <c r="H43"/>
  <c r="AC69"/>
  <c r="AP69"/>
  <c r="N77"/>
  <c r="AF77"/>
  <c r="AJ81" i="35"/>
  <c r="AN81"/>
  <c r="K84"/>
  <c r="H19" i="37"/>
  <c r="N10" i="35"/>
  <c r="T11"/>
  <c r="AF11"/>
  <c r="Q12"/>
  <c r="T84"/>
  <c r="AF12"/>
  <c r="T13"/>
  <c r="AD13"/>
  <c r="AF13" s="1"/>
  <c r="Q13"/>
  <c r="AA13"/>
  <c r="AF25"/>
  <c r="T33"/>
  <c r="Q34"/>
  <c r="U33"/>
  <c r="AG33"/>
  <c r="Q35"/>
  <c r="T35"/>
  <c r="AF35"/>
  <c r="H43"/>
  <c r="Z33"/>
  <c r="S48"/>
  <c r="W48"/>
  <c r="AA48"/>
  <c r="AE48"/>
  <c r="AM48"/>
  <c r="AQ48"/>
  <c r="I48"/>
  <c r="AI56"/>
  <c r="AF62"/>
  <c r="L62"/>
  <c r="AF64"/>
  <c r="G69"/>
  <c r="G64"/>
  <c r="F65"/>
  <c r="F73"/>
  <c r="W77"/>
  <c r="AD77"/>
  <c r="AF77" s="1"/>
  <c r="AI77"/>
  <c r="G77"/>
  <c r="Q77"/>
  <c r="AC77"/>
  <c r="X83"/>
  <c r="AF11" i="37"/>
  <c r="K12"/>
  <c r="W13"/>
  <c r="AF13"/>
  <c r="F16"/>
  <c r="F12" s="1"/>
  <c r="F17"/>
  <c r="N22"/>
  <c r="G22"/>
  <c r="G12"/>
  <c r="J33"/>
  <c r="R33"/>
  <c r="L33"/>
  <c r="X33"/>
  <c r="I33"/>
  <c r="K33" s="1"/>
  <c r="U33"/>
  <c r="AC33"/>
  <c r="AG33"/>
  <c r="J84"/>
  <c r="G42"/>
  <c r="W33"/>
  <c r="AI33"/>
  <c r="I48"/>
  <c r="X48"/>
  <c r="AB48"/>
  <c r="AF48"/>
  <c r="AJ48"/>
  <c r="AN48"/>
  <c r="AR48"/>
  <c r="R84"/>
  <c r="V48"/>
  <c r="Z48"/>
  <c r="AD48"/>
  <c r="AH48"/>
  <c r="AL48"/>
  <c r="AP48"/>
  <c r="Q56"/>
  <c r="I62"/>
  <c r="J83"/>
  <c r="V62"/>
  <c r="AA62"/>
  <c r="AD62"/>
  <c r="AH62"/>
  <c r="AL62"/>
  <c r="N69"/>
  <c r="T69"/>
  <c r="AF69"/>
  <c r="H75"/>
  <c r="AC77"/>
  <c r="F63"/>
  <c r="G77"/>
  <c r="W77"/>
  <c r="AI77"/>
  <c r="W10" i="35"/>
  <c r="W11"/>
  <c r="T12"/>
  <c r="W13"/>
  <c r="AI25"/>
  <c r="Q33"/>
  <c r="F33"/>
  <c r="W33"/>
  <c r="AI33"/>
  <c r="Q48"/>
  <c r="H73"/>
  <c r="N64"/>
  <c r="N62" s="1"/>
  <c r="U62"/>
  <c r="AG62"/>
  <c r="AQ81" i="37"/>
  <c r="AF83"/>
  <c r="F22"/>
  <c r="H29"/>
  <c r="T33"/>
  <c r="AB82"/>
  <c r="AJ82"/>
  <c r="AR82"/>
  <c r="AR81" s="1"/>
  <c r="Y33"/>
  <c r="V84"/>
  <c r="V81" s="1"/>
  <c r="Z84"/>
  <c r="AD33"/>
  <c r="AH84"/>
  <c r="AL84"/>
  <c r="AP33"/>
  <c r="U48"/>
  <c r="Y48"/>
  <c r="AC48"/>
  <c r="AG48"/>
  <c r="AK48"/>
  <c r="AO48"/>
  <c r="F48"/>
  <c r="Y82"/>
  <c r="AK82"/>
  <c r="AI62"/>
  <c r="AM62"/>
  <c r="S84"/>
  <c r="W64"/>
  <c r="W62" s="1"/>
  <c r="F65"/>
  <c r="F69"/>
  <c r="H69" s="1"/>
  <c r="M62"/>
  <c r="Q77"/>
  <c r="Q64"/>
  <c r="L83"/>
  <c r="Q69"/>
  <c r="N64"/>
  <c r="N62" s="1"/>
  <c r="M33"/>
  <c r="N33" s="1"/>
  <c r="G33"/>
  <c r="H44"/>
  <c r="G82"/>
  <c r="AF25"/>
  <c r="G25"/>
  <c r="F25"/>
  <c r="J9"/>
  <c r="N17"/>
  <c r="G17"/>
  <c r="H17" s="1"/>
  <c r="N11"/>
  <c r="N13"/>
  <c r="AM81"/>
  <c r="Q84"/>
  <c r="P82"/>
  <c r="P81" s="1"/>
  <c r="Q12"/>
  <c r="Q10"/>
  <c r="G13"/>
  <c r="O13"/>
  <c r="Q13" s="1"/>
  <c r="R11"/>
  <c r="T11" s="1"/>
  <c r="R13"/>
  <c r="T13" s="1"/>
  <c r="O62"/>
  <c r="Q62" s="1"/>
  <c r="AP64"/>
  <c r="AP62" s="1"/>
  <c r="O48"/>
  <c r="Q48" s="1"/>
  <c r="Q50"/>
  <c r="F56"/>
  <c r="H56" s="1"/>
  <c r="R64"/>
  <c r="T79"/>
  <c r="F79"/>
  <c r="F77" s="1"/>
  <c r="H77" s="1"/>
  <c r="T77"/>
  <c r="T64"/>
  <c r="R64" i="35"/>
  <c r="R62" s="1"/>
  <c r="T62" s="1"/>
  <c r="L83"/>
  <c r="L81" s="1"/>
  <c r="R77"/>
  <c r="T77" s="1"/>
  <c r="J81" i="37"/>
  <c r="AE81"/>
  <c r="Z9"/>
  <c r="Z83"/>
  <c r="Z81" s="1"/>
  <c r="AG9"/>
  <c r="G84"/>
  <c r="S81"/>
  <c r="F10"/>
  <c r="H10" s="1"/>
  <c r="AD84"/>
  <c r="AF12"/>
  <c r="H34"/>
  <c r="AF33"/>
  <c r="AB81"/>
  <c r="AJ81"/>
  <c r="K84"/>
  <c r="T84"/>
  <c r="AI83"/>
  <c r="AI81" s="1"/>
  <c r="N84"/>
  <c r="R82"/>
  <c r="AD82"/>
  <c r="AF82" s="1"/>
  <c r="AD9"/>
  <c r="AP82"/>
  <c r="AP9"/>
  <c r="H50"/>
  <c r="G48"/>
  <c r="H48" s="1"/>
  <c r="AA81"/>
  <c r="AH81"/>
  <c r="AL81"/>
  <c r="Z33"/>
  <c r="AF84"/>
  <c r="U82"/>
  <c r="AG82"/>
  <c r="AO82"/>
  <c r="AK9"/>
  <c r="G11"/>
  <c r="G9" s="1"/>
  <c r="O11"/>
  <c r="O83" s="1"/>
  <c r="Q83" s="1"/>
  <c r="I13"/>
  <c r="K13" s="1"/>
  <c r="AG13"/>
  <c r="AP13"/>
  <c r="V33"/>
  <c r="AH33"/>
  <c r="S62"/>
  <c r="AE62"/>
  <c r="AF62" s="1"/>
  <c r="L82"/>
  <c r="X82"/>
  <c r="X81" s="1"/>
  <c r="AN82"/>
  <c r="AN81" s="1"/>
  <c r="M83"/>
  <c r="N83" s="1"/>
  <c r="AO83"/>
  <c r="AP84"/>
  <c r="S9"/>
  <c r="AA9"/>
  <c r="AE9"/>
  <c r="AI9"/>
  <c r="AM9"/>
  <c r="T10"/>
  <c r="AF10"/>
  <c r="I11"/>
  <c r="U11"/>
  <c r="N12"/>
  <c r="K14"/>
  <c r="F15"/>
  <c r="F13" s="1"/>
  <c r="W15"/>
  <c r="AC15"/>
  <c r="P33"/>
  <c r="Q33" s="1"/>
  <c r="AB33"/>
  <c r="AJ33"/>
  <c r="AR33"/>
  <c r="Q34"/>
  <c r="F35"/>
  <c r="H35" s="1"/>
  <c r="N35"/>
  <c r="H58"/>
  <c r="Y62"/>
  <c r="AK62"/>
  <c r="G64"/>
  <c r="H71"/>
  <c r="G73"/>
  <c r="H73" s="1"/>
  <c r="M9"/>
  <c r="Y9"/>
  <c r="AO9"/>
  <c r="AL33"/>
  <c r="F42"/>
  <c r="H42" s="1"/>
  <c r="Y83"/>
  <c r="Y81" s="1"/>
  <c r="AK83"/>
  <c r="AK81" s="1"/>
  <c r="L9"/>
  <c r="P9"/>
  <c r="X9"/>
  <c r="AB9"/>
  <c r="AJ9"/>
  <c r="AN9"/>
  <c r="I10"/>
  <c r="AC10"/>
  <c r="U64"/>
  <c r="U62" s="1"/>
  <c r="AG64"/>
  <c r="AG83" s="1"/>
  <c r="I10" i="35"/>
  <c r="I82" s="1"/>
  <c r="F14"/>
  <c r="G35"/>
  <c r="H35" s="1"/>
  <c r="J83"/>
  <c r="K35"/>
  <c r="J33"/>
  <c r="G25"/>
  <c r="G22"/>
  <c r="H22" s="1"/>
  <c r="G11"/>
  <c r="G83" s="1"/>
  <c r="J9"/>
  <c r="X81"/>
  <c r="I11"/>
  <c r="F15"/>
  <c r="F11" s="1"/>
  <c r="I13"/>
  <c r="K13" s="1"/>
  <c r="AP9"/>
  <c r="AP13"/>
  <c r="Q82"/>
  <c r="P81"/>
  <c r="F84"/>
  <c r="H12"/>
  <c r="K82"/>
  <c r="J81"/>
  <c r="T82"/>
  <c r="S81"/>
  <c r="N82"/>
  <c r="M81"/>
  <c r="AF82"/>
  <c r="AE81"/>
  <c r="Z13"/>
  <c r="Z11"/>
  <c r="AH81"/>
  <c r="AB81"/>
  <c r="AL81"/>
  <c r="W82"/>
  <c r="AK81"/>
  <c r="AO81"/>
  <c r="AG83"/>
  <c r="AG81" s="1"/>
  <c r="G84"/>
  <c r="N84"/>
  <c r="AF84"/>
  <c r="H17"/>
  <c r="AC33"/>
  <c r="G48"/>
  <c r="AI48"/>
  <c r="K33"/>
  <c r="F13"/>
  <c r="H13" s="1"/>
  <c r="U81"/>
  <c r="AP81"/>
  <c r="U9"/>
  <c r="W9" s="1"/>
  <c r="Y9"/>
  <c r="AG9"/>
  <c r="AO9"/>
  <c r="L9"/>
  <c r="P9"/>
  <c r="X9"/>
  <c r="AB9"/>
  <c r="AJ9"/>
  <c r="AN9"/>
  <c r="Q10"/>
  <c r="N11"/>
  <c r="K12"/>
  <c r="W12"/>
  <c r="W84" s="1"/>
  <c r="O9"/>
  <c r="S9"/>
  <c r="T9" s="1"/>
  <c r="AA9"/>
  <c r="AE9"/>
  <c r="AM9"/>
  <c r="T10"/>
  <c r="AF10"/>
  <c r="Q11"/>
  <c r="N12"/>
  <c r="K17"/>
  <c r="F26"/>
  <c r="AI26"/>
  <c r="AI10" s="1"/>
  <c r="N34"/>
  <c r="G42"/>
  <c r="H42" s="1"/>
  <c r="K42"/>
  <c r="O64"/>
  <c r="AA64"/>
  <c r="AA83" s="1"/>
  <c r="AA81" s="1"/>
  <c r="AM64"/>
  <c r="AM83" s="1"/>
  <c r="AM81" s="1"/>
  <c r="F69"/>
  <c r="H69" s="1"/>
  <c r="N77"/>
  <c r="Q79"/>
  <c r="W79"/>
  <c r="W64" s="1"/>
  <c r="AC79"/>
  <c r="AC64" s="1"/>
  <c r="AC62" s="1"/>
  <c r="AI79"/>
  <c r="AI64" s="1"/>
  <c r="N13"/>
  <c r="M9"/>
  <c r="AC9"/>
  <c r="AK9"/>
  <c r="F49"/>
  <c r="F48" s="1"/>
  <c r="G63"/>
  <c r="G62" s="1"/>
  <c r="F79"/>
  <c r="F64" s="1"/>
  <c r="H64" s="1"/>
  <c r="O25"/>
  <c r="G34"/>
  <c r="AD16" i="34"/>
  <c r="AD12" s="1"/>
  <c r="AQ12"/>
  <c r="AP12"/>
  <c r="AN12"/>
  <c r="AM12"/>
  <c r="AK12"/>
  <c r="AJ12"/>
  <c r="AH12"/>
  <c r="AG12"/>
  <c r="AE12"/>
  <c r="AB12"/>
  <c r="AA12"/>
  <c r="Y12"/>
  <c r="X12"/>
  <c r="V12"/>
  <c r="U12"/>
  <c r="S12"/>
  <c r="R12"/>
  <c r="P12"/>
  <c r="O12"/>
  <c r="M12"/>
  <c r="L12"/>
  <c r="J12"/>
  <c r="I12"/>
  <c r="AQ11"/>
  <c r="AN11"/>
  <c r="AK11"/>
  <c r="AH11"/>
  <c r="AE11"/>
  <c r="AB11"/>
  <c r="Y11"/>
  <c r="V11"/>
  <c r="S11"/>
  <c r="P11"/>
  <c r="M11"/>
  <c r="J11"/>
  <c r="AQ10"/>
  <c r="AN10"/>
  <c r="AK10"/>
  <c r="AH10"/>
  <c r="AE10"/>
  <c r="AB10"/>
  <c r="Y10"/>
  <c r="V10"/>
  <c r="S10"/>
  <c r="P10"/>
  <c r="M10"/>
  <c r="J10"/>
  <c r="AP10"/>
  <c r="AM10"/>
  <c r="AJ10"/>
  <c r="AD10"/>
  <c r="AA10"/>
  <c r="X10"/>
  <c r="U10"/>
  <c r="R10"/>
  <c r="I10"/>
  <c r="H79" i="37" l="1"/>
  <c r="G82" i="35"/>
  <c r="H12" i="37"/>
  <c r="AQ81" i="35"/>
  <c r="AF81"/>
  <c r="AP83" i="37"/>
  <c r="H16"/>
  <c r="V81" i="35"/>
  <c r="AD9"/>
  <c r="AF9" s="1"/>
  <c r="AF9" i="37"/>
  <c r="AI83" i="35"/>
  <c r="AI62"/>
  <c r="AC83"/>
  <c r="AC81" s="1"/>
  <c r="AA62"/>
  <c r="R83"/>
  <c r="T83" s="1"/>
  <c r="N83"/>
  <c r="H25" i="37"/>
  <c r="F84"/>
  <c r="H84" s="1"/>
  <c r="H22"/>
  <c r="L81"/>
  <c r="Q82"/>
  <c r="O9"/>
  <c r="Q9" s="1"/>
  <c r="N9"/>
  <c r="H13"/>
  <c r="R9"/>
  <c r="T9" s="1"/>
  <c r="AP81"/>
  <c r="L86" s="1"/>
  <c r="R62"/>
  <c r="T62" s="1"/>
  <c r="R83"/>
  <c r="T83" s="1"/>
  <c r="F64"/>
  <c r="F62" s="1"/>
  <c r="O81"/>
  <c r="T64" i="35"/>
  <c r="N81"/>
  <c r="G62" i="37"/>
  <c r="U83"/>
  <c r="U81" s="1"/>
  <c r="W11"/>
  <c r="W83" s="1"/>
  <c r="W81" s="1"/>
  <c r="U9"/>
  <c r="W9" s="1"/>
  <c r="I82"/>
  <c r="K10"/>
  <c r="I9"/>
  <c r="K9" s="1"/>
  <c r="AC13"/>
  <c r="AC11"/>
  <c r="AC83" s="1"/>
  <c r="G83"/>
  <c r="AC82"/>
  <c r="I83"/>
  <c r="K83" s="1"/>
  <c r="K11"/>
  <c r="F11"/>
  <c r="H15"/>
  <c r="F82"/>
  <c r="AG62"/>
  <c r="AG81"/>
  <c r="AD81"/>
  <c r="AF81" s="1"/>
  <c r="T82"/>
  <c r="M81"/>
  <c r="N81" s="1"/>
  <c r="Q11"/>
  <c r="AO81"/>
  <c r="N82"/>
  <c r="F33"/>
  <c r="H33" s="1"/>
  <c r="K10" i="35"/>
  <c r="H11"/>
  <c r="G9"/>
  <c r="H15"/>
  <c r="I83"/>
  <c r="K11"/>
  <c r="I9"/>
  <c r="K9" s="1"/>
  <c r="W83"/>
  <c r="W62"/>
  <c r="F25"/>
  <c r="H25" s="1"/>
  <c r="H26"/>
  <c r="Z83"/>
  <c r="Z81" s="1"/>
  <c r="Z9"/>
  <c r="AI82"/>
  <c r="AI81" s="1"/>
  <c r="AI9"/>
  <c r="G81"/>
  <c r="H34"/>
  <c r="G33"/>
  <c r="H33" s="1"/>
  <c r="Q64"/>
  <c r="O62"/>
  <c r="F77"/>
  <c r="H77" s="1"/>
  <c r="AM62"/>
  <c r="F83"/>
  <c r="H83" s="1"/>
  <c r="W81"/>
  <c r="F62"/>
  <c r="H62" s="1"/>
  <c r="Q9"/>
  <c r="H84"/>
  <c r="N9"/>
  <c r="H79"/>
  <c r="F10"/>
  <c r="H48"/>
  <c r="O83"/>
  <c r="O11" i="34"/>
  <c r="U15"/>
  <c r="U11" s="1"/>
  <c r="K86" i="37" l="1"/>
  <c r="Q81"/>
  <c r="AC9"/>
  <c r="R81" i="35"/>
  <c r="T81" s="1"/>
  <c r="H62" i="37"/>
  <c r="F83"/>
  <c r="H83" s="1"/>
  <c r="H64"/>
  <c r="F9"/>
  <c r="H9" s="1"/>
  <c r="H11"/>
  <c r="R81"/>
  <c r="T81" s="1"/>
  <c r="I81"/>
  <c r="K81" s="1"/>
  <c r="K82"/>
  <c r="G81"/>
  <c r="H82"/>
  <c r="AC81"/>
  <c r="K83" i="35"/>
  <c r="I81"/>
  <c r="K81" s="1"/>
  <c r="F9"/>
  <c r="H9" s="1"/>
  <c r="F82"/>
  <c r="H10"/>
  <c r="Q62"/>
  <c r="Q83"/>
  <c r="O81"/>
  <c r="Q81" s="1"/>
  <c r="AP15" i="34"/>
  <c r="AP11" s="1"/>
  <c r="AM15"/>
  <c r="AM11" s="1"/>
  <c r="AJ11"/>
  <c r="AG11"/>
  <c r="AD15"/>
  <c r="AD11" s="1"/>
  <c r="AA15"/>
  <c r="AA11" s="1"/>
  <c r="X11"/>
  <c r="R15"/>
  <c r="R11" s="1"/>
  <c r="L15"/>
  <c r="L11" s="1"/>
  <c r="I15"/>
  <c r="I11" s="1"/>
  <c r="L10"/>
  <c r="AG26"/>
  <c r="AG10" s="1"/>
  <c r="O26"/>
  <c r="J86" i="37" l="1"/>
  <c r="I86"/>
  <c r="F81"/>
  <c r="H81" s="1"/>
  <c r="F81" i="35"/>
  <c r="H81" s="1"/>
  <c r="H82"/>
  <c r="O10" i="34"/>
  <c r="I25"/>
  <c r="L25"/>
  <c r="O25"/>
  <c r="R25"/>
  <c r="U25"/>
  <c r="X25"/>
  <c r="Y25"/>
  <c r="AA25"/>
  <c r="AD25"/>
  <c r="AE25"/>
  <c r="AG25"/>
  <c r="AH25"/>
  <c r="AJ25"/>
  <c r="AM25"/>
  <c r="AP25"/>
  <c r="AG79" l="1"/>
  <c r="X79"/>
  <c r="Z79" s="1"/>
  <c r="O79"/>
  <c r="AM79"/>
  <c r="AJ79"/>
  <c r="AD79"/>
  <c r="AA79"/>
  <c r="U79"/>
  <c r="R79"/>
  <c r="L79"/>
  <c r="AV21"/>
  <c r="AU21"/>
  <c r="AW21" l="1"/>
  <c r="AI26"/>
  <c r="AP22"/>
  <c r="AI22"/>
  <c r="AG17"/>
  <c r="AP13"/>
  <c r="AG13"/>
  <c r="AV79"/>
  <c r="AV71"/>
  <c r="AV58"/>
  <c r="AV43"/>
  <c r="AV26"/>
  <c r="AV23"/>
  <c r="AV20"/>
  <c r="AU58"/>
  <c r="AI79"/>
  <c r="AI71"/>
  <c r="AI58"/>
  <c r="AI50" s="1"/>
  <c r="AI44"/>
  <c r="AI35" s="1"/>
  <c r="AI43"/>
  <c r="AI34" s="1"/>
  <c r="AG42"/>
  <c r="G80"/>
  <c r="F80"/>
  <c r="AU79"/>
  <c r="AC79"/>
  <c r="Z77"/>
  <c r="W79"/>
  <c r="T79"/>
  <c r="Q79"/>
  <c r="N79"/>
  <c r="G79"/>
  <c r="G78"/>
  <c r="F78"/>
  <c r="AO77"/>
  <c r="AN77"/>
  <c r="AM77"/>
  <c r="AL77"/>
  <c r="AK77"/>
  <c r="AJ77"/>
  <c r="AH77"/>
  <c r="AG77"/>
  <c r="AE77"/>
  <c r="AB77"/>
  <c r="AA77"/>
  <c r="Y77"/>
  <c r="X77"/>
  <c r="V77"/>
  <c r="U77"/>
  <c r="S77"/>
  <c r="R77"/>
  <c r="P77"/>
  <c r="O77"/>
  <c r="M77"/>
  <c r="L77"/>
  <c r="J77"/>
  <c r="I77"/>
  <c r="G76"/>
  <c r="F76"/>
  <c r="G75"/>
  <c r="F75"/>
  <c r="G74"/>
  <c r="G73" s="1"/>
  <c r="F74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S73"/>
  <c r="R73"/>
  <c r="P73"/>
  <c r="O73"/>
  <c r="M73"/>
  <c r="L73"/>
  <c r="J73"/>
  <c r="I73"/>
  <c r="G72"/>
  <c r="F72"/>
  <c r="AF71"/>
  <c r="AC71"/>
  <c r="Z71"/>
  <c r="W71"/>
  <c r="T71"/>
  <c r="Q71"/>
  <c r="N71"/>
  <c r="G71"/>
  <c r="G70"/>
  <c r="F70"/>
  <c r="AP69"/>
  <c r="AO69"/>
  <c r="AN69"/>
  <c r="AM69"/>
  <c r="AL69"/>
  <c r="AK69"/>
  <c r="AH69"/>
  <c r="AG69"/>
  <c r="AE69"/>
  <c r="AD69"/>
  <c r="AB69"/>
  <c r="AA69"/>
  <c r="Y69"/>
  <c r="X69"/>
  <c r="V69"/>
  <c r="U69"/>
  <c r="S69"/>
  <c r="R69"/>
  <c r="P69"/>
  <c r="O69"/>
  <c r="M69"/>
  <c r="L69"/>
  <c r="J69"/>
  <c r="AV69" s="1"/>
  <c r="I69"/>
  <c r="AU69" s="1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S65"/>
  <c r="R65"/>
  <c r="P65"/>
  <c r="O65"/>
  <c r="N65"/>
  <c r="M65"/>
  <c r="L65"/>
  <c r="J65"/>
  <c r="I65"/>
  <c r="AR64"/>
  <c r="AQ64"/>
  <c r="AP64"/>
  <c r="AO64"/>
  <c r="AN64"/>
  <c r="AM64"/>
  <c r="AL64"/>
  <c r="AK64"/>
  <c r="AH64"/>
  <c r="AG64"/>
  <c r="AE64"/>
  <c r="AB64"/>
  <c r="AA64"/>
  <c r="Y64"/>
  <c r="X64"/>
  <c r="V64"/>
  <c r="U64"/>
  <c r="S64"/>
  <c r="R64"/>
  <c r="P64"/>
  <c r="O64"/>
  <c r="M64"/>
  <c r="J64"/>
  <c r="I64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S63"/>
  <c r="R63"/>
  <c r="P63"/>
  <c r="O63"/>
  <c r="N63"/>
  <c r="M63"/>
  <c r="L63"/>
  <c r="J63"/>
  <c r="I63"/>
  <c r="AR62"/>
  <c r="AQ62"/>
  <c r="G59"/>
  <c r="G51" s="1"/>
  <c r="F59"/>
  <c r="F51" s="1"/>
  <c r="Z58"/>
  <c r="Z50" s="1"/>
  <c r="W50"/>
  <c r="Q58"/>
  <c r="G58"/>
  <c r="F58"/>
  <c r="F50" s="1"/>
  <c r="G57"/>
  <c r="F57"/>
  <c r="AP56"/>
  <c r="AO56"/>
  <c r="AN56"/>
  <c r="AM56"/>
  <c r="AL56"/>
  <c r="AK56"/>
  <c r="AJ56"/>
  <c r="AH56"/>
  <c r="AG56"/>
  <c r="AF56"/>
  <c r="AE56"/>
  <c r="AD56"/>
  <c r="AC56"/>
  <c r="AB56"/>
  <c r="AA56"/>
  <c r="Y56"/>
  <c r="X56"/>
  <c r="V56"/>
  <c r="U56"/>
  <c r="T56"/>
  <c r="S56"/>
  <c r="R56"/>
  <c r="P56"/>
  <c r="O56"/>
  <c r="M56"/>
  <c r="L56"/>
  <c r="J56"/>
  <c r="I56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M51"/>
  <c r="L51"/>
  <c r="K51"/>
  <c r="J51"/>
  <c r="I51"/>
  <c r="AR50"/>
  <c r="AQ50"/>
  <c r="AP50"/>
  <c r="AO50"/>
  <c r="AN50"/>
  <c r="AM50"/>
  <c r="AL50"/>
  <c r="AK50"/>
  <c r="AJ50"/>
  <c r="AH50"/>
  <c r="AG50"/>
  <c r="AF50"/>
  <c r="AE50"/>
  <c r="AD50"/>
  <c r="AC50"/>
  <c r="AB50"/>
  <c r="AA50"/>
  <c r="Y50"/>
  <c r="X50"/>
  <c r="V50"/>
  <c r="U50"/>
  <c r="T50"/>
  <c r="S50"/>
  <c r="R50"/>
  <c r="P50"/>
  <c r="O50"/>
  <c r="M50"/>
  <c r="L50"/>
  <c r="J50"/>
  <c r="I50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P49"/>
  <c r="O49"/>
  <c r="M49"/>
  <c r="L49"/>
  <c r="J49"/>
  <c r="I49"/>
  <c r="G49"/>
  <c r="G45"/>
  <c r="G36" s="1"/>
  <c r="F45"/>
  <c r="F36" s="1"/>
  <c r="AF44"/>
  <c r="AC44"/>
  <c r="AC35" s="1"/>
  <c r="Z44"/>
  <c r="Z35" s="1"/>
  <c r="W44"/>
  <c r="W35" s="1"/>
  <c r="AV44"/>
  <c r="Q44"/>
  <c r="N44"/>
  <c r="K44"/>
  <c r="AF43"/>
  <c r="AC43"/>
  <c r="AC34" s="1"/>
  <c r="Z43"/>
  <c r="Z34" s="1"/>
  <c r="W43"/>
  <c r="W34" s="1"/>
  <c r="T43"/>
  <c r="O42"/>
  <c r="N43"/>
  <c r="K43"/>
  <c r="G43"/>
  <c r="G34" s="1"/>
  <c r="AP42"/>
  <c r="AO42"/>
  <c r="AN42"/>
  <c r="AM42"/>
  <c r="AL42"/>
  <c r="AK42"/>
  <c r="AJ42"/>
  <c r="AH42"/>
  <c r="AE42"/>
  <c r="AD42"/>
  <c r="AB42"/>
  <c r="AA42"/>
  <c r="Y42"/>
  <c r="V42"/>
  <c r="U42"/>
  <c r="P42"/>
  <c r="M42"/>
  <c r="J42"/>
  <c r="I42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S36"/>
  <c r="R36"/>
  <c r="Q36"/>
  <c r="P36"/>
  <c r="O36"/>
  <c r="M36"/>
  <c r="L36"/>
  <c r="J36"/>
  <c r="I36"/>
  <c r="AR35"/>
  <c r="AQ35"/>
  <c r="AP35"/>
  <c r="AO35"/>
  <c r="AN35"/>
  <c r="AM35"/>
  <c r="AL35"/>
  <c r="AK35"/>
  <c r="AJ35"/>
  <c r="AH35"/>
  <c r="AG35"/>
  <c r="AE35"/>
  <c r="AD35"/>
  <c r="AB35"/>
  <c r="AA35"/>
  <c r="Y35"/>
  <c r="V35"/>
  <c r="U35"/>
  <c r="P35"/>
  <c r="M35"/>
  <c r="J35"/>
  <c r="I35"/>
  <c r="AR34"/>
  <c r="AQ34"/>
  <c r="AP34"/>
  <c r="AO34"/>
  <c r="AN34"/>
  <c r="AM34"/>
  <c r="AL34"/>
  <c r="AK34"/>
  <c r="AJ34"/>
  <c r="AH34"/>
  <c r="AG34"/>
  <c r="AE34"/>
  <c r="AD34"/>
  <c r="AB34"/>
  <c r="AA34"/>
  <c r="Y34"/>
  <c r="V34"/>
  <c r="U34"/>
  <c r="S34"/>
  <c r="R34"/>
  <c r="P34"/>
  <c r="M34"/>
  <c r="L34"/>
  <c r="J34"/>
  <c r="I34"/>
  <c r="AO12"/>
  <c r="AL12"/>
  <c r="AR11"/>
  <c r="AR10"/>
  <c r="AO10"/>
  <c r="AL10"/>
  <c r="G31"/>
  <c r="F31"/>
  <c r="G30"/>
  <c r="G29" s="1"/>
  <c r="F30"/>
  <c r="AR29"/>
  <c r="AQ29"/>
  <c r="AP29"/>
  <c r="AO29"/>
  <c r="AN29"/>
  <c r="AM29"/>
  <c r="AL29"/>
  <c r="AK29"/>
  <c r="AJ29"/>
  <c r="AH29"/>
  <c r="AF29"/>
  <c r="AE29"/>
  <c r="AD29"/>
  <c r="AC29"/>
  <c r="AB29"/>
  <c r="AA29"/>
  <c r="Z29"/>
  <c r="Y29"/>
  <c r="X29"/>
  <c r="W29"/>
  <c r="V29"/>
  <c r="U29"/>
  <c r="S29"/>
  <c r="R29"/>
  <c r="P29"/>
  <c r="O29"/>
  <c r="M29"/>
  <c r="L29"/>
  <c r="K29"/>
  <c r="J29"/>
  <c r="I29"/>
  <c r="G28"/>
  <c r="F28"/>
  <c r="G27"/>
  <c r="F27"/>
  <c r="AF26"/>
  <c r="AC26"/>
  <c r="AC25" s="1"/>
  <c r="Z26"/>
  <c r="Z25" s="1"/>
  <c r="G26"/>
  <c r="AR25"/>
  <c r="AQ25"/>
  <c r="AO25"/>
  <c r="AN25"/>
  <c r="AL25"/>
  <c r="AK25"/>
  <c r="AB25"/>
  <c r="W25"/>
  <c r="V25"/>
  <c r="S25"/>
  <c r="P25"/>
  <c r="M25"/>
  <c r="K25"/>
  <c r="J25"/>
  <c r="G24"/>
  <c r="F24"/>
  <c r="AM22"/>
  <c r="AJ22"/>
  <c r="Z22"/>
  <c r="U22"/>
  <c r="G23"/>
  <c r="AR22"/>
  <c r="AQ22"/>
  <c r="AO22"/>
  <c r="AN22"/>
  <c r="AL22"/>
  <c r="AK22"/>
  <c r="AH22"/>
  <c r="AE22"/>
  <c r="AB22"/>
  <c r="Y22"/>
  <c r="V22"/>
  <c r="S22"/>
  <c r="P22"/>
  <c r="M22"/>
  <c r="J22"/>
  <c r="G20"/>
  <c r="G19"/>
  <c r="F19"/>
  <c r="AM17"/>
  <c r="AV18"/>
  <c r="R17"/>
  <c r="AR17"/>
  <c r="AQ17"/>
  <c r="AO17"/>
  <c r="AN17"/>
  <c r="AL17"/>
  <c r="AK17"/>
  <c r="AH17"/>
  <c r="AE17"/>
  <c r="AB17"/>
  <c r="Y17"/>
  <c r="S17"/>
  <c r="P17"/>
  <c r="M17"/>
  <c r="J17"/>
  <c r="I17"/>
  <c r="G16"/>
  <c r="F16"/>
  <c r="AM13"/>
  <c r="AJ13"/>
  <c r="AF15"/>
  <c r="AA13"/>
  <c r="Z15"/>
  <c r="Z13" s="1"/>
  <c r="T15"/>
  <c r="O13"/>
  <c r="M13"/>
  <c r="L13"/>
  <c r="J13"/>
  <c r="I13"/>
  <c r="G14"/>
  <c r="F14"/>
  <c r="AR13"/>
  <c r="AQ13"/>
  <c r="AO13"/>
  <c r="AN13"/>
  <c r="AL13"/>
  <c r="AK13"/>
  <c r="AH13"/>
  <c r="AE13"/>
  <c r="AB13"/>
  <c r="Y13"/>
  <c r="V13"/>
  <c r="S13"/>
  <c r="P13"/>
  <c r="AR12"/>
  <c r="AO11"/>
  <c r="AL11"/>
  <c r="H75" l="1"/>
  <c r="G12"/>
  <c r="F29"/>
  <c r="H29" s="1"/>
  <c r="G65"/>
  <c r="F73"/>
  <c r="G25"/>
  <c r="J82"/>
  <c r="V33"/>
  <c r="AN62"/>
  <c r="M83"/>
  <c r="G63"/>
  <c r="U17"/>
  <c r="AG22"/>
  <c r="AI25"/>
  <c r="X34"/>
  <c r="X82" s="1"/>
  <c r="L35"/>
  <c r="N35" s="1"/>
  <c r="L17"/>
  <c r="N17" s="1"/>
  <c r="AQ82"/>
  <c r="K17"/>
  <c r="W33"/>
  <c r="I84"/>
  <c r="AA22"/>
  <c r="Y82"/>
  <c r="AO82"/>
  <c r="AG84"/>
  <c r="O34"/>
  <c r="AU34" s="1"/>
  <c r="AL33"/>
  <c r="AE48"/>
  <c r="AK9"/>
  <c r="AW58"/>
  <c r="J83"/>
  <c r="U84"/>
  <c r="AD13"/>
  <c r="AF13" s="1"/>
  <c r="U83"/>
  <c r="O22"/>
  <c r="Q22" s="1"/>
  <c r="AG82"/>
  <c r="AR82"/>
  <c r="P84"/>
  <c r="S84"/>
  <c r="AH84"/>
  <c r="AL84"/>
  <c r="AA33"/>
  <c r="AM33"/>
  <c r="AQ33"/>
  <c r="W42"/>
  <c r="AC42"/>
  <c r="AF42"/>
  <c r="J48"/>
  <c r="S48"/>
  <c r="U48"/>
  <c r="AC48"/>
  <c r="AG48"/>
  <c r="AU50"/>
  <c r="AB62"/>
  <c r="AD64"/>
  <c r="AF64" s="1"/>
  <c r="Q69"/>
  <c r="AC69"/>
  <c r="N64"/>
  <c r="N62" s="1"/>
  <c r="Z64"/>
  <c r="Z62" s="1"/>
  <c r="AV77"/>
  <c r="Q77"/>
  <c r="AC77"/>
  <c r="W64"/>
  <c r="W62" s="1"/>
  <c r="AJ17"/>
  <c r="M48"/>
  <c r="S82"/>
  <c r="AB82"/>
  <c r="K11"/>
  <c r="AL83"/>
  <c r="AQ83"/>
  <c r="O84"/>
  <c r="N13"/>
  <c r="AU20"/>
  <c r="AW20" s="1"/>
  <c r="AV29"/>
  <c r="AR9"/>
  <c r="AK82"/>
  <c r="AN83"/>
  <c r="AP83"/>
  <c r="J33"/>
  <c r="AU43"/>
  <c r="AW43" s="1"/>
  <c r="G44"/>
  <c r="G42" s="1"/>
  <c r="I48"/>
  <c r="R48"/>
  <c r="Z48"/>
  <c r="AD48"/>
  <c r="AU56"/>
  <c r="AI56"/>
  <c r="F56"/>
  <c r="AC64"/>
  <c r="AC62" s="1"/>
  <c r="AI77"/>
  <c r="AW79"/>
  <c r="W22"/>
  <c r="AP33"/>
  <c r="R13"/>
  <c r="T13" s="1"/>
  <c r="X17"/>
  <c r="Z17" s="1"/>
  <c r="AV22"/>
  <c r="AF25"/>
  <c r="AV34"/>
  <c r="AD33"/>
  <c r="O35"/>
  <c r="AF35"/>
  <c r="F43"/>
  <c r="F34" s="1"/>
  <c r="H34" s="1"/>
  <c r="F49"/>
  <c r="F48" s="1"/>
  <c r="P48"/>
  <c r="Y48"/>
  <c r="AK48"/>
  <c r="AM48"/>
  <c r="AO48"/>
  <c r="Q50"/>
  <c r="X48"/>
  <c r="AV56"/>
  <c r="Q56"/>
  <c r="J62"/>
  <c r="I62"/>
  <c r="AV64"/>
  <c r="S62"/>
  <c r="X62"/>
  <c r="Z69"/>
  <c r="F65"/>
  <c r="T77"/>
  <c r="AD77"/>
  <c r="AU77" s="1"/>
  <c r="AF79"/>
  <c r="AI17"/>
  <c r="AW69"/>
  <c r="Q13"/>
  <c r="AM83"/>
  <c r="Z12"/>
  <c r="Z84" s="1"/>
  <c r="AD84"/>
  <c r="U33"/>
  <c r="AC33"/>
  <c r="AA48"/>
  <c r="H58"/>
  <c r="V83"/>
  <c r="P62"/>
  <c r="F63"/>
  <c r="AI12"/>
  <c r="AI84" s="1"/>
  <c r="AI42"/>
  <c r="AI48"/>
  <c r="AV13"/>
  <c r="AU18"/>
  <c r="AW18" s="1"/>
  <c r="AU23"/>
  <c r="AW23" s="1"/>
  <c r="AU44"/>
  <c r="AW44" s="1"/>
  <c r="AU71"/>
  <c r="AW71" s="1"/>
  <c r="AV25"/>
  <c r="L82"/>
  <c r="V82"/>
  <c r="AA82"/>
  <c r="AM82"/>
  <c r="AO9"/>
  <c r="X13"/>
  <c r="G15"/>
  <c r="K15"/>
  <c r="K13" s="1"/>
  <c r="V17"/>
  <c r="AV17" s="1"/>
  <c r="G18"/>
  <c r="G10" s="1"/>
  <c r="T17"/>
  <c r="F26"/>
  <c r="F25" s="1"/>
  <c r="H25" s="1"/>
  <c r="AG29"/>
  <c r="AU29" s="1"/>
  <c r="AM84"/>
  <c r="K34"/>
  <c r="T34"/>
  <c r="AF34"/>
  <c r="AH33"/>
  <c r="AJ33"/>
  <c r="AN33"/>
  <c r="AR33"/>
  <c r="K42"/>
  <c r="Q42"/>
  <c r="Q43"/>
  <c r="Z33"/>
  <c r="AP48"/>
  <c r="O48"/>
  <c r="AQ48"/>
  <c r="AF48"/>
  <c r="W48"/>
  <c r="Q64"/>
  <c r="AA62"/>
  <c r="T69"/>
  <c r="AF69"/>
  <c r="AI69"/>
  <c r="W77"/>
  <c r="AU26"/>
  <c r="AW26" s="1"/>
  <c r="AV15"/>
  <c r="AV50"/>
  <c r="AU15"/>
  <c r="X84"/>
  <c r="AB84"/>
  <c r="AJ84"/>
  <c r="AN84"/>
  <c r="AR84"/>
  <c r="AB83"/>
  <c r="AH83"/>
  <c r="AR83"/>
  <c r="AP84"/>
  <c r="AQ84"/>
  <c r="H73"/>
  <c r="M62"/>
  <c r="R62"/>
  <c r="AE62"/>
  <c r="AM62"/>
  <c r="AI10"/>
  <c r="AI82" s="1"/>
  <c r="G64"/>
  <c r="AI64"/>
  <c r="AI62" s="1"/>
  <c r="AI33"/>
  <c r="G84"/>
  <c r="AH9"/>
  <c r="AN82"/>
  <c r="AN9"/>
  <c r="AE83"/>
  <c r="O17"/>
  <c r="Q17" s="1"/>
  <c r="AC22"/>
  <c r="P33"/>
  <c r="K35"/>
  <c r="I33"/>
  <c r="Y33"/>
  <c r="Y83"/>
  <c r="AJ64"/>
  <c r="AJ62" s="1"/>
  <c r="AJ69"/>
  <c r="N15"/>
  <c r="AP17"/>
  <c r="F20"/>
  <c r="F12" s="1"/>
  <c r="L84"/>
  <c r="AA84"/>
  <c r="AA17"/>
  <c r="R22"/>
  <c r="T22" s="1"/>
  <c r="M33"/>
  <c r="AK33"/>
  <c r="AK83"/>
  <c r="AO33"/>
  <c r="AO83"/>
  <c r="H43"/>
  <c r="T44"/>
  <c r="S42"/>
  <c r="AV42" s="1"/>
  <c r="S35"/>
  <c r="AV35" s="1"/>
  <c r="AP77"/>
  <c r="F79"/>
  <c r="F77" s="1"/>
  <c r="W11"/>
  <c r="U13"/>
  <c r="W13" s="1"/>
  <c r="AE33"/>
  <c r="AB48"/>
  <c r="AJ48"/>
  <c r="AR48"/>
  <c r="AE82"/>
  <c r="M84"/>
  <c r="AE9"/>
  <c r="AA83"/>
  <c r="AI11"/>
  <c r="Y84"/>
  <c r="AK84"/>
  <c r="L22"/>
  <c r="N22" s="1"/>
  <c r="X22"/>
  <c r="AQ9"/>
  <c r="AB33"/>
  <c r="X35"/>
  <c r="AG33"/>
  <c r="L42"/>
  <c r="X42"/>
  <c r="Z42" s="1"/>
  <c r="G50"/>
  <c r="H50" s="1"/>
  <c r="Z56"/>
  <c r="O62"/>
  <c r="V62"/>
  <c r="AH62"/>
  <c r="AL62"/>
  <c r="AP62"/>
  <c r="T64"/>
  <c r="N69"/>
  <c r="F71"/>
  <c r="H71" s="1"/>
  <c r="J84"/>
  <c r="K12"/>
  <c r="V84"/>
  <c r="AD22"/>
  <c r="AF22" s="1"/>
  <c r="N34"/>
  <c r="G22"/>
  <c r="R84"/>
  <c r="T12"/>
  <c r="AD17"/>
  <c r="AF17" s="1"/>
  <c r="AE84"/>
  <c r="F44"/>
  <c r="R42"/>
  <c r="R35"/>
  <c r="R33" s="1"/>
  <c r="L48"/>
  <c r="V48"/>
  <c r="AH48"/>
  <c r="AH82"/>
  <c r="AL82"/>
  <c r="AL48"/>
  <c r="AL9"/>
  <c r="F15"/>
  <c r="F11" s="1"/>
  <c r="Y9"/>
  <c r="Z11"/>
  <c r="AO84"/>
  <c r="Q15"/>
  <c r="W15"/>
  <c r="AC15"/>
  <c r="F18"/>
  <c r="F23"/>
  <c r="F22" s="1"/>
  <c r="AN48"/>
  <c r="G56"/>
  <c r="U62"/>
  <c r="Y62"/>
  <c r="AG62"/>
  <c r="AK62"/>
  <c r="AO62"/>
  <c r="W69"/>
  <c r="G69"/>
  <c r="N77"/>
  <c r="G77"/>
  <c r="I22"/>
  <c r="L64"/>
  <c r="AH81" l="1"/>
  <c r="X33"/>
  <c r="G62"/>
  <c r="AQ81"/>
  <c r="G13"/>
  <c r="G11"/>
  <c r="F10"/>
  <c r="H26"/>
  <c r="L33"/>
  <c r="N33" s="1"/>
  <c r="AN81"/>
  <c r="AF84"/>
  <c r="G17"/>
  <c r="Q34"/>
  <c r="AL81"/>
  <c r="AB9"/>
  <c r="AW29"/>
  <c r="O33"/>
  <c r="AU33" s="1"/>
  <c r="V9"/>
  <c r="O83"/>
  <c r="AU48"/>
  <c r="AD62"/>
  <c r="W83"/>
  <c r="G35"/>
  <c r="G33" s="1"/>
  <c r="Q12"/>
  <c r="Q35"/>
  <c r="X9"/>
  <c r="AU25"/>
  <c r="Q48"/>
  <c r="Q84"/>
  <c r="AW34"/>
  <c r="G48"/>
  <c r="H48" s="1"/>
  <c r="X83"/>
  <c r="X81" s="1"/>
  <c r="Q62"/>
  <c r="AK81"/>
  <c r="J9"/>
  <c r="L9"/>
  <c r="I83"/>
  <c r="K83" s="1"/>
  <c r="T62"/>
  <c r="AW77"/>
  <c r="AW56"/>
  <c r="AU22"/>
  <c r="AW22" s="1"/>
  <c r="H56"/>
  <c r="Z83"/>
  <c r="AM9"/>
  <c r="AF12"/>
  <c r="W12"/>
  <c r="W84" s="1"/>
  <c r="N84"/>
  <c r="AF33"/>
  <c r="K33"/>
  <c r="AG9"/>
  <c r="AW50"/>
  <c r="AW15"/>
  <c r="AF77"/>
  <c r="AV48"/>
  <c r="AW48" s="1"/>
  <c r="Q33"/>
  <c r="AC10"/>
  <c r="AC82" s="1"/>
  <c r="AU13"/>
  <c r="AW13" s="1"/>
  <c r="AU17"/>
  <c r="AW17" s="1"/>
  <c r="AU35"/>
  <c r="AW35" s="1"/>
  <c r="AU42"/>
  <c r="AW42" s="1"/>
  <c r="AW25"/>
  <c r="W17"/>
  <c r="H79"/>
  <c r="H22"/>
  <c r="F84"/>
  <c r="H84" s="1"/>
  <c r="AO81"/>
  <c r="AR81"/>
  <c r="J81"/>
  <c r="AB81"/>
  <c r="N12"/>
  <c r="L62"/>
  <c r="AU64"/>
  <c r="AW64" s="1"/>
  <c r="AV62"/>
  <c r="AM81"/>
  <c r="V81"/>
  <c r="Y81"/>
  <c r="AF62"/>
  <c r="AG83"/>
  <c r="AG81" s="1"/>
  <c r="AI83"/>
  <c r="AI81" s="1"/>
  <c r="F17"/>
  <c r="AC11"/>
  <c r="AC83" s="1"/>
  <c r="AC13"/>
  <c r="F35"/>
  <c r="F33" s="1"/>
  <c r="F42"/>
  <c r="H42" s="1"/>
  <c r="G9"/>
  <c r="G82"/>
  <c r="P82"/>
  <c r="Q10"/>
  <c r="P9"/>
  <c r="K22"/>
  <c r="F13"/>
  <c r="H15"/>
  <c r="S83"/>
  <c r="T11"/>
  <c r="I82"/>
  <c r="I9"/>
  <c r="K10"/>
  <c r="F64"/>
  <c r="F69"/>
  <c r="H69" s="1"/>
  <c r="L83"/>
  <c r="L81" s="1"/>
  <c r="N11"/>
  <c r="M82"/>
  <c r="N10"/>
  <c r="M9"/>
  <c r="N9" s="1"/>
  <c r="U82"/>
  <c r="U81" s="1"/>
  <c r="U9"/>
  <c r="W10"/>
  <c r="W82" s="1"/>
  <c r="R83"/>
  <c r="AJ83"/>
  <c r="AI9"/>
  <c r="T84"/>
  <c r="N42"/>
  <c r="H77"/>
  <c r="S9"/>
  <c r="AA81"/>
  <c r="AA9"/>
  <c r="T42"/>
  <c r="O9"/>
  <c r="O82"/>
  <c r="K84"/>
  <c r="AE81"/>
  <c r="S33"/>
  <c r="T33" s="1"/>
  <c r="T35"/>
  <c r="P83"/>
  <c r="Q83" s="1"/>
  <c r="Q11"/>
  <c r="AC12"/>
  <c r="AC84" s="1"/>
  <c r="AC17"/>
  <c r="AP9"/>
  <c r="AP82"/>
  <c r="AP81" s="1"/>
  <c r="H44"/>
  <c r="O81" l="1"/>
  <c r="H13"/>
  <c r="W9"/>
  <c r="K9"/>
  <c r="H17"/>
  <c r="AU62"/>
  <c r="AW62" s="1"/>
  <c r="H33"/>
  <c r="H35"/>
  <c r="W81"/>
  <c r="AV33"/>
  <c r="AW33" s="1"/>
  <c r="Q9"/>
  <c r="H12"/>
  <c r="N83"/>
  <c r="I81"/>
  <c r="K82"/>
  <c r="R9"/>
  <c r="R82"/>
  <c r="T10"/>
  <c r="Q82"/>
  <c r="P81"/>
  <c r="Z10"/>
  <c r="M81"/>
  <c r="N82"/>
  <c r="AC81"/>
  <c r="F83"/>
  <c r="AD83"/>
  <c r="AF83" s="1"/>
  <c r="AF11"/>
  <c r="AJ82"/>
  <c r="AJ81" s="1"/>
  <c r="AJ9"/>
  <c r="AD9"/>
  <c r="AF9" s="1"/>
  <c r="AD82"/>
  <c r="AF10"/>
  <c r="T83"/>
  <c r="S81"/>
  <c r="H11"/>
  <c r="G83"/>
  <c r="H64"/>
  <c r="F62"/>
  <c r="H62" s="1"/>
  <c r="AC9"/>
  <c r="Q81" l="1"/>
  <c r="H83"/>
  <c r="G81"/>
  <c r="R81"/>
  <c r="T82"/>
  <c r="K81"/>
  <c r="Z9"/>
  <c r="Z82"/>
  <c r="Z81" s="1"/>
  <c r="T9"/>
  <c r="F82"/>
  <c r="F9"/>
  <c r="H9" s="1"/>
  <c r="H10"/>
  <c r="AD81"/>
  <c r="AF81" s="1"/>
  <c r="AF82"/>
  <c r="N81"/>
  <c r="T81" l="1"/>
  <c r="F81"/>
  <c r="H81" s="1"/>
  <c r="H82"/>
  <c r="D7" i="2" l="1"/>
  <c r="D6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19" i="8" l="1"/>
  <c r="D19" s="1"/>
  <c r="C5"/>
  <c r="C8"/>
  <c r="D8" s="1"/>
  <c r="C11"/>
  <c r="D11" s="1"/>
  <c r="C14"/>
  <c r="D14" s="1"/>
  <c r="D5"/>
  <c r="D24" l="1"/>
  <c r="C24"/>
  <c r="D3" i="2"/>
</calcChain>
</file>

<file path=xl/sharedStrings.xml><?xml version="1.0" encoding="utf-8"?>
<sst xmlns="http://schemas.openxmlformats.org/spreadsheetml/2006/main" count="3184" uniqueCount="519">
  <si>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</si>
  <si>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</si>
  <si>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</si>
  <si>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</si>
  <si>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</si>
  <si>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</si>
  <si>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</si>
  <si>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</si>
  <si>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</si>
  <si>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</si>
  <si>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</si>
  <si>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</si>
  <si>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</si>
  <si>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</si>
  <si>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</si>
  <si>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</si>
  <si>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</si>
  <si>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</si>
  <si>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</si>
  <si>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</si>
  <si>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</si>
  <si>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</si>
  <si>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</si>
  <si>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</si>
  <si>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</si>
  <si>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</si>
  <si>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</si>
  <si>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</si>
  <si>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</si>
  <si>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</si>
  <si>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</si>
  <si>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</si>
  <si>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</si>
  <si>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</si>
  <si>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</si>
  <si>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</si>
  <si>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</si>
  <si>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</si>
  <si>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</si>
  <si>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</si>
  <si>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</si>
  <si>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</si>
  <si>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</si>
  <si>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</si>
  <si>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</si>
  <si>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</si>
  <si>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</si>
  <si>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</si>
  <si>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</si>
  <si>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</si>
  <si>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</si>
  <si>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</si>
  <si>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</si>
  <si>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</si>
  <si>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</si>
  <si>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</si>
  <si>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</si>
  <si>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</si>
  <si>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</si>
  <si>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</si>
  <si>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</si>
  <si>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</si>
  <si>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</si>
  <si>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</si>
  <si>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</si>
  <si>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</si>
  <si>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</si>
  <si>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</si>
  <si>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</si>
  <si>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</si>
  <si>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</si>
  <si>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</si>
  <si>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</si>
  <si>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</si>
  <si>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</si>
  <si>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</si>
  <si>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</si>
  <si>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</si>
  <si>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</si>
  <si>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</si>
  <si>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</si>
  <si>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</si>
  <si>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</si>
  <si>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</si>
  <si>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</si>
  <si>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</si>
  <si>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</si>
  <si>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</si>
  <si>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</si>
  <si>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</si>
  <si>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</si>
  <si>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</si>
  <si>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</si>
  <si>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</si>
  <si>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</si>
  <si>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</si>
  <si>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</si>
  <si>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</si>
  <si>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</si>
  <si>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</si>
  <si>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</si>
  <si>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</si>
  <si>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</si>
  <si>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</si>
  <si>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</si>
  <si>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</si>
  <si>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</si>
  <si>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</si>
  <si>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</si>
  <si>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</si>
  <si>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</si>
  <si>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</si>
  <si>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</si>
  <si>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</si>
  <si>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</si>
  <si>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</si>
  <si>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</si>
  <si>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</si>
  <si>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</si>
  <si>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</si>
  <si>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</si>
  <si>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</si>
  <si>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</si>
  <si>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</si>
  <si>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</si>
  <si>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</si>
  <si>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</si>
  <si>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</si>
  <si>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</si>
  <si>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</si>
  <si>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</si>
  <si>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</si>
  <si>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</si>
  <si>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</si>
  <si>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</si>
  <si>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</si>
  <si>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</si>
  <si>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</si>
  <si>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</si>
  <si>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</si>
  <si>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</si>
  <si>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</si>
  <si>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</si>
  <si>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</si>
  <si>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</si>
  <si>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</si>
  <si>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</si>
  <si>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</si>
  <si>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</si>
  <si>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</si>
  <si>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</si>
  <si>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</si>
  <si>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</si>
  <si>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</si>
  <si>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</si>
  <si>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</si>
  <si>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</si>
  <si>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</si>
  <si>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</si>
  <si>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</si>
  <si>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</si>
  <si>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</si>
  <si>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</si>
  <si>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</si>
  <si>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</si>
  <si>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</si>
  <si>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</si>
  <si>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</si>
  <si>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</si>
  <si>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</si>
  <si>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</si>
  <si>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</si>
  <si>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</si>
  <si>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</si>
  <si>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</si>
  <si>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</si>
  <si>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</si>
  <si>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</si>
  <si>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</si>
  <si>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</si>
  <si>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</si>
  <si>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</si>
  <si>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</si>
  <si>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</si>
  <si>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</si>
  <si>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</si>
  <si>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</si>
  <si>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</si>
  <si>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</si>
  <si>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</si>
  <si>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</si>
  <si>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</si>
  <si>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</si>
  <si>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</si>
  <si>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</si>
  <si>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</si>
  <si>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</si>
  <si>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</si>
  <si>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</si>
  <si>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</si>
  <si>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</si>
  <si>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</si>
  <si>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</si>
  <si>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</si>
  <si>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</si>
  <si>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</si>
  <si>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</si>
  <si>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</si>
  <si>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</si>
  <si>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</si>
  <si>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</si>
  <si>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</si>
  <si>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</si>
  <si>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</si>
  <si>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</si>
  <si>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</si>
  <si>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</si>
  <si>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</si>
  <si>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</si>
  <si>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</si>
  <si>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</si>
  <si>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</si>
  <si>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</si>
  <si>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</si>
  <si>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</si>
  <si>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</si>
  <si>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</si>
  <si>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</si>
  <si>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</si>
  <si>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</si>
  <si>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</si>
  <si>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</si>
  <si>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</si>
  <si>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</si>
  <si>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</si>
  <si>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</si>
  <si>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</si>
  <si>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</si>
  <si>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</si>
  <si>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</si>
  <si>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</si>
  <si>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</si>
  <si>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</si>
  <si>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</si>
  <si>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</si>
  <si>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</si>
  <si>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</si>
  <si>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</si>
  <si>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</si>
  <si>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</si>
  <si>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</si>
  <si>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</si>
  <si>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</si>
  <si>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</si>
  <si>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</si>
  <si>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</si>
  <si>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 программе:</t>
  </si>
  <si>
    <t>Федеральный бюджет</t>
  </si>
  <si>
    <t>Организация обеспечения сохранности муниципального имущества (страхование муниципального имущества)</t>
  </si>
  <si>
    <t>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</t>
  </si>
  <si>
    <t>И.Н.Назарова</t>
  </si>
  <si>
    <t>Наименование программных мероприятий</t>
  </si>
  <si>
    <t>Целевой показатель, №</t>
  </si>
  <si>
    <t>Объем финансирования всего на год, тыс.руб.</t>
  </si>
  <si>
    <t>План</t>
  </si>
  <si>
    <t>Факт</t>
  </si>
  <si>
    <t>Исполнение, %</t>
  </si>
  <si>
    <t>Подпрограмма I «Создание условий для совершенствования системы муниципального управления»</t>
  </si>
  <si>
    <t>сводно-аналитический отдел администрации города Урай, отдел по учету и отчетности администрации города Урай</t>
  </si>
  <si>
    <t>МАУ МФЦ</t>
  </si>
  <si>
    <t>Подпрограмма III «Развитие муниципальной службы и резерва управленческих кадров»</t>
  </si>
  <si>
    <t>управление по организационным вопросам и кадрам администрации города Урай,
сводно-аналитический отдел администрации города Урай, отдел по учету и отчетности администрации города Урай, Комитет по финансам администрации города Урай</t>
  </si>
  <si>
    <t xml:space="preserve"> Подпрограмма IV «Управление и распоряжение муниципальным имуществом муниципального образования город Урай»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</si>
  <si>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</si>
  <si>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</si>
  <si>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не требует финансирования</t>
  </si>
  <si>
    <t>управление по организационным вопросам и кадрам администрации города Урай</t>
  </si>
  <si>
    <t xml:space="preserve">комитет по управлению муниципальным имуществом
администрации города Урай
</t>
  </si>
  <si>
    <t>Проведение конкурса «Лучший работник органов местного самоуправления»</t>
  </si>
  <si>
    <t>-</t>
  </si>
  <si>
    <t>Обеспечение государственной регистрации права собственности муниципального образования городской округ город Урай</t>
  </si>
  <si>
    <t>За отчетный период внесено изменение в перечень объектов, подлежащих  страхованию. Перечень утвержден постановлением администрации города Урай от 05.05.2017 №1199. В перечень вошли  объекты от застройщика ООО «Шаимский ПК5»</t>
  </si>
  <si>
    <t xml:space="preserve">Ответственный исполнитель (соисполнитель) </t>
  </si>
  <si>
    <t>муниципальной программы:</t>
  </si>
  <si>
    <r>
      <t>Согласовано:</t>
    </r>
    <r>
      <rPr>
        <sz val="10"/>
        <color rgb="FF000000"/>
        <rFont val="Arial"/>
        <family val="2"/>
        <charset val="204"/>
      </rPr>
      <t xml:space="preserve"> </t>
    </r>
  </si>
  <si>
    <r>
      <t>Комитет по финансам  администрации города Урай</t>
    </r>
    <r>
      <rPr>
        <sz val="10"/>
        <color rgb="FF000000"/>
        <rFont val="Arial"/>
        <family val="2"/>
        <charset val="204"/>
      </rPr>
      <t xml:space="preserve"> </t>
    </r>
  </si>
  <si>
    <r>
      <t>_________________________</t>
    </r>
    <r>
      <rPr>
        <sz val="10"/>
        <color rgb="FF000000"/>
        <rFont val="Arial"/>
        <family val="2"/>
        <charset val="204"/>
      </rPr>
      <t xml:space="preserve"> </t>
    </r>
  </si>
  <si>
    <t>«___» _____________20__ г.</t>
  </si>
  <si>
    <t>Начальник сводно-аналитического отдела администрации города Урай</t>
  </si>
  <si>
    <t>Начальник  отдела по учету и отчетности администрации города Урай</t>
  </si>
  <si>
    <t>Исполнитель: Назарова Ирина Николаевна</t>
  </si>
  <si>
    <t>тел.:8 (34676) 2-33-30</t>
  </si>
  <si>
    <t>(подпись)</t>
  </si>
  <si>
    <t>Е.М.Погадаева</t>
  </si>
  <si>
    <t>Задача 1. Совершенствование решения вопросов местного самоуправления</t>
  </si>
  <si>
    <t>Организация содержания муниципального жилищного фонда</t>
  </si>
  <si>
    <t xml:space="preserve">Освоение средств за отчетный период не в полном объеме обусловлено наличием вакансий, а также с поздним заключением договора на перевод записей актов гражданского состояния в электронный вид
</t>
  </si>
  <si>
    <t>Освоение средств за отчетный период не в полном объеме обусловлено отказом от участия в семинаре, а также оплата осуществляется в соответствии с фактически сложившимися расходами</t>
  </si>
  <si>
    <t xml:space="preserve">      В рамках контрактов от 15.08.2017 №252/17, от 29.08.2017 №270/17 приобретены ГЗПО, марки, конверты для рассылки присяжным заседателям</t>
  </si>
  <si>
    <t xml:space="preserve">        За 9 месяцев 2017 года  отделом ЗАГС зарегистрировано 1213 записей актов гражданского состояния. Составлено 404 актовых записей о рождении (мальчиков родилось 203 человек, девочек -201 человек, двойни и более 5 человек). Зарегистрировано 240  записей актов о заключении брака, 287 записей о смерти, 182 записи о расторжении брака, 66 записей  об установлении отцовства, 32 записи актов  о перемене имени и 2 записи об усыновлении
      За 9 месяцев 2017 отделом ЗАГС города оказано государственных услуг населению 3792, в электронном виде – 338, оформлено 6244 юридически значимых действий
</t>
  </si>
  <si>
    <t>Освоение средств предусмотрено в 4 квартале 2017 года</t>
  </si>
  <si>
    <t xml:space="preserve">     Количество муниципальных услуг на 01.10.2017 года составляет 43. Предоставление государственных и муниципальных услуг осуществляется в строгом соответствии с административными регламентами. Для  42 муниципальных услуг разработаны и утверждены административные регламенты. 
За 9 месяцев 2017 разработано и утверждено 3 административных регламента. 1 административный регламент  (КУМИ) находится  на стадии разработки.
</t>
  </si>
  <si>
    <t xml:space="preserve">    На территории города Урай постановлением администрации города Урай от 19.08.2011 №2355 утвержден Реестр муниципальных услуг муниципального образования городской округ город Урай (далее – Реестр). Общее количество услуг на 01.10.2017 года составляет 54, в том числе 43 муниципальных  услуги и 11 услуг, предоставляемых муниципальными учреждениями и другими организациями, в которых размещается муниципальное задание (заказ). 
Решением Думы города Урай от 27.09.2012 №79 утвержден перечень услуг, которые являются необходимыми и обязательными для предоставления администрацией города Урай муниципальных  услуг (24 услуги).
Обновление Реестра осуществляется по мере необходимости, с учетом изменения законодательства. За  9 месяцев 2017 года проведено 3 обновления: 15.02.2017, 23.03.2017 и 31.07.2017. Данный Реестр актуализирован и размещен на официальном сайте органов местного самоуправления города Урай.
</t>
  </si>
  <si>
    <t xml:space="preserve">      Сведения об услугах размещены в информационной системе «Реестр государственных и муниципальных услуг (функций) ХМАО-Югры» (далее-РРГУ) и отражены на Едином портале государственных и муниципальных услуг (http://www.gosuslugi.ru/)</t>
  </si>
  <si>
    <t xml:space="preserve">    Обновление информации в РРГУ осуществляется по мере необходимости, с учетом изменения законодательства и утверждения новых муниципальных услуг. За 9 месяцев 2017  актуализация информации в РРГУ была проведена в январе, марте-июне, сентябре-октябре 2017 года ответственными лицами органов администрации  и МКУ по 54 муниципальным услугам</t>
  </si>
  <si>
    <t>Общее количество услуг на 01.10.2017 года составляет 54. Обеспечена возможность предоставления услуг в электронном виде через ЕПГУ по 19 услугам: 14 муниципальным услугам и 5  услугам учреждений</t>
  </si>
  <si>
    <t xml:space="preserve">     Деятельность органов местного самоуправления регулярно освещается в эфире ТРК «Спектр+» и МБУ «Газета «Знамя». Информирование о деятельности органов власти ведется и посредством радиовыпусков на темы городской жизни. На волнах радиостанции «Европа+» радиовыпуски продолжают выходить согласно сетки вещания ТРК «Спектр+» (пять выпусков ежедневно по будням).  
          В эфире ТРК «Спектр+» деятельность органов местного самоуправления  регулярно освещается в информационной программе: «Время Урая», «Время Урая о главном», «Из первых уст» в ходе прямых эфиров и пресс-конференций с участием главы города Урай, его заместителей, начальников отделов и управлений, специалистов администрации, Думы города.
         В средствах массовой информации и в сети Интернет размещена информация о проведении конкурсов на замещение вакантной должности муниципальной службы, положение о порядке проведения конкурса «Лучший работник органов местного самоуправления города Урай». На сайте www.uray.ru представлена полная структура органов власти, официальная информация о главе города Урай, исторические материалы о городе, созданы разделы по всем направлениям деятельности органов власти, разделы «Новости», «Объявления», «Обращения граждан», «Бюджет для граждан», «Госуслуги».     На официальном сайте размещены прямые ссылки на сайты Президента РФ, Правительства Югры, Губернатора и Думы Ханты-Мансийского автономного округа – Югры и территориальной избирательной комиссии, Общероссийского народного фронта и другие полезные ссылки.
В целях повышения информированности населения ежедневно специалистами пресс-службы направляются информационные и новостные материалы о городе Урае в адрес более 20 электронных изданий, таких как: «Накануне.ру», «Ньюспром.Ру», РИЦ «Югра Информ»,  «АиФЮгра», ООО «Югра ТV,  «Радио – Югра», Газета «Новости Югры», «Mangazia», «ЮграТрэвэл», «Ньюсфедпресс», и др. В России и городе Урае 2017 год объявлен  Годом экологии, в Югре - Годом здоровья. Мероприятия в рамках объявленных лет,  находят отражение в информационной картине урайских СМИ</t>
  </si>
  <si>
    <t xml:space="preserve">    Актуализация информационного ресурса (базы данных) содержащего информацию об объектах муниципальной собственности, а также сведений по технической инвентаризации объектов муниципального имущества муниципального образования проводится на постоянной основе в течение года по мере поступления информации</t>
  </si>
  <si>
    <t>Освоение средств за отчетный период не в полном объеме обусловлено переносом сроков отпусков, оплаты стоимости проезда к месту использования отпуска  и обратно,
длительностью проведения конкурсных процедур, наличием экономии, сложившейся при проведении конкурсных процедур</t>
  </si>
  <si>
    <t>В отчетном периоде в действующие муниципальные нормативные правовые акты администрации города Урай внесено 220 изменений и дополнений, принято 52 новых муниципальных нормативных правовых актов администрации города Урай, 34 муниципальных нормативных правовых актов администрации города Урай о признании утратившим силу ранее принятого акта, 26 муниципальных нормативных правовых актов администрации города Урай взамен отмененных
О деятельности органов власти подготовлено 278 информационных сообщения в эфире ТРК «Спектр+». 
В газете «Знамя» опубликовано 235  материала о деятельности исполнительного и представительного органов власти. 
В разделе «Новости» на официальном сайте органов местного самоуправления города Урай  размещено 199  пресс-релизов о деятельности органов власти</t>
  </si>
  <si>
    <t>Через МАУ "МФЦ" в настоящее время оказывается 217 услуг, в том числе 63 федеральные услуги, 111 региональных и 43 муниципальных. За девять месяцев 2017 года оказано услуг по приему, выдаче документов 32543 (в том числе: федеральные - 18057, региональные - 13558 и муниципальные - 928 (в том числе услуги полного цикла - 286)</t>
  </si>
  <si>
    <t>За 9 месяцев 2017 года в сфере муниципальной службы утверждено 5 нормативно-правовых актов, изменено 7 нормативно-правовых актов</t>
  </si>
  <si>
    <t xml:space="preserve">   Критерии оценки эффективности установлены решением Думы города Урай от 28.02.2008 №5. 
    В отчетном периоде изменений в данный документ не вносились
</t>
  </si>
  <si>
    <t>Во II квартале 2017 года специалистами кадровой службы управления по организационным вопросам и кадрам проводились консультации муниципальных служащих по заполнению справок о доходах за 2016 год.   Принято справок о доходах за 2016 год у 169 муниципальных служащих. Аттестовано 14 муниципальных служащих администрации города Урай и органов администрации города Урай</t>
  </si>
  <si>
    <t>За 9 месяцев 2017 года обучено 27 муниципальных служащих органов местного самоуправления города Урай, в т.ч. при проведении семинара по теме «Изменения законодательства в сфере контрактной системы в сфере закупок товаров, работ и услуг для обеспечения государственных и муниципальных нужд с 2017 года»</t>
  </si>
  <si>
    <t xml:space="preserve">     Постановлением  администрации города Урай от 22.12.2016 №3980 утвержден график сдачи документов для государственной  регистрации прав на недвижимое имущество (в отношении объектов коммунальной инфраструктуры, в том числе бесхозяйных объектов в городе Урай).                                                                                                                         Кроме этого  комитетом по управлению муниципальным имуществом администрации города Урай производится регистрация права собственности на  новые объекты, переданные от МКУ «Управление капитального строительства города Урай», прочие  незарегистрированные объекты и др.
За отчетный период зарегистрировано 57 объектов недвижимости</t>
  </si>
  <si>
    <t xml:space="preserve">     В соответствии с постановлением администрации города Урай от 29.12.2016 №4119 «О создании комиссии»                                                                                                                                       
проверено муниципальное имущество по договорам оперативного управления :
 1 кв. 2017 – 2 учреждения (Управление образования города Урай, МБУ «Молодежный центр»), 
 2 кв. 2017 – 2 учреждения (МКУ «Управление капитального строительства города Урай», МБОУ СОШ  №2), 
 3 кв. 2017 – 1 учреждение «МБУ ДО «ДЮСШ «Старт» -инвентаризация объектов освещения
</t>
  </si>
  <si>
    <t xml:space="preserve">В отчетном периоде были заключены договоры на:
- содержание нежилых помещений, находящихся в муниципальной собственности, которые расположены в многоквартирных жилых домах; 
- оплату за обработку лицевых счетов ООО «ПиП»;                                                                                                                                                                                                                                            - оценку объектов оценки;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выполнение кадастровых работ;
- услуги аудита
</t>
  </si>
  <si>
    <t xml:space="preserve">     В отчетном периоде оцифровано 126 дел постоянного хранения на 25 735 листах; подготовлено 966 архивных справок на социально-правовые, тематические запросы; изготовлено 245 копий с архивных документов на 560 листах  </t>
  </si>
  <si>
    <t xml:space="preserve">     На территории города Урай осуществляет свою деятельность Межведомственная комиссия по охране труда, которая утверждена постановлением администрации города Урай от 19.04.2011 №1077. За 9 месяцев 2017 года проведено 3 заседания комиссии, в ходе которых рассмотрено 15 вопросов:
1) Состояние охраны труда на территории муниципального образования город Урай за 2016 год, исполнение плана мероприятий по улучшению условий труда в 2017 году в органах местного самоуправления и муниципальных учреждениях города Урай 2) Анализ несчастных случаев на производстве с тяжелым и смертельным исходом, происшедших в организациях города Урай за 2016 год
3) Доклады руководителей и специалистов организаций, допустивших случаи тяжелого травматизма на производстве за 4 квартал 2016 года.
4) Контроль за проведением обязательных предварительных (при поступлении на работу) и периодических медицинских осмотров (обследований) работников, занятых на работах с вредными и (или) опасными условиями труда (по итогам 2016 года) в организациях города Урай
5) Порядок предоставления финансового обеспечения  предприятиям г. Урая на реализацию предупредительных мер по сокращению производственного травматизма и профессиональных заболеваний работников и санаторно-курортное лечение работников, занятых на работах с вредными и (или) опасными производственными факторами, в 2017 году
6) Об исполнении протокольных поручений
7) О состоянии производственного травматизма за истекший период 2017  года
8) Доклады руководителей и специалистов организаций, допустивших случаи тяжелого травматизма на производстве за 9 месяцев 2017 года.
9)Информация о состоянии пожарной безопасности в бюджетных организациях города Урай за 9 месяцев 2017 года.
10) Об исполнении протокольных поручений. 
11) Порядок предоставления скидки к страховому тарифу по обязательному социальному страхованию от несчастных случаев на производстве и профессиональных заболеваний, на 2018 год.
12) Информация об установленных надбавках к страховому тарифу по обязательному социальному страхованию от несчастных случаев на производстве и профессиональных заболеваний, на 2018 год.
13) Проведение обязательного психиатрического освидетельствования работников, осуществляющих отдельные виды деятельности.
14) О состоянии ВИЧ-инфекции на территории города Урай.
15) Об исполнении протокольных поручений.
1.2.2 Обеспечение деятельности в сфере трудовых отношений и государственного управления охраной труда        На территории города Урай осуществляет свою деятельность Межведомственная комиссия по охране труда, которая утверждена постановлением администрации города Урай от 19.04.2011 №1077. За 3 квартала 2017 года проведено 3 заседания комиссии, в ходе которых рассмотрено 15 вопросов:
1) Состояние охраны труда на территории муниципального образования город Урай за 2016 год, исполнение плана мероприятий по улучшению условий труда в 2016 году в органах местного самоуправления и муниципальных учреждениях города Урай.
2) Анализ несчастных случаев на производстве с тяжелым и смертельным исходом, происшедших в организациях города Урай за 2016 год
3) Доклады руководителей и специалистов организаций, допустивших случаи тяжелого травматизма на производстве за 4 квартал 2016 года.
4) Контроль за проведением обязательных предварительных (при поступлении на работу) и периодических медицинских осмотров (обследований) работников, занятых на работах с вредными и (или) опасными условиями труда (по итогам 2016 года) в организациях города Урай
5) Порядок предоставления финансового обеспечения  предприятиям г. Урая на реализацию предупредительных мер по сокращению производственного травматизма и профессиональных заболеваний работников и санаторно-курортное лечение работников, занятых на работах с вредными и (или) опасными производственными факторами, в 2017 году
6) Об исполнении протокольных поручений
7) О состоянии производственного травматизма за истекший период 2017  года
8) Доклады руководителей и специалистов организаций, допустивших случаи тяжелого травматизма на производстве за 1 квартал 2017 года.
9)Информация о состоянии пожарной безопасности в бюджетных организациях города Урай за 1 полугодие 2017 года.
10) Об исполнении протокольных поручений. 
11) Порядок предоставления скидки к страховому тарифу по обязательному социальному страхованию от несчастных случаев на производстве и профессиональных заболеваний, на 2018 год.
12) Информация об установленных надбавках к страховому тарифу по обязательному социальному страхованию от несчастных случаев на производстве и профессиональных заболеваний, на 2018 год.
13) Проведение обязательного психиатрического освидетельствования работников, осуществляющих отдельные виды деятельности.
14) О состоянии ВИЧ-инфекции на территории города Урай.
15) Об исполнении протокольных поручений.
</t>
  </si>
  <si>
    <t xml:space="preserve">     За отчетный период заключены 25 муниципальных контрактов на содержание муниципального жилого фонда</t>
  </si>
  <si>
    <t>Комплексный план (сетевой график) реализации  финансовых средств  муниципальной программы "Совершенствование и развитие муниципального управления в г.Урай" на 2018-2030 годы       на 2018 год</t>
  </si>
  <si>
    <t xml:space="preserve">Цель 1. Совершенствование муниципального управления,  повышение его эффективности </t>
  </si>
  <si>
    <t>1.1.1.1</t>
  </si>
  <si>
    <t>Обеспечение деятельности  исполнительно-распорядительного органа (администрация города Урай) и исполнение переданных государственных полномочий органами местного самоуправления</t>
  </si>
  <si>
    <t xml:space="preserve">сводно-аналитический отдел администрации города Урай, отдел по учету и отчетности администрации города Урай,  отдел опеки и попечительства администрации города Урай,
МКУ «УЖКХ города Урай»
</t>
  </si>
  <si>
    <t xml:space="preserve">1.1.1, 1.1.2,
1.1.4, 1.1.5
</t>
  </si>
  <si>
    <t>1.1.1.2.</t>
  </si>
  <si>
    <t>Обеспечение деятельности МКУ «УМТО города Урай»</t>
  </si>
  <si>
    <t>МКУ «УМТО города Урай»</t>
  </si>
  <si>
    <t>1.1.1</t>
  </si>
  <si>
    <t>1.1.1.3</t>
  </si>
  <si>
    <t>Внедрение проектной деятельности в органах местного самоуправления города Урай</t>
  </si>
  <si>
    <t>управление экономики, анализа и прогнозирования администрации города Урай, органы местного самоуправления</t>
  </si>
  <si>
    <t>1.1.1.4</t>
  </si>
  <si>
    <t>Обеспечение исполнения гарантий, предоставляемых  муниципальным служащим по выплате муниципальной пенсии</t>
  </si>
  <si>
    <t>1.1.7</t>
  </si>
  <si>
    <t>1.1.1.5.</t>
  </si>
  <si>
    <t>Организация общественных работ для временного трудоустройства незанятых трудовой деятельностью и безработных граждан</t>
  </si>
  <si>
    <t>сводно-аналитический отдел администрации города Урай, МКУ «УМТО города Урай», отдел по учету и отчетности администрации города Урай, муниципальное бюджетное учреждение «Молодежный центр»</t>
  </si>
  <si>
    <t>1.1.6</t>
  </si>
  <si>
    <t>1.1.1.6.</t>
  </si>
  <si>
    <t>Осуществление выплат согласно Положению о порядке предоставления  мер социальной поддержки и размерах возмещения расходов гражданам, удостоенным звания «Почетный гражданин города Урай»</t>
  </si>
  <si>
    <t>1.1.8</t>
  </si>
  <si>
    <t>Задача 2. Совершенствование предоставления государственных и муниципальных услуг</t>
  </si>
  <si>
    <t>Подпрограмма II «Предоставление государственных и муниципальных услуг»</t>
  </si>
  <si>
    <t>1.1.3</t>
  </si>
  <si>
    <t>1.2.1.1</t>
  </si>
  <si>
    <t>Разработка (актуализация) административных регламентов предоставления муниципальных услуг в муниципальном образовании городской округ город Урай и размещение (актуализация) сведений о муниципальных услугах в Реестре государственных и муниципальных услуг (функций) Ханты-Мансийского автономного округа – Югры</t>
  </si>
  <si>
    <t>органы администрации города Урай, предоставляющие муниципальные услуги, МКУ «УГЗиП города Урай»,  МАУ МФЦ</t>
  </si>
  <si>
    <t>1.2.2</t>
  </si>
  <si>
    <t>1.2.1.2</t>
  </si>
  <si>
    <t>Предоставление муниципальных услуг и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</t>
  </si>
  <si>
    <t>органы администрации города Урай, предоставляющие муниципальные услуги, МКУ «УГЗиП  города Урай», МАУ МФЦ</t>
  </si>
  <si>
    <t>1.2.1, 1.2.4</t>
  </si>
  <si>
    <t>1.2.1.3</t>
  </si>
  <si>
    <t>Увеличение  количества услуг, получаемых гражданами в электронной форме</t>
  </si>
  <si>
    <t>органы администрации города Урай, предоставляющие муниципальные услуги, МКУ «УГЗиП города Урай», МАУ МФЦ</t>
  </si>
  <si>
    <t>1.2.3</t>
  </si>
  <si>
    <t>1.2.1.4</t>
  </si>
  <si>
    <t>Привлечение заявителей к получению услуг в электронной форме через Единый портал государственных и муниципальных услуг</t>
  </si>
  <si>
    <t>1.2.1.5</t>
  </si>
  <si>
    <t>Проведение социологического опроса по удовлетворенности граждан предоставлением муниципальных услуг</t>
  </si>
  <si>
    <t>отдел по работе с обращениями граждан администрации города Урай, управление экономики, анализа и прогнозирования</t>
  </si>
  <si>
    <t>1.2.1</t>
  </si>
  <si>
    <t>1.2.1.6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</si>
  <si>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</si>
  <si>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1.2.5, 1.2.6, 1.2.7</t>
  </si>
  <si>
    <t>Цель 2. Совершенствование организации муниципальной службы,  повышение ее эффективности</t>
  </si>
  <si>
    <t>Задача 3. Совершенствование профессиональных возможностей и способностей работников органов местного самоуправления</t>
  </si>
  <si>
    <t>2.1.1.1</t>
  </si>
  <si>
    <t>Анализ соответствия принятых муниципальных правовых актов действующему законодательству о муниципальной службе и противодействии коррупции</t>
  </si>
  <si>
    <t>2.1.4</t>
  </si>
  <si>
    <t>2.1.1.2</t>
  </si>
  <si>
    <t>Формирование резерва кадров  должностей муниципальной службы высшей, главной и ведущей группы, учрежденных для выполнения функции «руководитель»</t>
  </si>
  <si>
    <t xml:space="preserve">управление по организационным вопросам и кадрам администрации города Урай </t>
  </si>
  <si>
    <t>2.1.2</t>
  </si>
  <si>
    <t>2.1.1.3</t>
  </si>
  <si>
    <t>Назначение из резерва кадров на  должности муниципальной службы высшей, главной и ведущей группы, учрежденных для выполнения функции «руководитель»</t>
  </si>
  <si>
    <t>2.1.3</t>
  </si>
  <si>
    <t>2.1.1.4</t>
  </si>
  <si>
    <t>2.1.5</t>
  </si>
  <si>
    <t>2.1.1.5</t>
  </si>
  <si>
    <t>2.1.1</t>
  </si>
  <si>
    <t>Цель 3. Повышение эффективности исполнения должностными лицами органов местного самоуправления города Урай своих должностных обязанностей по реализации прав и законных интересов жителей в муниципальном образовании городской округ город Урай</t>
  </si>
  <si>
    <t>Задача 4. Совершенствование управления и распоряжения муниципальным имуществом</t>
  </si>
  <si>
    <t>3.1.1.1</t>
  </si>
  <si>
    <t xml:space="preserve">комитет по управлению муниципальным имуществом
администрации города Урай
</t>
  </si>
  <si>
    <t>3.1.1</t>
  </si>
  <si>
    <t>3.1.1.2</t>
  </si>
  <si>
    <t>Вовлечение земельных участков в хозяйственный оборот</t>
  </si>
  <si>
    <t>3.1.6</t>
  </si>
  <si>
    <t>3.1.1.3</t>
  </si>
  <si>
    <t>Повышение результативности финансово-хозяйственной деятельности хозяйствующих субъектов с долей участия муниципального образования городской округ город Урай</t>
  </si>
  <si>
    <t>3.1.2, 3.1.3</t>
  </si>
  <si>
    <t>3.1.1.4</t>
  </si>
  <si>
    <t>Организация обеспечения формирования состава и структуры муниципального имущества  (содержание имущества казны (за исключением объектов муниципального жилищного фонда)</t>
  </si>
  <si>
    <t>3.1.4</t>
  </si>
  <si>
    <t>3.1.1.5</t>
  </si>
  <si>
    <t>3.1.1.6</t>
  </si>
  <si>
    <t>3.1.5</t>
  </si>
  <si>
    <t>управление по учету и распределению муниципального жилого фонда администрации города Урай, МКУ «УГЗиП города Урай»</t>
  </si>
  <si>
    <t>3.1.7</t>
  </si>
  <si>
    <t>Комплексный план (сетевой график) реализации  финансовых средств  муниципальной программы "Совершенствование и развитие муниципального управления в г.Урай" на 2018-2030 годы       на 01.02.2018</t>
  </si>
  <si>
    <t>Исполнитель: Кучина Ирина Вениаминовна</t>
  </si>
  <si>
    <t>Комплексный план (сетевой график) реализации  финансовых средств  муниципальной программы "Совершенствование и развитие муниципального управления в г.Урай" на 2018-2030 годы       на 01.04.2018</t>
  </si>
  <si>
    <t>Отклонение произошло в связи с  уменьшением                               количества командировок; оплата за коммунальные услуги произведена по факту потребления энергоресурсов</t>
  </si>
  <si>
    <t>В рамках реализации мероприятий целевой программы Ханты-Мансийского автономного округа - Югры «Содействие занятости населения в Ханты-Мансийском автономном округе-Югре на 2014-2020 годы» заключены следующие договоры:
- №38 от 20.12.2017г. «О совместной деятельности по организации временного трудоустройства граждан» на 60 человек. За 1 квартал 2018 года были трудоустроены 27 человек.
- №3 от 11.01.2018г. «О совместной деятельности по организации временного трудоустройства незанятых трудовой деятельностью и безработных граждан испытывающих трудности в поиске работы» на 10 человек. За 1 квартал 2018 года были трудоустроены 2 человека</t>
  </si>
  <si>
    <t xml:space="preserve">За отчетный период заключены муниципальные контракты и договоры в количестве 72 штук на содержание объектов муниципальной казны, из них 57 на  техническое обслуживание и содержание объектов  (содержание нежилых помещений в многоквартирных домах, приобретение материалов, поставка огнетушителей, оказание услуг связи и т.д.), 15 на содержание и ремонт транспортных средств (ремонт, техническое обслуживание, приобретение запасных частей, горюче-смазочных материалов).  Организована бесперебойная работа всех служб учреждения для поддержания хозяйственно-технической деятельности. </t>
  </si>
  <si>
    <t>По Управлению образования и молодежной политики администрации города Урай неисполнение мероприятий произошло в связи с приведением в соответствие нормативно-правовой базы; по МКУ "УМТО" отклонение произошло из-за того, что оплата производится исходя из количества принятых сотрудников, а также наличием листов нетрудоспособности</t>
  </si>
  <si>
    <t>За отчетный период пенсия за выслугу лет лицам, замещающим муниципальные должности и должности муниципальной службы в городе Урай выплачена 39 пенсионерам</t>
  </si>
  <si>
    <r>
      <t>Выплаты гражданам, удостоенным звания "Почетный гражданин города Урай</t>
    </r>
    <r>
      <rPr>
        <b/>
        <sz val="10"/>
        <rFont val="Times New Roman"/>
        <family val="1"/>
        <charset val="204"/>
      </rPr>
      <t xml:space="preserve">" </t>
    </r>
    <r>
      <rPr>
        <sz val="10"/>
        <rFont val="Times New Roman"/>
        <family val="1"/>
        <charset val="204"/>
      </rPr>
      <t>будут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производиться во 2 квартале 2018</t>
    </r>
  </si>
  <si>
    <t>Отклонение произошло из-за наличия листов нетрудоспособности</t>
  </si>
  <si>
    <t>Общее количество услуг на 01.04.2018 года составляет 54, в том числе 43 муниципальных и 11 услуг, предоставляемых муниципальными учреждениями. Предоставление государственных и муниципальных услуг осуществляется в строгом соответствии с административными регламентами. Для  всех 43 муниципальных услуг разработаны и утверждены административные регламенты. Актуальные редакции административных регламентов  размещены на сайте ОМСУ и в информационной системе «Реестр государственных и муниципальных услуг (функций) ХМАО-Югры» (далее – РРГУ). Обновление информации в РРГУ осуществляется по мере необходимости, с учетом изменения законодательства и утверждения новых муниципальных услуг. В 1 квартале 2018 года  актуализация информации в РРГУ была проведена в январе и марте ответственными лицами органов администрации  и МКУ по 31 муниципальной услуге</t>
  </si>
  <si>
    <t>Органами администрации города Урай оказываются 14 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 (правовое управление, отдел содействия малому и среднему предпринимательству, отдел опеки и попечительства ,  управление по учету и распределению муниципального жилого фонда, ЗАГС)</t>
  </si>
  <si>
    <t xml:space="preserve">Обеспечена возможность предоставления услуг в электронном виде через ЕПГУ по 19 услугам: 14 муниципальным и 5 – услугам учреждений.  Заявителям доступны формы заявлений  и   иных   документов, необходимых для получения соответствующих услуг, обеспечен доступ к ним для копирования и заполнения в электронном виде. В 2017 году в  Департамент информационных технологий Ханты-Мансийского  автономного округа – Югры направлен перечень из 17 муниципальных услуг на перевод в электронную форму. За 1 квартал 2018 года всего оказано муниципальных услуг 153202, из них  в электронном виде 151016 (98,57%), в том числе:
оказанных ОМСУ в электронном виде  - 141, что составляет 25,7%,
оказанных учреждениями – 150875,  что составляет 98,83%
</t>
  </si>
  <si>
    <t xml:space="preserve">С целью популяризации получения государственных и муниципальных услуг в электронном виде:
- утвержден Координационный совет по  информатизации при администрации города Урай;
- в рамках исполнения Указа Президента Российской Федерации от 07.05.2012  №601 «Об основных направлениях совершенствования системы государственного управления» для увеличения доли граждан, использующих механизм получения государственных и муниципальных услуг в электронной  форме 
организованы Центры обслуживания единой системы идентификации и аутентификации (далее ЕСИА) для доступа к единому порталу государственных и муниципальных услуг: в МФЦ -1, в администрации города Урай (архив, отдел по обращениям  граждан, отдел СМП, управление образования, УИТиС) – 5, отделе ЗАГС - 1, МКУ «Управление градостроительства, землепользования и природопользования» -1. За  1 квартал 2018 года на Едином портале зарегистрировано   – 2547 человек
</t>
  </si>
  <si>
    <t>Социологический опрос по удовлетворенности граждан предоставлением муниципальных услуг  планируется провести в октябре 2018 года</t>
  </si>
  <si>
    <t xml:space="preserve">В соответствии с Федеральным законом от 27.07.2010 №210-ФЗ «Об организации предоставления государственных и муниципальных услуг» в рамках договоров о взаимодействии через  МФЦ предоставляются 225 услуг, в том числе 63 федеральных, 104 региональных, 15 прочих услуг  и 43 муниципальных. На 01.04.2018 года МАУ «МФЦ» оказано услуг 15410 (в том числе 1501 консультация), в том числе:
- федеральных 8910 (в том числе 724 консультации);
- региональных 4608 (в том числе 729 консультаций) - прочих 248 (в том числе 2 консультации);
- муниципальных 308 ( в том числе 46 консультаций);
- регистрация на портале 1336 услуг
</t>
  </si>
  <si>
    <t>За отчетный период комитетом по управлению муниципальным имуществом администрации города Урай зарегистрировано 59 объектов недвижимости, из них:                                                                                                                                         3 вновь построенных объектов недвижимости: магистральные сети горячего водоснабжения, теплоснабжения микрорайона Шаимский; 56 объектов  инженерных сетей (старые сети)</t>
  </si>
  <si>
    <t>За отчетный период в хозяйственный оборот вовлечено 8 земельных участков, переданных от  МКУ "Управление градостроительства, землепользования и природопользования города Урай" согласно постановлениям администрации города Урай "О заключении соглашения о перераспределении земельных участков": от 28.12.2017 №3941, от 28.12.2017 №3943, от 22.01.2018 №93,от 22.01.2018 №103, от 31.01.2018 №169, от 02.02.2018 №207</t>
  </si>
  <si>
    <t xml:space="preserve"> В соответствии с Федеральным законом от 26.12.1995 №208-ФЗ «Об акционерных обществах» органами управления акционерных обществ с участием муниципального образования являются: общее собрание акционеров и Совет директоров. Органом, осуществляющим контроль за  финансово-хозяйственной деятельностью акционерных обществ, является ревизионная комиссия, которая избирается общим собранием акционеров.
Деятельность ревизионной комиссии осуществляется в соответствии с Положениями о ревизионной комиссии, утвержденными Советом директоров каждого акционерного общества, постановлением админситрации города Урай (для МУП ритуальных услуг)  и графиком проверок, утвержденным главой города Урай.
В отчетном периоде   утверждены графики  проведения проверок 
ревизионными комиссиями  муниципального унитарного предприятия  ритуальных услуг и  акционерных обществ, доля акций которых в муниципальном образовании городской округ город Урай составляет  25%  и более. По результатам ревизионных проверок  за 2017 год будет произведена оценка состояния финансово-хозяйственной деятельности хозяйствующих субъектов и   выработаны    рекомендаций, направленные на повышение эффективности их деятельности</t>
  </si>
  <si>
    <t xml:space="preserve">За отчетный период в рамках реализации мероприятия программы производились расходы на содержание нежилых помещений, находящихся в муниципальной собственности, которые расположены в многоквартирных жилых домах; услуги аудита ООО "Омская дочерняя аудиторская фирма "Аудитинформ"; внесение записи о переходе прав собственности на ценные бумаги АО "Индустрия-РЕЕСТР"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</si>
  <si>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Отклонение произошло из-за сложившейся экономии по торгам: ООО "Омская дочерняя аудиторская фирма "Аудитинформ"  за услуги аудита бухгалтерской (финансовой) отчетности муниципального унитарного предприятия ритуальных услуг за 2017 год. </t>
  </si>
  <si>
    <t>Заключение муниципального контракта на услугу страхования и оплата по нему запланированы на 4 квартал 2018 года</t>
  </si>
  <si>
    <t xml:space="preserve">Перечень объектов подлежащих страхованию  утвержден постановлением администрации города Урай от 05.05.2017 №1199
</t>
  </si>
  <si>
    <t>Отклонение произошло в связи с тем, что оплата работ по договорам осуществляется по "факту" на основании актов выполненных работ и фактическим заселением жильцов</t>
  </si>
  <si>
    <t>В 1 квартале 2018 года заключены муниципальные контракты и договоры  на оказание услуг с ООО "Капитал", ООО "Эксперт", АО "Тюменская энергосбытовая компания", АО "Шаимгаз", АО "Урайтеплоэнергия"</t>
  </si>
  <si>
    <t>Освоение средств за отчетный период не в полном объеме обусловлено переносом сроков отпусков, оплаты стоимости проезда к месту использования отпуска  и обратно,
длительностью проведения конкурсных процедур, наличием экономии, сложившейся при проведении конкурсных процедур; в соответствии с сетевым графиком реализации финансовых средств муниципальной программы. Администрирование по ТКО предусмотрено в 4 квартале 2018 года</t>
  </si>
  <si>
    <t xml:space="preserve">Освоение средств предусмотрено во 2-4 кварталах 2018 года. </t>
  </si>
  <si>
    <t xml:space="preserve">  В отчетном периоде в действующие муниципальные нормативные правовые акты администрации города Урай внесено 69 изменений и дополнений, принято 12 новых муниципальных нормативных правовых актов администрации города Урай, 6 муниципальных нормативных правовых актов администрации города Урай о признании утратившим силу ранее принятого акта, 8 муниципальных нормативных правовых актов администрации города Урай взамен отмененных.
О деятельности органов власти подготовлено 196 информационных сообщения в эфире ТРК «Спектр+». 
В газете «Знамя» опубликован 141  материал о деятельности исполнительного и представительного органов власти. 
В разделе «Новости» на официальном сайте органов местного самоуправления города Урай  размещено 95 пресс-релизов о деятельности органов власти. В городе Урай 2018 объявлен Годом гражданских инициатив. Мероприятия в рамках объявленного года находят отражение в информационной картине урайских СМИ. Проведен мониторинг состояний и условий охраны труда в 67 организациях муниципального образования город Урай. Общая численность работников организаций предоставивших информацию составила 13 464 человека. Для руководителей и специалистов организаций, учреждений города проведено 2 семинара по вопросам охраны труда. Принято участие в расследовании 2 несчастных случаев, из них 1 несчастный случай квалифицирован, как несчастный случай, связанный с производством, 1 несчастный случай, по результатам расследования квалифицирован  как несчастный случай не связанный с производством. Отделом ЗАГС зарегистрировано 393 записи актов гражданского состояния, из них 133 о рождении, 56 о заключении брака, 109 о смерти, 62 о расторжении брака, 19   об установлении отцовства, 11 о перемене имени и 3 записи об усыновлении. За 1 квартал 2018 года отделом ЗАГС оказано государственных услуг населению 816, из них в электронном виде  55, оформлено 1586 юридически значимых действий, выдано справок и извещений-504.  В отчетном периоде Архивной службой  оцифровано 20 дел постоянного хранения на 4336 листах; подготовлено 570 архивных справок на социально-правовые, тематические запросы; поступило в службу 656 запросов; изготовлено 118 копий с архивных документов на 249 листах. Отделом опеки и попечительства администрации города Урай проведена следующая работа:
1.Обеспечение социальных гарантий детям-сиротам, детям, оставшимся без попечения родителей, находящимся на воспитании в семьях граждан.
2.Выявление и  учет  детей – сирот и детей, оставшихся без попечения родителей.
3.Устройство детей – сирот и детей, оставшихся без попечения родителей, на воспитание в семьи граждан.
4.Защита имущественных прав несовершеннолетних подопечных.
5.Надзор за деятельностью опекунов, попечителей, приемных родителей, усыновителей.
6.Защита прав и интересов лиц из числа детей-сирот и детей, оставшихся без попечения родителей, в возрасте от 18 до 23 лет.
7.Защита прав и интересов недееспособных граждан. 
8.Деятельность органа опеки и попечительства по защите имущественных и личных прав несовершеннолетних.
9.Выявление и учет детей, права и законные интересы которых нарушены.
10.Выдача разрешений на трудоустройство несовершеннолетних, в случаях, предусмотренных законом.
 Произведены ежемесячные выплаты вознаграждения 127 приемным родителям (среднегодовая численность) за воспитание ребенка. </t>
  </si>
  <si>
    <t>За 1 квартал 2018 года в сфере муниципальной службы изменено 2 нормативно-правовых акта</t>
  </si>
  <si>
    <t>В 1 квартале 2018 года проведён 1 конкурс в кадровый резерв на 4 должности</t>
  </si>
  <si>
    <t>В 1 квартале 2018 года назначения из резерва кадров на  должности муниципальной службы высшей, главной и ведущей группы, учрежденных для выполнения функции «руководитель» не осуществлялись</t>
  </si>
  <si>
    <t>В 1 квартале 2018 года конкурс «Лучший работник органов местного самоуправления» не проводился</t>
  </si>
  <si>
    <t>В 1 квартале 2018 года повышение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 не проводилось</t>
  </si>
  <si>
    <t>Ответственный исполнитель (соисполнитель)</t>
  </si>
  <si>
    <t>Согласовано:</t>
  </si>
  <si>
    <t xml:space="preserve">муниципальной программы </t>
  </si>
  <si>
    <t>Комитет по финансам администрации города Урай</t>
  </si>
  <si>
    <t>Начальник сводно-аналитического отдела администрации города Урай Назарова Ирина Николаевна</t>
  </si>
  <si>
    <t xml:space="preserve">Бюджет Ханты-Мансийского автономного округа - Югры </t>
  </si>
  <si>
    <t>Без финансирования</t>
  </si>
  <si>
    <t>Всего:</t>
  </si>
  <si>
    <t>ИТОГО по  программе:</t>
  </si>
  <si>
    <t>Подпрограмма 1 «Создание условий для совершенствования системы муниципального управления»</t>
  </si>
  <si>
    <t>Подпрограмма 2 «Предоставление государственных и муниципальных услуг»</t>
  </si>
  <si>
    <t>Подпрограмма 3 «Развитие муниципальной службы и резерва управленческих кадров»</t>
  </si>
  <si>
    <t>ОТЧЕТ</t>
  </si>
  <si>
    <t>Таблица 1</t>
  </si>
  <si>
    <t>Управление образования и молодежной политики администрации города Урай</t>
  </si>
  <si>
    <t>Приложение к Порядку принятия решения о разработке муниципальных</t>
  </si>
  <si>
    <t>программ муниципального образования городской округ город Урай, их</t>
  </si>
  <si>
    <t>формирования, утверждения, корректировки и реализации</t>
  </si>
  <si>
    <t xml:space="preserve">Местный бюджет </t>
  </si>
  <si>
    <t>Местный бюджет</t>
  </si>
  <si>
    <t>1.</t>
  </si>
  <si>
    <t>1.3</t>
  </si>
  <si>
    <t>1.7.</t>
  </si>
  <si>
    <t>2.</t>
  </si>
  <si>
    <t>Иные источники финансирования</t>
  </si>
  <si>
    <t>Реализация полномочий 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 (1, 2)</t>
  </si>
  <si>
    <t>Обеспечение исполнения гарантий, предоставляемых  муниципальным служащим по выплате пенсии за выслугу лет (4)</t>
  </si>
  <si>
    <t xml:space="preserve">Содействие улучшению положения на рынке труда не занятых трудовой деятельностью и безработных граждан (3)
</t>
  </si>
  <si>
    <t>Управление и распоряжение муниципальным имуществом (5)</t>
  </si>
  <si>
    <t xml:space="preserve">Реализация Федерального проекта «Содействие занятости женщин - создание условий дошкольного образования для детей в возрасте до трех лет» (1)
</t>
  </si>
  <si>
    <t>Информирование и консультирование в сфере защиты прав потребителей (1)</t>
  </si>
  <si>
    <t>Предоставление муниципальных услуг и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 (6, 7, 8)</t>
  </si>
  <si>
    <t>Организация предоставления государственных и муниципальных услуг в МАУ МФЦ (9)</t>
  </si>
  <si>
    <t>3.</t>
  </si>
  <si>
    <t>3.2.</t>
  </si>
  <si>
    <t>3.3.</t>
  </si>
  <si>
    <t>Формирование резерва кадров  должностей муниципальной службы высшей, главной и ведущей группы, учрежденных для выполнения функции «руководитель» (10)</t>
  </si>
  <si>
    <t>Содействие развитию управленческой культуры и повышению престижа муниципальной службы (11)</t>
  </si>
  <si>
    <t>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 (12)</t>
  </si>
  <si>
    <t>Инвестиции в объекты муниципальной собственности</t>
  </si>
  <si>
    <t>Прочие расходы</t>
  </si>
  <si>
    <t>Соисполнитель 1 (Муниципальное казенное учреждение  «Управление материально-технического обеспечения города Урай»)</t>
  </si>
  <si>
    <t>Соисполнитель 3   (Управление образования и молодежной политики администрации города Урай)</t>
  </si>
  <si>
    <t>Соисполнитель 4 (Муниципальное казенное учреждение «Управление градостроительства, землепользования и природопользования города Урай»)</t>
  </si>
  <si>
    <t>Соисполнитель 5 (Муниципальное казенное учреждение «Управление капитального строительства города Урай»)</t>
  </si>
  <si>
    <t>Соисполнитель 6 (Муниципальное казенное учреждение «Управление жилищно-коммунального хозяйства города Урай»)</t>
  </si>
  <si>
    <t>МКУ «УМТО города Урай», МКУ «ЦБУгорода Урай»</t>
  </si>
  <si>
    <t>сводно-аналитический отдел администрации города Урай</t>
  </si>
  <si>
    <t>Соисполнитель 7 (Муниципальное казенное учреждение «Центр бухгалтерского учета города Урай»)</t>
  </si>
  <si>
    <t>Обеспечение деятельности органов местного самоуправления, муниципальных учреждений, в отношении которых часть функций и полномочий исполняет администрация города Урай  (1)</t>
  </si>
  <si>
    <t>Основные мероприятия муниципальной программы
(их взаимосвязь с целевыми показателями муниципальной программы)</t>
  </si>
  <si>
    <t xml:space="preserve">Ответственный исполнитель/соисполнитель </t>
  </si>
  <si>
    <t>Финансовые затраты на реализацию 
(тыс. рублей)</t>
  </si>
  <si>
    <t xml:space="preserve">№ </t>
  </si>
  <si>
    <t>Ответственный исполнитель - сводно-аналитический отдел администрации города Урай</t>
  </si>
  <si>
    <t xml:space="preserve">сводно-аналитический отдел администрации города Урай, МКУ «УЖКХ города Урай»,  МКУ «УМТО города Урай»,  органы администрации города Урай: отдел опеки и попечительства администрации города Урай
</t>
  </si>
  <si>
    <t>сводно-аналитический отдел администрации города Урай, Управление образования и молодежной политики администрации города Урай,  МКУ «УМТО города Урай», МКУ «ЕДДС города Урай», МКУ «УЖКХ города Урай», МКУ «УКС города Урай», МКУ «УГЗиП города Урай»</t>
  </si>
  <si>
    <t>МКУ «УКС города Урай», МКУ «УГЗиП города Урай»,  МКУ «УЖКХ города Урай», органы администрации города Урай:   управление по учету и распределению муниципального жилого фонда администрации города Урай, комитет по управлению муниципальным имуществом администрации города Урай</t>
  </si>
  <si>
    <t>органы администрации города Урай: правовое управление администрации города Урай</t>
  </si>
  <si>
    <t>органы администрации города Урай, предоставляющие муниципальные услуги, МКУ «УГЗиП  города Урай»</t>
  </si>
  <si>
    <t>сводно-аналитический отдел администрации города Урай,  органы администрации города Урай: управление экономического развития администрации города Урай</t>
  </si>
  <si>
    <t>органы администрации города Урай: управление по развитию местного самоуправления администрации города Урай</t>
  </si>
  <si>
    <t xml:space="preserve">сводно-аналитический отдел администрации города Урай, Комитет по финансам администрации города Урай, органы администрации города Урай: управление по развитию местного самоуправления администрации города Урай
</t>
  </si>
  <si>
    <t>Соисполнитель 2 (Органы администрации города Урай - комитет по управлению муниципальным имуществом администрации города Урай,  управление по развитию местного самоуправления администрации города Урай, управление по учету и распределению муниципального жилого фонда администрации города Урай, управление экономического развития администрации города Урай, отдел опеки и попечительства администрации города Урай, правовое управление администрации города Урай, управление по культуре и социальным вопросам администрации города Урай, управление по физической культуре, спорту и туризму администрации города Урай,  управление внутренней  политики администрации города Урай,  пресс-служба администрации города Урай)</t>
  </si>
  <si>
    <t>Соисполнитель 8 (Муниципальное казенное учреждение «Единая дежурно-диспетчерская служба города Урай»)</t>
  </si>
  <si>
    <t>кроме того, местный бюджет, за счёт остатков прошлых лет</t>
  </si>
  <si>
    <r>
      <t xml:space="preserve">"______"_________________2022 </t>
    </r>
    <r>
      <rPr>
        <sz val="9"/>
        <rFont val="Times New Roman"/>
        <family val="1"/>
        <charset val="204"/>
      </rPr>
      <t>подпись</t>
    </r>
    <r>
      <rPr>
        <sz val="12"/>
        <rFont val="Times New Roman"/>
        <family val="1"/>
        <charset val="204"/>
      </rPr>
      <t xml:space="preserve"> _____________________________</t>
    </r>
  </si>
  <si>
    <t>Исполнение мероприятия в 2022 году не предусмотрено</t>
  </si>
  <si>
    <t xml:space="preserve">За отчетный период конкурс на включение в кадровый резерв не проводился          </t>
  </si>
  <si>
    <t>В рамках данного мероприятия заключаются договора на трудоустройство граждан, в том числе подростков в целях реализации  государственной программы Ханты-Мансийского автономного округа - Югры "Поддержка занятости населения"</t>
  </si>
  <si>
    <t>Неисполнение связано с временным ограничением на выезд муниципальных служащих в служебные командировки (курсы повышения квалификации), в связи с напряженной эпидемиологической обстановкой. Обучение проходит в дистанционной форме</t>
  </si>
  <si>
    <t>Финансирование мероприятий по содействию трудоустройству граждан осуществляется в соответствии с реестром получателей средств бюджета автономного округа и заключенными договорами. Оплата производится за фактически отработанное время.</t>
  </si>
  <si>
    <t>о ходе исполнения комплексного плана (сетевого графика) реализации  муниципальной программы "Совершенствование и развитие муниципального управления в г.Урай" на 2018-2030 годы       на 01.07. 2022</t>
  </si>
  <si>
    <t xml:space="preserve">Органами администрации оказываются 53 муниципальные услуги, 11 услуг, предоставляемых муниципальными учреждениями и 7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 (правовое управление, отдел опеки и попечительства,  отдел ЗАГС).
За  1 полугодие 2022 года всего оказано услуг – 23 001, из них: 
муниципальных услуг – 812,
услуг учреждений – 20 546,                                                                                                                государственных услуг – 1 643.
За  отчетный период всего оказано услуг в электронном виде  17 654 (76,7%),                                         в том числе:
оказанных ОМСУ   в электронном виде - 103, что составляет 13%,
оказанных учреждениями –  16 894  что составляет 82%,                                                                              по переданным государственным полномочиям - 1 643,  что составляет 340%.  Количество активаций учетных записей ЕСИА (регистрация и подтверждение) в центрах обслуживания – 253 человека.
В соответствии с Федеральным законом от 27.07.2010 №210-ФЗ «Об организации предоставления государственных и муниципальных услуг», в рамках Соглашения о взаимодействии между автономным учреждением Ханты-Мансийского автономного округа – Югры «Многофункциональный центр предоставления государственных и муниципальных услуг Югры» и администрацией города Урай от 26.10.2020 №350/20 с 01.01.2021 предоставление муниципальных услуг осуществляется  филиалом автономного учреждения Ханты-Мансийского автономного округа – Югры «Многофункциональный центр предоставления государственных и муниципальных услуг Югры» в городе Урае. </t>
  </si>
  <si>
    <t>В отчетном периоде по программам повышения профессионального уровня обучены муниципальные служащие органов местного самоуправления, лица замещающие муниципальные должности, глава города Урай в количестве 48 человек.</t>
  </si>
  <si>
    <t>За отчетный период пенсия за выслугу лет лицам, замещающим муниципальные должности и должности муниципальной службы в городе Урай выплачена 53 пенсионерам</t>
  </si>
  <si>
    <t>В отчетном периоде в действующие муниципальные нормативные правовые акты администрации города Урай внесено 146 изменений и дополнений, принято 17 новых муниципальных нормативных правовых актов администрации города Урай, 6 муниципальных нормативных правовых актов администрации города Урай о признании утратившим силу ранее принятого акта, 23 муниципальных нормативных правовых актов администрации города Урай взамен отмененных.
За 1 квартал 2022 года о деятельности органов местного самоуправления города Урай, реализации муниципальных программ и социально-экономических преобразованиях в муниципалитете в эфире ТРК «Спектр+» было подготовлен 71 материал. Официальная информация о ходе социально-экономических преобразований и политических событий в городе Урай размещается в газете «Знамя».  За отчетный период в печатной газете «Знамя» было опубликовано 69 материалов о деятельности органов местного самоуправления города Урай, реализации муниципальных программ и социально-экономических преобразованиях в муниципалитете. В разделе «Новости» на официальном сайте органов местного самоуправления  размещено 112 пресс-релиза о деятельности органов местного самоуправления. Продолжено активное ведение официальных страниц муниципалитета в социальных сетях.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 мониторинг состояний и условий охраны труда в 89 организациях города. Общая численность работников организаций предоставивших информацию составила 9 069 человека. Подготовлено 4 правовых акта по охране труда, разработано 12 методических пособия по охране труда.  Организовано и проведено 9 вебинаров по охране труда, 1 заседание Межведомственной комиссии по охране труда города Урай, на котором рассмотрено 2 вопроса. Принято участие в расследовании 7 несчастных случаев  на производстве, 2 несчастных случаев не связанных с производством. На сайте органов местного самоуправления города Урай опубликовано 73 информационных, справочных материала. Рассмотрено 31 устное обращение, 2 письменных обращения. Распространено 2 667 экземпляра справочной литературы. 
Отделом ЗАГС зарегистрировано 650 записей актов гражданского состояния, из них 158 о рождении, 96 о заключении брака, 245 о смерти, 92 о расторжении брака, 32 об установлении отцовства, 25 о перемене имени и 2 записи об усыновлении.  За отчетный период оказано населению 1 426 государственные услуги, из них в 657 в электронном виде. В 1 полугодие было вручено 158 подарка "Расту в Югре".  За отчетный период проведено чествование супругов, проживших в браке 50 лет ("Нити судьбы").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отчетном периоде Архивной службой  подготовлено 720 архивных справок на социально-правовые, тематические запросы; поступило в службу 755 запроса; изготовлено 127 единиц копий с архивных документов на 342 листах, оцифровано 1 единица хранения на 109 листах.                                                                                                                                                                                                                                                                                                                                                                                                                                                                                                                     Отделом опеки и попечительства администрации города Урай проведена следующая работа:
1.Обеспечение социальных гарантий детям-сиротам, детям, оставшимся без попечения родителей, находящимся на воспитании в семьях граждан.
2.Выявление и  учет  детей – сирот и детей, оставшихся без попечения родителей.
3.Устройство детей – сирот и детей, оставшихся без попечения родителей, на воспитание в семьи граждан.
4.Защита имущественных прав несовершеннолетних подопечных.
5.Надзор за деятельностью опекунов, попечителей, приемных родителей, усыновителей.
6.Защита прав и интересов лиц из числа детей-сирот и детей, оставшихся без попечения родителей, в возрасте от 18 до 23 лет.
7.Защита прав и интересов недееспособных граждан. 
8.Деятельность органа опеки и попечительства по защите имущественных и личных прав несовершеннолетних.
9.Выявление и учет детей, права и законные интересы которых нарушены.
10.Выдача разрешений на трудоустройство несовершеннолетних, в случаях, предусмотренных законом.
 Произведены ежемесячные выплаты вознаграждения 103 приемным родителям  за воспитание ребенка.</t>
  </si>
  <si>
    <t xml:space="preserve">За отчетный период комитетом по управлению муниципальным имуществом администрации города Урай  зарегистрировано 15 объектов - 3 объекта, числящихся в реестре муниципального имущества (дороги, коммунальные инфраструктуры), 8 объектов, переданных от МКУ "УКС г.Урай" (вновь построенные инженерные сети), 1 сеть водоснабжения, 3 объекта теплосети УТЭ (объединение после реконструкции в рамках концессионного соглашения).                                                                                                                                                                                                                                                                                За  1 полугодие 2022 года  в хозяйственный оборот вовлечено 19 земельных участка: 1) земельные участки переданные в аренду  МКУ "Управление градостроительства, землепользования и природопользования города Урай" (2 земельных участка); 2) с аукциона на право заключения договора аренды передано 2 земельных участка; 3) реализовано 15 земельных участка, переданных переданных муниципальным казенным учреждением "Управление градостроительства, землепользования и природопользования города Урай".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 1 июля  2022 года городской округ Урай  ХМАО-Югры  является учредителем 4 хозяйственных обществ. По размеру участия  городского округа Урай  ХМАО-Югры  хозяйственные общества распределены следующим образом: в 2 обществах -75% акций  принадлежит городскому округу Урай ХМАО-Югры; в 2 обществах- единственным акционером  (участником), имея в собственности 100 % акций (долей) является  городской округ Урай ХМАО-Югры.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хозяйственных обществах с участием в уставном капитале города Урай   за  1 полугодие 2022 года  состоялось  14 заседаний советов директоров. За отчетный период проведены 4 ревизионные проверки финансово-хозяйственной деятельности АО "Водоканал", ООО Ритуальных услуг. Результаты проверок направлены в органы управления Обществ. Комитетом по управлению муниципальным имуществом администрации города Урай  совместно с МКУ "Упрвлениее жилищно-коммунального хозяйства города Урай" осуществляется контроль за финансово -хозяйственной деятельностью хозяйственных обществ. Органами управления хозяйственных обществ утверждены новые показатели премирования руководителей.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</si>
  <si>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отчетном периоде в службу по защите прав потребителей поступило 84 обращений (36 обратившихся лично и 48 - по электронной почте и телефону).  Большая часть обращений граждан  в службу происходит по вопросам  торговли (всего 59 человек) - в основном это: купля – продажа  технически сложных товаров бытового назначения,  самое большое количество обращений - это жалобы на качество сотовых телефонов –  14 обращений, далее электробытовые машины и приборы – 9 обращений,  качество обуви и одежды  - 6 обращений, электробытовые машины, приборы и инструменты - 7 обращений, мебель и мебельные гарнитуры - 4 обращения и др. Ведется и индивидуальная работа с предпринимателями, консультации частных предпринимателей  представителей хозяйствующих субъектов, работающих на территории города (7 консультаций), по  вопросам законодательства РФ о защите прав потребителей.    
Содействие потребителям в реализации их права на судебную защиту, установленную в ст. 17 Закона РФ «О защите прав потребителей». За 1 полугодие 2022 года составлено и направлено в суд 7 исковых заявления от имени потребителей. Сумма исковых требований составила - 756,5 тыс.рублей.
Уделяется внимание в работе службы профилактической и информационно – разъяснительной работе среди населения города основных положений законодательства о защите прав потребителей, посредством:  опубликования в городской газете «Знамя» и на официальном сайте администрации г.Урай материалов, где затрагиваются различные аспекты законодательства РФ о защите прав потребителей. Материал дается в доступной форме, понятной читателю. 
 На официальном сайте органов местного самоуправления города Урай в информационно-телекоммуникационной сети «Интернет» в разделе «Информация для граждан» - «Защита прав потребителей» размещено 3 материала. </t>
  </si>
  <si>
    <t>В рамках данного мероприятия осуществляется финансирование содержания нежилых помещений, транспортных средств, рекламных конструкций, объектов муниципальной казны, необходимых для деятельности и осуществления полномочий органов местного самоуправления. 
В рамках данной деятельности за 1 полугодие 2022 года заключены муниципальные контракты и договора в количестве 66 штук на содержание объектов муниципальной казны:  техническое обслуживание и содержание объектов – 46 муниципальных контрактов и договоров (содержание нежилых помещений в многоквартирных домах, приобретение строй., хоз. материалов, поставка огнетушителей, оказание услуг связи и т.д.). На содержание и ремонт транспортных средств – 20 муниципальных контрактов и договоров (ремонт, техническое обслуживание, приобретение запасных частей, горюче-смазочных материалов).  Организована бесперебойная работа всех служб учреждения для поддержания хозяйственно-технической деятельности                                                                                                                           Осуществлено ведение бухгалтерского (бюджетного), налогового и статистического учета органов местного самоуправления и муниципальных учреждений города Урай. Сформированы и направлены отчеты (в том числе консолидированные отчеты) по результатам работы за 2021 год, 1 квартал 2022 года  главному распорядителю бюджетных средств, в ПФР, в ФСС, в ИФНС, в Росстат</t>
  </si>
  <si>
    <t xml:space="preserve">Неисполнение связано  с оплатой услуг по фактически произведенным затратам; выплатой премии по итогам работы за год, квартал за фактически отработанное время, длительными больничными листами, переносом сроков ежегодного отпуска, приостановлением выплаты вознаграждения приемному родителю, отказом от приобретения путёвок в детский санаторно - оздоровительный лагерь </t>
  </si>
  <si>
    <t>Отклонение исполнения от плановых назначений связано с  наличием листов нетрудоспособности</t>
  </si>
  <si>
    <t>Финансирование мероприятия осуществляется по фактически произведенным затратам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</si>
</sst>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</numFmts>
  <fonts count="3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164" fontId="13" fillId="0" borderId="0" applyFont="0" applyFill="0" applyBorder="0" applyAlignment="0" applyProtection="0"/>
    <xf numFmtId="0" fontId="31" fillId="0" borderId="0"/>
  </cellStyleXfs>
  <cellXfs count="508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5" fontId="15" fillId="0" borderId="1" xfId="0" applyNumberFormat="1" applyFont="1" applyBorder="1" applyAlignment="1" applyProtection="1">
      <alignment horizontal="center" vertical="top" wrapText="1"/>
      <protection hidden="1"/>
    </xf>
    <xf numFmtId="165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0" xfId="0" applyNumberFormat="1" applyFont="1" applyAlignment="1" applyProtection="1">
      <alignment vertical="center"/>
      <protection hidden="1"/>
    </xf>
    <xf numFmtId="165" fontId="15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2" xfId="0" applyNumberFormat="1" applyFont="1" applyBorder="1" applyAlignment="1" applyProtection="1">
      <alignment vertical="center"/>
      <protection hidden="1"/>
    </xf>
    <xf numFmtId="165" fontId="15" fillId="0" borderId="3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7" fontId="3" fillId="0" borderId="0" xfId="0" applyNumberFormat="1" applyFont="1" applyFill="1" applyAlignment="1">
      <alignment vertical="center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165" fontId="3" fillId="0" borderId="0" xfId="2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67" fontId="19" fillId="4" borderId="1" xfId="2" applyNumberFormat="1" applyFont="1" applyFill="1" applyBorder="1" applyAlignment="1">
      <alignment horizontal="center" vertical="center" wrapText="1"/>
    </xf>
    <xf numFmtId="167" fontId="19" fillId="0" borderId="1" xfId="2" applyNumberFormat="1" applyFont="1" applyFill="1" applyBorder="1" applyAlignment="1">
      <alignment horizontal="center" vertical="center" wrapText="1"/>
    </xf>
    <xf numFmtId="165" fontId="19" fillId="0" borderId="1" xfId="2" applyNumberFormat="1" applyFont="1" applyFill="1" applyBorder="1" applyAlignment="1">
      <alignment horizontal="center" vertical="center" wrapText="1"/>
    </xf>
    <xf numFmtId="167" fontId="21" fillId="4" borderId="1" xfId="2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5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21" fillId="4" borderId="1" xfId="0" applyFont="1" applyFill="1" applyBorder="1" applyAlignment="1" applyProtection="1">
      <alignment horizontal="left" vertical="center" wrapText="1"/>
      <protection locked="0"/>
    </xf>
    <xf numFmtId="165" fontId="21" fillId="4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7" fontId="16" fillId="0" borderId="0" xfId="2" applyNumberFormat="1" applyFont="1" applyFill="1" applyBorder="1" applyAlignment="1">
      <alignment horizontal="right" vertical="center"/>
    </xf>
    <xf numFmtId="167" fontId="3" fillId="0" borderId="0" xfId="2" applyNumberFormat="1" applyFont="1" applyFill="1" applyBorder="1" applyAlignment="1">
      <alignment horizontal="right" vertical="top" wrapText="1"/>
    </xf>
    <xf numFmtId="167" fontId="3" fillId="0" borderId="0" xfId="2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center"/>
    </xf>
    <xf numFmtId="165" fontId="19" fillId="5" borderId="1" xfId="2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0" fontId="0" fillId="0" borderId="0" xfId="0" applyFill="1"/>
    <xf numFmtId="167" fontId="19" fillId="5" borderId="1" xfId="2" applyNumberFormat="1" applyFont="1" applyFill="1" applyBorder="1" applyAlignment="1">
      <alignment horizontal="center" vertical="center" wrapText="1"/>
    </xf>
    <xf numFmtId="167" fontId="3" fillId="5" borderId="1" xfId="0" applyNumberFormat="1" applyFont="1" applyFill="1" applyBorder="1" applyAlignment="1">
      <alignment horizontal="right" vertical="center"/>
    </xf>
    <xf numFmtId="0" fontId="0" fillId="0" borderId="0" xfId="0" applyFill="1" applyBorder="1"/>
    <xf numFmtId="167" fontId="24" fillId="0" borderId="1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5" fillId="0" borderId="0" xfId="0" applyFont="1"/>
    <xf numFmtId="0" fontId="26" fillId="0" borderId="0" xfId="0" applyFont="1"/>
    <xf numFmtId="167" fontId="19" fillId="5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165" fontId="19" fillId="0" borderId="4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167" fontId="3" fillId="5" borderId="1" xfId="0" applyNumberFormat="1" applyFont="1" applyFill="1" applyBorder="1" applyAlignment="1">
      <alignment horizontal="center" vertical="center"/>
    </xf>
    <xf numFmtId="167" fontId="1" fillId="5" borderId="14" xfId="0" applyNumberFormat="1" applyFont="1" applyFill="1" applyBorder="1" applyAlignment="1">
      <alignment horizontal="center" vertical="center"/>
    </xf>
    <xf numFmtId="167" fontId="1" fillId="5" borderId="1" xfId="0" applyNumberFormat="1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vertical="center" wrapText="1"/>
    </xf>
    <xf numFmtId="167" fontId="3" fillId="0" borderId="0" xfId="0" applyNumberFormat="1" applyFont="1" applyFill="1" applyAlignment="1">
      <alignment horizontal="right" vertical="center"/>
    </xf>
    <xf numFmtId="0" fontId="19" fillId="5" borderId="1" xfId="0" applyFont="1" applyFill="1" applyBorder="1" applyAlignment="1" applyProtection="1">
      <alignment horizontal="left" vertical="center" wrapText="1"/>
      <protection locked="0"/>
    </xf>
    <xf numFmtId="0" fontId="24" fillId="5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readingOrder="1"/>
    </xf>
    <xf numFmtId="0" fontId="26" fillId="0" borderId="0" xfId="0" applyFont="1" applyAlignment="1"/>
    <xf numFmtId="165" fontId="3" fillId="0" borderId="7" xfId="0" applyNumberFormat="1" applyFont="1" applyFill="1" applyBorder="1" applyAlignment="1">
      <alignment horizontal="left" vertical="center" wrapText="1"/>
    </xf>
    <xf numFmtId="167" fontId="21" fillId="5" borderId="1" xfId="2" applyNumberFormat="1" applyFont="1" applyFill="1" applyBorder="1" applyAlignment="1">
      <alignment horizontal="center" vertical="center" wrapText="1"/>
    </xf>
    <xf numFmtId="167" fontId="24" fillId="5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/>
    </xf>
    <xf numFmtId="0" fontId="24" fillId="5" borderId="8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19" fillId="5" borderId="10" xfId="0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0" xfId="0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1" fontId="19" fillId="0" borderId="6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0" fontId="19" fillId="5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167" fontId="1" fillId="0" borderId="14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167" fontId="1" fillId="0" borderId="14" xfId="0" applyNumberFormat="1" applyFont="1" applyFill="1" applyBorder="1" applyAlignment="1">
      <alignment horizontal="center" vertical="center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167" fontId="21" fillId="0" borderId="1" xfId="2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Fill="1" applyBorder="1" applyAlignment="1">
      <alignment horizontal="left" vertical="top" wrapText="1"/>
    </xf>
    <xf numFmtId="167" fontId="19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left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1" fillId="5" borderId="0" xfId="0" applyFont="1" applyFill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left" vertical="center" wrapText="1"/>
    </xf>
    <xf numFmtId="165" fontId="21" fillId="5" borderId="1" xfId="0" applyNumberFormat="1" applyFont="1" applyFill="1" applyBorder="1" applyAlignment="1">
      <alignment horizontal="left" vertical="center" wrapText="1"/>
    </xf>
    <xf numFmtId="0" fontId="21" fillId="5" borderId="1" xfId="0" applyFont="1" applyFill="1" applyBorder="1" applyAlignment="1" applyProtection="1">
      <alignment horizontal="left" vertical="center" wrapText="1"/>
      <protection locked="0"/>
    </xf>
    <xf numFmtId="0" fontId="19" fillId="5" borderId="1" xfId="0" applyFont="1" applyFill="1" applyBorder="1" applyAlignment="1">
      <alignment horizontal="left" vertical="center" wrapText="1"/>
    </xf>
    <xf numFmtId="165" fontId="19" fillId="5" borderId="1" xfId="0" applyNumberFormat="1" applyFont="1" applyFill="1" applyBorder="1" applyAlignment="1">
      <alignment horizontal="left" vertical="center" wrapText="1"/>
    </xf>
    <xf numFmtId="166" fontId="19" fillId="5" borderId="1" xfId="2" applyNumberFormat="1" applyFont="1" applyFill="1" applyBorder="1" applyAlignment="1">
      <alignment horizontal="center" vertical="center" wrapText="1"/>
    </xf>
    <xf numFmtId="4" fontId="19" fillId="5" borderId="1" xfId="2" applyNumberFormat="1" applyFont="1" applyFill="1" applyBorder="1" applyAlignment="1">
      <alignment horizontal="center" vertical="center" wrapText="1"/>
    </xf>
    <xf numFmtId="165" fontId="19" fillId="5" borderId="1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vertical="center"/>
    </xf>
    <xf numFmtId="165" fontId="21" fillId="5" borderId="1" xfId="2" applyNumberFormat="1" applyFont="1" applyFill="1" applyBorder="1" applyAlignment="1">
      <alignment horizontal="center" vertical="center" wrapText="1"/>
    </xf>
    <xf numFmtId="167" fontId="21" fillId="5" borderId="4" xfId="2" applyNumberFormat="1" applyFont="1" applyFill="1" applyBorder="1" applyAlignment="1">
      <alignment horizontal="center" vertical="center" wrapText="1"/>
    </xf>
    <xf numFmtId="167" fontId="19" fillId="5" borderId="4" xfId="2" applyNumberFormat="1" applyFont="1" applyFill="1" applyBorder="1" applyAlignment="1">
      <alignment horizontal="center" vertical="center" wrapText="1"/>
    </xf>
    <xf numFmtId="167" fontId="3" fillId="5" borderId="0" xfId="0" applyNumberFormat="1" applyFont="1" applyFill="1" applyBorder="1" applyAlignment="1">
      <alignment vertical="center"/>
    </xf>
    <xf numFmtId="165" fontId="3" fillId="5" borderId="0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165" fontId="3" fillId="5" borderId="0" xfId="0" applyNumberFormat="1" applyFont="1" applyFill="1" applyBorder="1" applyAlignment="1">
      <alignment vertical="center" wrapText="1"/>
    </xf>
    <xf numFmtId="167" fontId="1" fillId="5" borderId="0" xfId="0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3" fillId="5" borderId="0" xfId="0" applyFont="1" applyFill="1" applyAlignment="1">
      <alignment horizontal="right" vertical="center"/>
    </xf>
    <xf numFmtId="166" fontId="3" fillId="5" borderId="0" xfId="0" applyNumberFormat="1" applyFont="1" applyFill="1" applyAlignment="1">
      <alignment vertical="center"/>
    </xf>
    <xf numFmtId="0" fontId="6" fillId="5" borderId="0" xfId="0" applyFont="1" applyFill="1"/>
    <xf numFmtId="0" fontId="6" fillId="5" borderId="0" xfId="0" applyFont="1" applyFill="1" applyBorder="1"/>
    <xf numFmtId="0" fontId="6" fillId="5" borderId="0" xfId="0" applyFont="1" applyFill="1" applyAlignment="1">
      <alignment horizontal="right"/>
    </xf>
    <xf numFmtId="0" fontId="3" fillId="5" borderId="1" xfId="0" applyFont="1" applyFill="1" applyBorder="1" applyAlignment="1">
      <alignment horizontal="center" vertical="center" wrapText="1"/>
    </xf>
    <xf numFmtId="167" fontId="21" fillId="5" borderId="1" xfId="0" applyNumberFormat="1" applyFont="1" applyFill="1" applyBorder="1" applyAlignment="1">
      <alignment horizontal="center" vertical="center"/>
    </xf>
    <xf numFmtId="0" fontId="33" fillId="5" borderId="0" xfId="0" applyFont="1" applyFill="1"/>
    <xf numFmtId="0" fontId="33" fillId="5" borderId="0" xfId="0" applyFont="1" applyFill="1" applyBorder="1"/>
    <xf numFmtId="0" fontId="3" fillId="5" borderId="0" xfId="0" applyFont="1" applyFill="1"/>
    <xf numFmtId="0" fontId="20" fillId="5" borderId="0" xfId="0" applyFont="1" applyFill="1" applyAlignment="1"/>
    <xf numFmtId="0" fontId="20" fillId="5" borderId="0" xfId="0" applyFont="1" applyFill="1" applyAlignment="1">
      <alignment horizontal="left" readingOrder="1"/>
    </xf>
    <xf numFmtId="167" fontId="6" fillId="5" borderId="0" xfId="0" applyNumberFormat="1" applyFont="1" applyFill="1"/>
    <xf numFmtId="166" fontId="6" fillId="5" borderId="0" xfId="0" applyNumberFormat="1" applyFont="1" applyFill="1"/>
    <xf numFmtId="0" fontId="19" fillId="5" borderId="0" xfId="0" applyFont="1" applyFill="1" applyBorder="1" applyAlignment="1" applyProtection="1">
      <alignment horizontal="left" vertical="center" wrapText="1"/>
      <protection locked="0"/>
    </xf>
    <xf numFmtId="167" fontId="19" fillId="5" borderId="0" xfId="2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67" fontId="3" fillId="5" borderId="0" xfId="0" applyNumberFormat="1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167" fontId="3" fillId="5" borderId="1" xfId="0" applyNumberFormat="1" applyFont="1" applyFill="1" applyBorder="1" applyAlignment="1">
      <alignment horizontal="center" vertical="center"/>
    </xf>
    <xf numFmtId="165" fontId="19" fillId="5" borderId="6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165" fontId="3" fillId="5" borderId="0" xfId="0" applyNumberFormat="1" applyFont="1" applyFill="1" applyBorder="1" applyAlignment="1">
      <alignment horizontal="center" vertical="center" wrapText="1"/>
    </xf>
    <xf numFmtId="165" fontId="34" fillId="5" borderId="1" xfId="0" applyNumberFormat="1" applyFont="1" applyFill="1" applyBorder="1" applyAlignment="1">
      <alignment horizontal="left" vertical="center" wrapText="1"/>
    </xf>
    <xf numFmtId="167" fontId="34" fillId="5" borderId="1" xfId="2" applyNumberFormat="1" applyFont="1" applyFill="1" applyBorder="1" applyAlignment="1">
      <alignment horizontal="center" vertical="center" wrapText="1"/>
    </xf>
    <xf numFmtId="166" fontId="34" fillId="5" borderId="1" xfId="2" applyNumberFormat="1" applyFont="1" applyFill="1" applyBorder="1" applyAlignment="1">
      <alignment horizontal="center" vertical="center" wrapText="1"/>
    </xf>
    <xf numFmtId="165" fontId="34" fillId="5" borderId="1" xfId="2" applyNumberFormat="1" applyFont="1" applyFill="1" applyBorder="1" applyAlignment="1">
      <alignment horizontal="center" vertical="center" wrapText="1"/>
    </xf>
    <xf numFmtId="4" fontId="34" fillId="5" borderId="1" xfId="2" applyNumberFormat="1" applyFont="1" applyFill="1" applyBorder="1" applyAlignment="1">
      <alignment horizontal="center" vertical="center" wrapText="1"/>
    </xf>
    <xf numFmtId="167" fontId="2" fillId="5" borderId="0" xfId="0" applyNumberFormat="1" applyFont="1" applyFill="1" applyBorder="1" applyAlignment="1">
      <alignment vertical="center"/>
    </xf>
    <xf numFmtId="165" fontId="2" fillId="5" borderId="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19" fillId="5" borderId="8" xfId="0" applyFont="1" applyFill="1" applyBorder="1" applyAlignment="1">
      <alignment horizontal="left" vertical="center" wrapText="1"/>
    </xf>
    <xf numFmtId="165" fontId="15" fillId="0" borderId="1" xfId="0" applyNumberFormat="1" applyFont="1" applyBorder="1" applyAlignment="1" applyProtection="1">
      <alignment vertical="center"/>
      <protection hidden="1"/>
    </xf>
    <xf numFmtId="165" fontId="15" fillId="0" borderId="1" xfId="0" applyNumberFormat="1" applyFont="1" applyBorder="1" applyAlignment="1">
      <alignment vertical="center"/>
    </xf>
    <xf numFmtId="165" fontId="15" fillId="0" borderId="1" xfId="0" applyNumberFormat="1" applyFont="1" applyBorder="1" applyAlignment="1" applyProtection="1">
      <alignment vertical="center" wrapText="1"/>
      <protection hidden="1"/>
    </xf>
    <xf numFmtId="165" fontId="15" fillId="0" borderId="4" xfId="0" applyNumberFormat="1" applyFont="1" applyBorder="1" applyAlignment="1" applyProtection="1">
      <alignment horizontal="center" vertical="top" wrapText="1"/>
      <protection hidden="1"/>
    </xf>
    <xf numFmtId="165" fontId="15" fillId="0" borderId="5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165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5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65" fontId="1" fillId="4" borderId="11" xfId="0" applyNumberFormat="1" applyFont="1" applyFill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165" fontId="1" fillId="4" borderId="13" xfId="0" applyNumberFormat="1" applyFont="1" applyFill="1" applyBorder="1" applyAlignment="1">
      <alignment horizontal="center" vertical="center"/>
    </xf>
    <xf numFmtId="165" fontId="1" fillId="4" borderId="9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/>
    </xf>
    <xf numFmtId="165" fontId="1" fillId="4" borderId="14" xfId="0" applyNumberFormat="1" applyFont="1" applyFill="1" applyBorder="1" applyAlignment="1">
      <alignment horizontal="center" vertical="center"/>
    </xf>
    <xf numFmtId="165" fontId="1" fillId="4" borderId="15" xfId="0" applyNumberFormat="1" applyFont="1" applyFill="1" applyBorder="1" applyAlignment="1">
      <alignment horizontal="center" vertical="center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67" fontId="3" fillId="5" borderId="10" xfId="0" applyNumberFormat="1" applyFont="1" applyFill="1" applyBorder="1" applyAlignment="1">
      <alignment horizontal="center" vertical="center"/>
    </xf>
    <xf numFmtId="167" fontId="3" fillId="5" borderId="8" xfId="0" applyNumberFormat="1" applyFont="1" applyFill="1" applyBorder="1" applyAlignment="1">
      <alignment horizontal="center" vertical="center"/>
    </xf>
    <xf numFmtId="167" fontId="3" fillId="5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2" fillId="5" borderId="8" xfId="0" applyFont="1" applyFill="1" applyBorder="1" applyAlignment="1" applyProtection="1">
      <alignment horizontal="left" vertical="center" wrapText="1"/>
      <protection locked="0"/>
    </xf>
    <xf numFmtId="0" fontId="22" fillId="5" borderId="6" xfId="0" applyFont="1" applyFill="1" applyBorder="1" applyAlignment="1" applyProtection="1">
      <alignment horizontal="left" vertical="center" wrapText="1"/>
      <protection locked="0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0" fontId="22" fillId="5" borderId="8" xfId="0" applyFont="1" applyFill="1" applyBorder="1" applyAlignment="1" applyProtection="1">
      <alignment horizontal="center" vertical="center" wrapText="1"/>
      <protection locked="0"/>
    </xf>
    <xf numFmtId="0" fontId="22" fillId="5" borderId="6" xfId="0" applyFont="1" applyFill="1" applyBorder="1" applyAlignment="1" applyProtection="1">
      <alignment horizontal="center" vertical="center" wrapText="1"/>
      <protection locked="0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0" fontId="24" fillId="5" borderId="8" xfId="0" applyFont="1" applyFill="1" applyBorder="1" applyAlignment="1">
      <alignment horizontal="left" vertical="center" wrapText="1"/>
    </xf>
    <xf numFmtId="0" fontId="24" fillId="5" borderId="6" xfId="0" applyFont="1" applyFill="1" applyBorder="1" applyAlignment="1">
      <alignment horizontal="left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5" fontId="20" fillId="0" borderId="4" xfId="0" applyNumberFormat="1" applyFont="1" applyFill="1" applyBorder="1" applyAlignment="1">
      <alignment horizontal="left" vertical="center" wrapText="1"/>
    </xf>
    <xf numFmtId="165" fontId="20" fillId="0" borderId="5" xfId="0" applyNumberFormat="1" applyFont="1" applyFill="1" applyBorder="1" applyAlignment="1">
      <alignment horizontal="left" vertical="center" wrapText="1"/>
    </xf>
    <xf numFmtId="165" fontId="20" fillId="0" borderId="2" xfId="0" applyNumberFormat="1" applyFont="1" applyFill="1" applyBorder="1" applyAlignment="1">
      <alignment horizontal="left" vertical="center" wrapText="1"/>
    </xf>
    <xf numFmtId="0" fontId="28" fillId="4" borderId="11" xfId="0" applyFont="1" applyFill="1" applyBorder="1" applyAlignment="1" applyProtection="1">
      <alignment horizontal="left" vertical="center" wrapText="1"/>
      <protection locked="0"/>
    </xf>
    <xf numFmtId="0" fontId="28" fillId="4" borderId="12" xfId="0" applyFont="1" applyFill="1" applyBorder="1" applyAlignment="1" applyProtection="1">
      <alignment horizontal="left" vertical="center" wrapText="1"/>
      <protection locked="0"/>
    </xf>
    <xf numFmtId="0" fontId="28" fillId="4" borderId="13" xfId="0" applyFont="1" applyFill="1" applyBorder="1" applyAlignment="1" applyProtection="1">
      <alignment horizontal="left" vertical="center" wrapText="1"/>
      <protection locked="0"/>
    </xf>
    <xf numFmtId="0" fontId="28" fillId="4" borderId="9" xfId="0" applyFont="1" applyFill="1" applyBorder="1" applyAlignment="1" applyProtection="1">
      <alignment horizontal="left" vertical="center" wrapText="1"/>
      <protection locked="0"/>
    </xf>
    <xf numFmtId="0" fontId="28" fillId="4" borderId="0" xfId="0" applyFont="1" applyFill="1" applyBorder="1" applyAlignment="1" applyProtection="1">
      <alignment horizontal="left" vertical="center" wrapText="1"/>
      <protection locked="0"/>
    </xf>
    <xf numFmtId="0" fontId="28" fillId="4" borderId="14" xfId="0" applyFont="1" applyFill="1" applyBorder="1" applyAlignment="1" applyProtection="1">
      <alignment horizontal="left" vertical="center" wrapText="1"/>
      <protection locked="0"/>
    </xf>
    <xf numFmtId="0" fontId="28" fillId="4" borderId="15" xfId="0" applyFont="1" applyFill="1" applyBorder="1" applyAlignment="1" applyProtection="1">
      <alignment horizontal="left" vertical="center" wrapText="1"/>
      <protection locked="0"/>
    </xf>
    <xf numFmtId="0" fontId="28" fillId="4" borderId="7" xfId="0" applyFont="1" applyFill="1" applyBorder="1" applyAlignment="1" applyProtection="1">
      <alignment horizontal="left" vertical="center" wrapText="1"/>
      <protection locked="0"/>
    </xf>
    <xf numFmtId="0" fontId="28" fillId="4" borderId="3" xfId="0" applyFont="1" applyFill="1" applyBorder="1" applyAlignment="1" applyProtection="1">
      <alignment horizontal="left" vertical="center" wrapText="1"/>
      <protection locked="0"/>
    </xf>
    <xf numFmtId="167" fontId="1" fillId="0" borderId="10" xfId="0" applyNumberFormat="1" applyFont="1" applyFill="1" applyBorder="1" applyAlignment="1">
      <alignment horizontal="center" vertical="center"/>
    </xf>
    <xf numFmtId="167" fontId="1" fillId="0" borderId="8" xfId="0" applyNumberFormat="1" applyFont="1" applyFill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5" fontId="19" fillId="0" borderId="8" xfId="0" applyNumberFormat="1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8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165" fontId="21" fillId="4" borderId="11" xfId="0" applyNumberFormat="1" applyFont="1" applyFill="1" applyBorder="1" applyAlignment="1">
      <alignment horizontal="left" vertical="center" wrapText="1"/>
    </xf>
    <xf numFmtId="165" fontId="21" fillId="4" borderId="12" xfId="0" applyNumberFormat="1" applyFont="1" applyFill="1" applyBorder="1" applyAlignment="1">
      <alignment horizontal="left" vertical="center" wrapText="1"/>
    </xf>
    <xf numFmtId="165" fontId="21" fillId="4" borderId="13" xfId="0" applyNumberFormat="1" applyFont="1" applyFill="1" applyBorder="1" applyAlignment="1">
      <alignment horizontal="left" vertical="center" wrapText="1"/>
    </xf>
    <xf numFmtId="165" fontId="21" fillId="4" borderId="9" xfId="0" applyNumberFormat="1" applyFont="1" applyFill="1" applyBorder="1" applyAlignment="1">
      <alignment horizontal="left" vertical="center" wrapText="1"/>
    </xf>
    <xf numFmtId="165" fontId="21" fillId="4" borderId="0" xfId="0" applyNumberFormat="1" applyFont="1" applyFill="1" applyBorder="1" applyAlignment="1">
      <alignment horizontal="left" vertical="center" wrapText="1"/>
    </xf>
    <xf numFmtId="165" fontId="21" fillId="4" borderId="14" xfId="0" applyNumberFormat="1" applyFont="1" applyFill="1" applyBorder="1" applyAlignment="1">
      <alignment horizontal="left" vertical="center" wrapText="1"/>
    </xf>
    <xf numFmtId="165" fontId="21" fillId="4" borderId="15" xfId="0" applyNumberFormat="1" applyFont="1" applyFill="1" applyBorder="1" applyAlignment="1">
      <alignment horizontal="left" vertical="center" wrapText="1"/>
    </xf>
    <xf numFmtId="165" fontId="21" fillId="4" borderId="7" xfId="0" applyNumberFormat="1" applyFont="1" applyFill="1" applyBorder="1" applyAlignment="1">
      <alignment horizontal="left" vertical="center" wrapText="1"/>
    </xf>
    <xf numFmtId="165" fontId="21" fillId="4" borderId="3" xfId="0" applyNumberFormat="1" applyFont="1" applyFill="1" applyBorder="1" applyAlignment="1">
      <alignment horizontal="left" vertical="center" wrapText="1"/>
    </xf>
    <xf numFmtId="167" fontId="1" fillId="0" borderId="13" xfId="0" applyNumberFormat="1" applyFont="1" applyFill="1" applyBorder="1" applyAlignment="1">
      <alignment horizontal="center" vertical="center"/>
    </xf>
    <xf numFmtId="167" fontId="1" fillId="0" borderId="14" xfId="0" applyNumberFormat="1" applyFont="1" applyFill="1" applyBorder="1" applyAlignment="1">
      <alignment horizontal="center" vertical="center"/>
    </xf>
    <xf numFmtId="167" fontId="1" fillId="0" borderId="3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left" vertical="center" wrapText="1"/>
      <protection locked="0"/>
    </xf>
    <xf numFmtId="0" fontId="28" fillId="0" borderId="12" xfId="0" applyFont="1" applyFill="1" applyBorder="1" applyAlignment="1" applyProtection="1">
      <alignment horizontal="left" vertical="center" wrapText="1"/>
      <protection locked="0"/>
    </xf>
    <xf numFmtId="0" fontId="28" fillId="0" borderId="13" xfId="0" applyFont="1" applyFill="1" applyBorder="1" applyAlignment="1" applyProtection="1">
      <alignment horizontal="left" vertical="center" wrapText="1"/>
      <protection locked="0"/>
    </xf>
    <xf numFmtId="0" fontId="28" fillId="0" borderId="9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14" xfId="0" applyFont="1" applyFill="1" applyBorder="1" applyAlignment="1" applyProtection="1">
      <alignment horizontal="left" vertical="center" wrapText="1"/>
      <protection locked="0"/>
    </xf>
    <xf numFmtId="0" fontId="28" fillId="0" borderId="15" xfId="0" applyFont="1" applyFill="1" applyBorder="1" applyAlignment="1" applyProtection="1">
      <alignment horizontal="left" vertical="center" wrapText="1"/>
      <protection locked="0"/>
    </xf>
    <xf numFmtId="0" fontId="28" fillId="0" borderId="7" xfId="0" applyFont="1" applyFill="1" applyBorder="1" applyAlignment="1" applyProtection="1">
      <alignment horizontal="left" vertical="center" wrapText="1"/>
      <protection locked="0"/>
    </xf>
    <xf numFmtId="0" fontId="28" fillId="0" borderId="3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left" vertical="center" wrapText="1"/>
    </xf>
    <xf numFmtId="0" fontId="19" fillId="5" borderId="8" xfId="0" applyFont="1" applyFill="1" applyBorder="1" applyAlignment="1">
      <alignment horizontal="left" vertical="center" wrapText="1"/>
    </xf>
    <xf numFmtId="0" fontId="19" fillId="5" borderId="6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165" fontId="20" fillId="4" borderId="4" xfId="0" applyNumberFormat="1" applyFont="1" applyFill="1" applyBorder="1" applyAlignment="1">
      <alignment horizontal="left" vertical="center" wrapText="1"/>
    </xf>
    <xf numFmtId="165" fontId="20" fillId="4" borderId="5" xfId="0" applyNumberFormat="1" applyFont="1" applyFill="1" applyBorder="1" applyAlignment="1">
      <alignment horizontal="left" vertical="center" wrapText="1"/>
    </xf>
    <xf numFmtId="165" fontId="20" fillId="4" borderId="2" xfId="0" applyNumberFormat="1" applyFont="1" applyFill="1" applyBorder="1" applyAlignment="1">
      <alignment horizontal="left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167" fontId="1" fillId="4" borderId="10" xfId="0" applyNumberFormat="1" applyFont="1" applyFill="1" applyBorder="1" applyAlignment="1">
      <alignment horizontal="center" vertical="center"/>
    </xf>
    <xf numFmtId="167" fontId="1" fillId="4" borderId="8" xfId="0" applyNumberFormat="1" applyFont="1" applyFill="1" applyBorder="1" applyAlignment="1">
      <alignment horizontal="center" vertical="center"/>
    </xf>
    <xf numFmtId="167" fontId="1" fillId="4" borderId="6" xfId="0" applyNumberFormat="1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left" vertical="center" wrapText="1"/>
    </xf>
    <xf numFmtId="0" fontId="19" fillId="5" borderId="17" xfId="0" applyFont="1" applyFill="1" applyBorder="1" applyAlignment="1">
      <alignment horizontal="left" vertical="center" wrapText="1"/>
    </xf>
    <xf numFmtId="0" fontId="19" fillId="5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20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 wrapText="1"/>
    </xf>
    <xf numFmtId="165" fontId="3" fillId="5" borderId="11" xfId="0" applyNumberFormat="1" applyFont="1" applyFill="1" applyBorder="1" applyAlignment="1">
      <alignment horizontal="center" vertical="center" wrapText="1"/>
    </xf>
    <xf numFmtId="165" fontId="3" fillId="5" borderId="12" xfId="0" applyNumberFormat="1" applyFont="1" applyFill="1" applyBorder="1" applyAlignment="1">
      <alignment horizontal="center" vertical="center" wrapText="1"/>
    </xf>
    <xf numFmtId="165" fontId="3" fillId="5" borderId="13" xfId="0" applyNumberFormat="1" applyFont="1" applyFill="1" applyBorder="1" applyAlignment="1">
      <alignment horizontal="center" vertical="center" wrapText="1"/>
    </xf>
    <xf numFmtId="165" fontId="3" fillId="5" borderId="9" xfId="0" applyNumberFormat="1" applyFont="1" applyFill="1" applyBorder="1" applyAlignment="1">
      <alignment horizontal="center" vertical="center" wrapText="1"/>
    </xf>
    <xf numFmtId="165" fontId="3" fillId="5" borderId="0" xfId="0" applyNumberFormat="1" applyFont="1" applyFill="1" applyBorder="1" applyAlignment="1">
      <alignment horizontal="center" vertical="center" wrapText="1"/>
    </xf>
    <xf numFmtId="165" fontId="3" fillId="5" borderId="14" xfId="0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165" fontId="3" fillId="5" borderId="7" xfId="0" applyNumberFormat="1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7" fontId="3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/>
    </xf>
    <xf numFmtId="49" fontId="21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1" xfId="0" applyFont="1" applyFill="1" applyBorder="1" applyAlignment="1" applyProtection="1">
      <alignment horizontal="center" vertical="center" wrapText="1"/>
      <protection locked="0"/>
    </xf>
    <xf numFmtId="0" fontId="21" fillId="5" borderId="13" xfId="0" applyFont="1" applyFill="1" applyBorder="1" applyAlignment="1" applyProtection="1">
      <alignment horizontal="center" vertical="center" wrapText="1"/>
      <protection locked="0"/>
    </xf>
    <xf numFmtId="0" fontId="21" fillId="5" borderId="9" xfId="0" applyFont="1" applyFill="1" applyBorder="1" applyAlignment="1" applyProtection="1">
      <alignment horizontal="center" vertical="center" wrapText="1"/>
      <protection locked="0"/>
    </xf>
    <xf numFmtId="0" fontId="21" fillId="5" borderId="14" xfId="0" applyFont="1" applyFill="1" applyBorder="1" applyAlignment="1" applyProtection="1">
      <alignment horizontal="center" vertical="center" wrapText="1"/>
      <protection locked="0"/>
    </xf>
    <xf numFmtId="0" fontId="21" fillId="5" borderId="15" xfId="0" applyFont="1" applyFill="1" applyBorder="1" applyAlignment="1" applyProtection="1">
      <alignment horizontal="center" vertical="center" wrapText="1"/>
      <protection locked="0"/>
    </xf>
    <xf numFmtId="0" fontId="21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167" fontId="1" fillId="5" borderId="10" xfId="0" applyNumberFormat="1" applyFont="1" applyFill="1" applyBorder="1" applyAlignment="1">
      <alignment horizontal="center" vertical="center"/>
    </xf>
    <xf numFmtId="167" fontId="1" fillId="5" borderId="8" xfId="0" applyNumberFormat="1" applyFont="1" applyFill="1" applyBorder="1" applyAlignment="1">
      <alignment horizontal="center" vertical="center"/>
    </xf>
    <xf numFmtId="167" fontId="1" fillId="5" borderId="6" xfId="0" applyNumberFormat="1" applyFont="1" applyFill="1" applyBorder="1" applyAlignment="1">
      <alignment horizontal="center" vertical="center"/>
    </xf>
    <xf numFmtId="49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165" fontId="19" fillId="5" borderId="10" xfId="0" applyNumberFormat="1" applyFont="1" applyFill="1" applyBorder="1" applyAlignment="1">
      <alignment horizontal="center" vertical="center" wrapText="1"/>
    </xf>
    <xf numFmtId="165" fontId="19" fillId="5" borderId="8" xfId="0" applyNumberFormat="1" applyFont="1" applyFill="1" applyBorder="1" applyAlignment="1">
      <alignment horizontal="center" vertical="center" wrapText="1"/>
    </xf>
    <xf numFmtId="165" fontId="19" fillId="5" borderId="6" xfId="0" applyNumberFormat="1" applyFont="1" applyFill="1" applyBorder="1" applyAlignment="1">
      <alignment horizontal="center" vertical="center" wrapText="1"/>
    </xf>
    <xf numFmtId="0" fontId="19" fillId="5" borderId="10" xfId="0" applyFont="1" applyFill="1" applyBorder="1" applyAlignment="1" applyProtection="1">
      <alignment horizontal="center" vertical="center" wrapText="1"/>
      <protection locked="0"/>
    </xf>
    <xf numFmtId="0" fontId="19" fillId="5" borderId="8" xfId="0" applyFont="1" applyFill="1" applyBorder="1" applyAlignment="1" applyProtection="1">
      <alignment horizontal="center" vertical="center" wrapText="1"/>
      <protection locked="0"/>
    </xf>
    <xf numFmtId="0" fontId="19" fillId="5" borderId="6" xfId="0" applyFont="1" applyFill="1" applyBorder="1" applyAlignment="1" applyProtection="1">
      <alignment horizontal="center" vertical="center" wrapText="1"/>
      <protection locked="0"/>
    </xf>
    <xf numFmtId="49" fontId="19" fillId="5" borderId="10" xfId="0" applyNumberFormat="1" applyFont="1" applyFill="1" applyBorder="1" applyAlignment="1">
      <alignment horizontal="center" vertical="center" wrapText="1"/>
    </xf>
    <xf numFmtId="49" fontId="19" fillId="5" borderId="8" xfId="0" applyNumberFormat="1" applyFont="1" applyFill="1" applyBorder="1" applyAlignment="1">
      <alignment horizontal="center" vertical="center" wrapText="1"/>
    </xf>
    <xf numFmtId="49" fontId="19" fillId="5" borderId="6" xfId="0" applyNumberFormat="1" applyFont="1" applyFill="1" applyBorder="1" applyAlignment="1">
      <alignment horizontal="center" vertical="center" wrapText="1"/>
    </xf>
    <xf numFmtId="0" fontId="19" fillId="5" borderId="10" xfId="0" applyFont="1" applyFill="1" applyBorder="1" applyAlignment="1" applyProtection="1">
      <alignment horizontal="left" vertical="center" wrapText="1"/>
      <protection locked="0"/>
    </xf>
    <xf numFmtId="0" fontId="19" fillId="5" borderId="8" xfId="0" applyFont="1" applyFill="1" applyBorder="1" applyAlignment="1" applyProtection="1">
      <alignment horizontal="left" vertical="center" wrapText="1"/>
      <protection locked="0"/>
    </xf>
    <xf numFmtId="0" fontId="19" fillId="5" borderId="6" xfId="0" applyFont="1" applyFill="1" applyBorder="1" applyAlignment="1" applyProtection="1">
      <alignment horizontal="left" vertical="center" wrapText="1"/>
      <protection locked="0"/>
    </xf>
    <xf numFmtId="0" fontId="19" fillId="5" borderId="10" xfId="0" applyFont="1" applyFill="1" applyBorder="1" applyAlignment="1">
      <alignment horizontal="left" vertical="top" wrapText="1"/>
    </xf>
    <xf numFmtId="0" fontId="19" fillId="5" borderId="8" xfId="0" applyFont="1" applyFill="1" applyBorder="1" applyAlignment="1">
      <alignment horizontal="left" vertical="top" wrapText="1"/>
    </xf>
    <xf numFmtId="0" fontId="19" fillId="5" borderId="6" xfId="0" applyFont="1" applyFill="1" applyBorder="1" applyAlignment="1">
      <alignment horizontal="left" vertical="top" wrapText="1"/>
    </xf>
    <xf numFmtId="165" fontId="21" fillId="5" borderId="10" xfId="0" applyNumberFormat="1" applyFont="1" applyFill="1" applyBorder="1" applyAlignment="1">
      <alignment horizontal="center" vertical="center" wrapText="1"/>
    </xf>
    <xf numFmtId="165" fontId="21" fillId="5" borderId="8" xfId="0" applyNumberFormat="1" applyFont="1" applyFill="1" applyBorder="1" applyAlignment="1">
      <alignment horizontal="center" vertical="center" wrapText="1"/>
    </xf>
    <xf numFmtId="165" fontId="21" fillId="5" borderId="6" xfId="0" applyNumberFormat="1" applyFont="1" applyFill="1" applyBorder="1" applyAlignment="1">
      <alignment horizontal="center" vertical="center" wrapText="1"/>
    </xf>
    <xf numFmtId="165" fontId="21" fillId="5" borderId="11" xfId="0" applyNumberFormat="1" applyFont="1" applyFill="1" applyBorder="1" applyAlignment="1">
      <alignment horizontal="center" vertical="center" wrapText="1"/>
    </xf>
    <xf numFmtId="165" fontId="21" fillId="5" borderId="13" xfId="0" applyNumberFormat="1" applyFont="1" applyFill="1" applyBorder="1" applyAlignment="1">
      <alignment horizontal="center" vertical="center" wrapText="1"/>
    </xf>
    <xf numFmtId="165" fontId="21" fillId="5" borderId="9" xfId="0" applyNumberFormat="1" applyFont="1" applyFill="1" applyBorder="1" applyAlignment="1">
      <alignment horizontal="center" vertical="center" wrapText="1"/>
    </xf>
    <xf numFmtId="165" fontId="21" fillId="5" borderId="14" xfId="0" applyNumberFormat="1" applyFont="1" applyFill="1" applyBorder="1" applyAlignment="1">
      <alignment horizontal="center" vertical="center" wrapText="1"/>
    </xf>
    <xf numFmtId="165" fontId="21" fillId="5" borderId="15" xfId="0" applyNumberFormat="1" applyFont="1" applyFill="1" applyBorder="1" applyAlignment="1">
      <alignment horizontal="center" vertical="center" wrapText="1"/>
    </xf>
    <xf numFmtId="165" fontId="21" fillId="5" borderId="3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center" vertical="center" wrapText="1"/>
    </xf>
    <xf numFmtId="165" fontId="3" fillId="5" borderId="10" xfId="0" applyNumberFormat="1" applyFont="1" applyFill="1" applyBorder="1" applyAlignment="1">
      <alignment horizontal="center" vertical="center" wrapText="1"/>
    </xf>
    <xf numFmtId="165" fontId="3" fillId="5" borderId="6" xfId="0" applyNumberFormat="1" applyFont="1" applyFill="1" applyBorder="1" applyAlignment="1">
      <alignment horizontal="center" vertical="center" wrapText="1"/>
    </xf>
    <xf numFmtId="165" fontId="3" fillId="5" borderId="2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535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87</xdr:row>
      <xdr:rowOff>19050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33925" y="581501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87</xdr:row>
      <xdr:rowOff>19050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33925" y="41757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87</xdr:row>
      <xdr:rowOff>19050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33925" y="45653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495800" y="36890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184731" cy="239809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533775" y="56835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184731" cy="239809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533775" y="58378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184731" cy="239809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533775" y="60569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533775" y="62569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533775" y="64112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533775" y="66560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184731" cy="239809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533775" y="68103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533775" y="69646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533775" y="711898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184731" cy="239809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495800" y="36890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184731" cy="239809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533775" y="56835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184731" cy="239809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533775" y="58378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184731" cy="239809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533775" y="60569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533775" y="62569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533775" y="64112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533775" y="66560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184731" cy="239809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533775" y="68103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533775" y="69646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533775" y="711898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184731" cy="239809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533775" y="727329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184731" cy="239809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533775" y="727329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184731" cy="239809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184731" cy="239809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184731" cy="239809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184731" cy="239809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184731" cy="239809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184731" cy="239809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39809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39809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39809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39809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184731" cy="239809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184731" cy="239809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39809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39809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184731" cy="239809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184731" cy="239809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184731" cy="239809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184731" cy="239809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184731" cy="239809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39809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39809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184731" cy="239809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184731" cy="239809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184731" cy="239809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184731" cy="239809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184731" cy="239809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39809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39809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533775" y="65198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533775" y="65198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533775" y="64427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533775" y="64427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268" t="s">
        <v>40</v>
      </c>
      <c r="B1" s="269"/>
      <c r="C1" s="270" t="s">
        <v>41</v>
      </c>
      <c r="D1" s="271" t="s">
        <v>45</v>
      </c>
      <c r="E1" s="272"/>
      <c r="F1" s="273"/>
      <c r="G1" s="271" t="s">
        <v>18</v>
      </c>
      <c r="H1" s="272"/>
      <c r="I1" s="273"/>
      <c r="J1" s="271" t="s">
        <v>19</v>
      </c>
      <c r="K1" s="272"/>
      <c r="L1" s="273"/>
      <c r="M1" s="271" t="s">
        <v>23</v>
      </c>
      <c r="N1" s="272"/>
      <c r="O1" s="273"/>
      <c r="P1" s="274" t="s">
        <v>24</v>
      </c>
      <c r="Q1" s="275"/>
      <c r="R1" s="271" t="s">
        <v>25</v>
      </c>
      <c r="S1" s="272"/>
      <c r="T1" s="273"/>
      <c r="U1" s="271" t="s">
        <v>26</v>
      </c>
      <c r="V1" s="272"/>
      <c r="W1" s="273"/>
      <c r="X1" s="274" t="s">
        <v>27</v>
      </c>
      <c r="Y1" s="276"/>
      <c r="Z1" s="275"/>
      <c r="AA1" s="274" t="s">
        <v>28</v>
      </c>
      <c r="AB1" s="275"/>
      <c r="AC1" s="271" t="s">
        <v>29</v>
      </c>
      <c r="AD1" s="272"/>
      <c r="AE1" s="273"/>
      <c r="AF1" s="271" t="s">
        <v>30</v>
      </c>
      <c r="AG1" s="272"/>
      <c r="AH1" s="273"/>
      <c r="AI1" s="271" t="s">
        <v>31</v>
      </c>
      <c r="AJ1" s="272"/>
      <c r="AK1" s="273"/>
      <c r="AL1" s="274" t="s">
        <v>32</v>
      </c>
      <c r="AM1" s="275"/>
      <c r="AN1" s="271" t="s">
        <v>33</v>
      </c>
      <c r="AO1" s="272"/>
      <c r="AP1" s="273"/>
      <c r="AQ1" s="271" t="s">
        <v>34</v>
      </c>
      <c r="AR1" s="272"/>
      <c r="AS1" s="273"/>
      <c r="AT1" s="271" t="s">
        <v>35</v>
      </c>
      <c r="AU1" s="272"/>
      <c r="AV1" s="273"/>
    </row>
    <row r="2" spans="1:48" ht="39" customHeight="1">
      <c r="A2" s="269"/>
      <c r="B2" s="269"/>
      <c r="C2" s="270"/>
      <c r="D2" s="10" t="s">
        <v>48</v>
      </c>
      <c r="E2" s="10" t="s">
        <v>49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>
      <c r="A3" s="270" t="s">
        <v>83</v>
      </c>
      <c r="B3" s="270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270"/>
      <c r="B4" s="270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70"/>
      <c r="B5" s="270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70"/>
      <c r="B6" s="270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70"/>
      <c r="B7" s="270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70"/>
      <c r="B8" s="270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70"/>
      <c r="B9" s="270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78" t="s">
        <v>58</v>
      </c>
      <c r="B1" s="278"/>
      <c r="C1" s="278"/>
      <c r="D1" s="278"/>
      <c r="E1" s="278"/>
    </row>
    <row r="2" spans="1:5">
      <c r="A2" s="12"/>
      <c r="B2" s="12"/>
      <c r="C2" s="12"/>
      <c r="D2" s="12"/>
      <c r="E2" s="12"/>
    </row>
    <row r="3" spans="1:5">
      <c r="A3" s="279" t="s">
        <v>130</v>
      </c>
      <c r="B3" s="279"/>
      <c r="C3" s="279"/>
      <c r="D3" s="279"/>
      <c r="E3" s="279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77" t="s">
        <v>79</v>
      </c>
      <c r="B26" s="277"/>
      <c r="C26" s="277"/>
      <c r="D26" s="277"/>
      <c r="E26" s="277"/>
    </row>
    <row r="27" spans="1:5">
      <c r="A27" s="28"/>
      <c r="B27" s="28"/>
      <c r="C27" s="28"/>
      <c r="D27" s="28"/>
      <c r="E27" s="28"/>
    </row>
    <row r="28" spans="1:5">
      <c r="A28" s="277" t="s">
        <v>80</v>
      </c>
      <c r="B28" s="277"/>
      <c r="C28" s="277"/>
      <c r="D28" s="277"/>
      <c r="E28" s="277"/>
    </row>
    <row r="29" spans="1:5">
      <c r="A29" s="277"/>
      <c r="B29" s="277"/>
      <c r="C29" s="277"/>
      <c r="D29" s="277"/>
      <c r="E29" s="277"/>
    </row>
  </sheetData>
  <mergeCells count="5">
    <mergeCell ref="A29:E29"/>
    <mergeCell ref="A1:E1"/>
    <mergeCell ref="A3:E3"/>
    <mergeCell ref="A26:E26"/>
    <mergeCell ref="A28:E28"/>
  </mergeCells>
  <phoneticPr fontId="17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8" customWidth="1"/>
    <col min="2" max="2" width="42.5703125" style="48" customWidth="1"/>
    <col min="3" max="3" width="6.85546875" style="48" customWidth="1"/>
    <col min="4" max="15" width="9.5703125" style="48" customWidth="1"/>
    <col min="16" max="17" width="10.5703125" style="48" customWidth="1"/>
    <col min="18" max="29" width="0" style="49" hidden="1" customWidth="1"/>
    <col min="30" max="16384" width="9.140625" style="49"/>
  </cols>
  <sheetData>
    <row r="1" spans="1:256">
      <c r="Q1" s="38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0" t="s">
        <v>0</v>
      </c>
      <c r="B3" s="292" t="s">
        <v>46</v>
      </c>
      <c r="C3" s="292"/>
      <c r="D3" s="40" t="s">
        <v>18</v>
      </c>
      <c r="E3" s="52" t="s">
        <v>19</v>
      </c>
      <c r="F3" s="40" t="s">
        <v>23</v>
      </c>
      <c r="G3" s="52" t="s">
        <v>25</v>
      </c>
      <c r="H3" s="40" t="s">
        <v>26</v>
      </c>
      <c r="I3" s="52" t="s">
        <v>27</v>
      </c>
      <c r="J3" s="40" t="s">
        <v>29</v>
      </c>
      <c r="K3" s="52" t="s">
        <v>30</v>
      </c>
      <c r="L3" s="40" t="s">
        <v>31</v>
      </c>
      <c r="M3" s="52" t="s">
        <v>33</v>
      </c>
      <c r="N3" s="40" t="s">
        <v>34</v>
      </c>
      <c r="O3" s="52" t="s">
        <v>35</v>
      </c>
      <c r="P3" s="40" t="s">
        <v>81</v>
      </c>
      <c r="Q3" s="40" t="s">
        <v>50</v>
      </c>
      <c r="R3" s="39" t="s">
        <v>18</v>
      </c>
      <c r="S3" s="33" t="s">
        <v>19</v>
      </c>
      <c r="T3" s="39" t="s">
        <v>23</v>
      </c>
      <c r="U3" s="33" t="s">
        <v>25</v>
      </c>
      <c r="V3" s="39" t="s">
        <v>26</v>
      </c>
      <c r="W3" s="33" t="s">
        <v>27</v>
      </c>
      <c r="X3" s="39" t="s">
        <v>29</v>
      </c>
      <c r="Y3" s="33" t="s">
        <v>30</v>
      </c>
      <c r="Z3" s="39" t="s">
        <v>31</v>
      </c>
      <c r="AA3" s="33" t="s">
        <v>33</v>
      </c>
      <c r="AB3" s="39" t="s">
        <v>34</v>
      </c>
      <c r="AC3" s="33" t="s">
        <v>35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293" t="s">
        <v>2</v>
      </c>
      <c r="B5" s="286" t="s">
        <v>85</v>
      </c>
      <c r="C5" s="57" t="s">
        <v>21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293"/>
      <c r="B6" s="286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293"/>
      <c r="B7" s="286"/>
      <c r="C7" s="57" t="s">
        <v>22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293" t="s">
        <v>4</v>
      </c>
      <c r="B8" s="286" t="s">
        <v>86</v>
      </c>
      <c r="C8" s="57" t="s">
        <v>21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280" t="s">
        <v>205</v>
      </c>
      <c r="N8" s="281"/>
      <c r="O8" s="282"/>
      <c r="P8" s="60"/>
      <c r="Q8" s="60"/>
    </row>
    <row r="9" spans="1:256" ht="33.75" customHeight="1">
      <c r="A9" s="293"/>
      <c r="B9" s="286"/>
      <c r="C9" s="57" t="s">
        <v>22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293" t="s">
        <v>5</v>
      </c>
      <c r="B10" s="286" t="s">
        <v>87</v>
      </c>
      <c r="C10" s="57" t="s">
        <v>21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293"/>
      <c r="B11" s="286"/>
      <c r="C11" s="57" t="s">
        <v>22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293" t="s">
        <v>6</v>
      </c>
      <c r="B12" s="286" t="s">
        <v>228</v>
      </c>
      <c r="C12" s="57" t="s">
        <v>21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293"/>
      <c r="B13" s="286"/>
      <c r="C13" s="57" t="s">
        <v>22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293" t="s">
        <v>10</v>
      </c>
      <c r="B14" s="286" t="s">
        <v>88</v>
      </c>
      <c r="C14" s="57" t="s">
        <v>21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293"/>
      <c r="B15" s="286"/>
      <c r="C15" s="57" t="s">
        <v>22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5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299"/>
      <c r="AJ16" s="299"/>
      <c r="AK16" s="299"/>
      <c r="AZ16" s="299"/>
      <c r="BA16" s="299"/>
      <c r="BB16" s="299"/>
      <c r="BQ16" s="299"/>
      <c r="BR16" s="299"/>
      <c r="BS16" s="299"/>
      <c r="CH16" s="299"/>
      <c r="CI16" s="299"/>
      <c r="CJ16" s="299"/>
      <c r="CY16" s="299"/>
      <c r="CZ16" s="299"/>
      <c r="DA16" s="299"/>
      <c r="DP16" s="299"/>
      <c r="DQ16" s="299"/>
      <c r="DR16" s="299"/>
      <c r="EG16" s="299"/>
      <c r="EH16" s="299"/>
      <c r="EI16" s="299"/>
      <c r="EX16" s="299"/>
      <c r="EY16" s="299"/>
      <c r="EZ16" s="299"/>
      <c r="FO16" s="299"/>
      <c r="FP16" s="299"/>
      <c r="FQ16" s="299"/>
      <c r="GF16" s="299"/>
      <c r="GG16" s="299"/>
      <c r="GH16" s="299"/>
      <c r="GW16" s="299"/>
      <c r="GX16" s="299"/>
      <c r="GY16" s="299"/>
      <c r="HN16" s="299"/>
      <c r="HO16" s="299"/>
      <c r="HP16" s="299"/>
      <c r="IE16" s="299"/>
      <c r="IF16" s="299"/>
      <c r="IG16" s="299"/>
      <c r="IV16" s="299"/>
    </row>
    <row r="17" spans="1:17" ht="320.25" customHeight="1">
      <c r="A17" s="293" t="s">
        <v>7</v>
      </c>
      <c r="B17" s="286" t="s">
        <v>90</v>
      </c>
      <c r="C17" s="57" t="s">
        <v>21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50000000000003" customHeight="1">
      <c r="A18" s="293"/>
      <c r="B18" s="286"/>
      <c r="C18" s="57" t="s">
        <v>22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293" t="s">
        <v>8</v>
      </c>
      <c r="B19" s="286" t="s">
        <v>226</v>
      </c>
      <c r="C19" s="57" t="s">
        <v>21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50000000000003" customHeight="1">
      <c r="A20" s="293"/>
      <c r="B20" s="286"/>
      <c r="C20" s="57" t="s">
        <v>22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293" t="s">
        <v>9</v>
      </c>
      <c r="B21" s="286" t="s">
        <v>229</v>
      </c>
      <c r="C21" s="57" t="s">
        <v>21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293"/>
      <c r="B22" s="286"/>
      <c r="C22" s="57" t="s">
        <v>22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283" t="s">
        <v>15</v>
      </c>
      <c r="B23" s="300" t="s">
        <v>230</v>
      </c>
      <c r="C23" s="72" t="s">
        <v>21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50000000000003" customHeight="1">
      <c r="A24" s="285"/>
      <c r="B24" s="300"/>
      <c r="C24" s="72" t="s">
        <v>22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296" t="s">
        <v>16</v>
      </c>
      <c r="B25" s="300" t="s">
        <v>231</v>
      </c>
      <c r="C25" s="72" t="s">
        <v>21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50000000000003" customHeight="1">
      <c r="A26" s="296"/>
      <c r="B26" s="300"/>
      <c r="C26" s="72" t="s">
        <v>22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5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17</v>
      </c>
      <c r="B28" s="58" t="s">
        <v>232</v>
      </c>
      <c r="C28" s="57" t="s">
        <v>21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50000000000003" customHeight="1">
      <c r="A29" s="57"/>
      <c r="B29" s="58"/>
      <c r="C29" s="57" t="s">
        <v>22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6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293" t="s">
        <v>94</v>
      </c>
      <c r="B31" s="286" t="s">
        <v>93</v>
      </c>
      <c r="C31" s="57" t="s">
        <v>21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293"/>
      <c r="B32" s="286"/>
      <c r="C32" s="57" t="s">
        <v>22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5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293" t="s">
        <v>96</v>
      </c>
      <c r="B34" s="286" t="s">
        <v>97</v>
      </c>
      <c r="C34" s="57" t="s">
        <v>21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293"/>
      <c r="B35" s="286"/>
      <c r="C35" s="57" t="s">
        <v>22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50000000000003" customHeight="1">
      <c r="A36" s="297" t="s">
        <v>98</v>
      </c>
      <c r="B36" s="287" t="s">
        <v>129</v>
      </c>
      <c r="C36" s="57" t="s">
        <v>21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50000000000003" customHeight="1">
      <c r="A37" s="298"/>
      <c r="B37" s="288"/>
      <c r="C37" s="57" t="s">
        <v>22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7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293" t="s">
        <v>100</v>
      </c>
      <c r="B39" s="286" t="s">
        <v>227</v>
      </c>
      <c r="C39" s="57" t="s">
        <v>21</v>
      </c>
      <c r="D39" s="96"/>
      <c r="E39" s="96" t="s">
        <v>246</v>
      </c>
      <c r="F39" s="96" t="s">
        <v>245</v>
      </c>
      <c r="G39" s="96" t="s">
        <v>234</v>
      </c>
      <c r="H39" s="289" t="s">
        <v>247</v>
      </c>
      <c r="I39" s="290"/>
      <c r="J39" s="290"/>
      <c r="K39" s="290"/>
      <c r="L39" s="290"/>
      <c r="M39" s="290"/>
      <c r="N39" s="290"/>
      <c r="O39" s="291"/>
      <c r="P39" s="59" t="s">
        <v>189</v>
      </c>
      <c r="Q39" s="60"/>
    </row>
    <row r="40" spans="1:17" ht="39.950000000000003" customHeight="1">
      <c r="A40" s="293" t="s">
        <v>11</v>
      </c>
      <c r="B40" s="286" t="s">
        <v>12</v>
      </c>
      <c r="C40" s="57" t="s">
        <v>22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293" t="s">
        <v>101</v>
      </c>
      <c r="B41" s="286" t="s">
        <v>102</v>
      </c>
      <c r="C41" s="57" t="s">
        <v>21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50000000000003" customHeight="1">
      <c r="A42" s="293"/>
      <c r="B42" s="286"/>
      <c r="C42" s="57" t="s">
        <v>22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293" t="s">
        <v>103</v>
      </c>
      <c r="B43" s="286" t="s">
        <v>104</v>
      </c>
      <c r="C43" s="57" t="s">
        <v>21</v>
      </c>
      <c r="D43" s="61" t="s">
        <v>200</v>
      </c>
      <c r="E43" s="61" t="s">
        <v>201</v>
      </c>
      <c r="F43" s="61" t="s">
        <v>204</v>
      </c>
      <c r="G43" s="303" t="s">
        <v>192</v>
      </c>
      <c r="H43" s="304"/>
      <c r="I43" s="304"/>
      <c r="J43" s="304"/>
      <c r="K43" s="304"/>
      <c r="L43" s="304"/>
      <c r="M43" s="304"/>
      <c r="N43" s="304"/>
      <c r="O43" s="305"/>
      <c r="P43" s="60"/>
      <c r="Q43" s="60"/>
    </row>
    <row r="44" spans="1:17" ht="39.950000000000003" customHeight="1">
      <c r="A44" s="293"/>
      <c r="B44" s="286"/>
      <c r="C44" s="57" t="s">
        <v>22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293" t="s">
        <v>105</v>
      </c>
      <c r="B45" s="286" t="s">
        <v>106</v>
      </c>
      <c r="C45" s="57" t="s">
        <v>21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50000000000003" customHeight="1">
      <c r="A46" s="293" t="s">
        <v>13</v>
      </c>
      <c r="B46" s="286" t="s">
        <v>14</v>
      </c>
      <c r="C46" s="57" t="s">
        <v>22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50000000000003" customHeight="1">
      <c r="A47" s="294" t="s">
        <v>108</v>
      </c>
      <c r="B47" s="287" t="s">
        <v>107</v>
      </c>
      <c r="C47" s="57" t="s">
        <v>21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50000000000003" customHeight="1">
      <c r="A48" s="295"/>
      <c r="B48" s="288"/>
      <c r="C48" s="57" t="s">
        <v>22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294" t="s">
        <v>109</v>
      </c>
      <c r="B49" s="287" t="s">
        <v>110</v>
      </c>
      <c r="C49" s="88" t="s">
        <v>21</v>
      </c>
      <c r="D49" s="34" t="s">
        <v>248</v>
      </c>
      <c r="E49" s="34" t="s">
        <v>248</v>
      </c>
      <c r="F49" s="34" t="s">
        <v>248</v>
      </c>
      <c r="G49" s="34" t="s">
        <v>249</v>
      </c>
      <c r="H49" s="34" t="s">
        <v>250</v>
      </c>
      <c r="I49" s="98" t="s">
        <v>251</v>
      </c>
      <c r="J49" s="34" t="s">
        <v>252</v>
      </c>
      <c r="K49" s="34" t="s">
        <v>248</v>
      </c>
      <c r="L49" s="34" t="s">
        <v>253</v>
      </c>
      <c r="M49" s="34" t="s">
        <v>248</v>
      </c>
      <c r="N49" s="98" t="s">
        <v>254</v>
      </c>
      <c r="O49" s="34" t="s">
        <v>248</v>
      </c>
      <c r="P49" s="89"/>
      <c r="Q49" s="89"/>
    </row>
    <row r="50" spans="1:17" ht="39.950000000000003" customHeight="1">
      <c r="A50" s="295"/>
      <c r="B50" s="288"/>
      <c r="C50" s="57" t="s">
        <v>22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293" t="s">
        <v>111</v>
      </c>
      <c r="B51" s="286" t="s">
        <v>112</v>
      </c>
      <c r="C51" s="72" t="s">
        <v>21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50000000000003" customHeight="1">
      <c r="A52" s="293"/>
      <c r="B52" s="286"/>
      <c r="C52" s="57" t="s">
        <v>22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293" t="s">
        <v>114</v>
      </c>
      <c r="B53" s="286" t="s">
        <v>113</v>
      </c>
      <c r="C53" s="57" t="s">
        <v>21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293"/>
      <c r="B54" s="286"/>
      <c r="C54" s="57" t="s">
        <v>22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293" t="s">
        <v>115</v>
      </c>
      <c r="B55" s="286" t="s">
        <v>116</v>
      </c>
      <c r="C55" s="57" t="s">
        <v>21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293"/>
      <c r="B56" s="286"/>
      <c r="C56" s="57" t="s">
        <v>22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293" t="s">
        <v>117</v>
      </c>
      <c r="B57" s="286" t="s">
        <v>118</v>
      </c>
      <c r="C57" s="57" t="s">
        <v>21</v>
      </c>
      <c r="D57" s="97" t="s">
        <v>235</v>
      </c>
      <c r="E57" s="96"/>
      <c r="F57" s="96" t="s">
        <v>236</v>
      </c>
      <c r="G57" s="306" t="s">
        <v>233</v>
      </c>
      <c r="H57" s="306"/>
      <c r="I57" s="96" t="s">
        <v>237</v>
      </c>
      <c r="J57" s="96" t="s">
        <v>238</v>
      </c>
      <c r="K57" s="280" t="s">
        <v>239</v>
      </c>
      <c r="L57" s="281"/>
      <c r="M57" s="281"/>
      <c r="N57" s="281"/>
      <c r="O57" s="282"/>
      <c r="P57" s="92" t="s">
        <v>199</v>
      </c>
      <c r="Q57" s="60"/>
    </row>
    <row r="58" spans="1:17" ht="39.950000000000003" customHeight="1">
      <c r="A58" s="293"/>
      <c r="B58" s="286"/>
      <c r="C58" s="57" t="s">
        <v>22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283" t="s">
        <v>120</v>
      </c>
      <c r="B59" s="283" t="s">
        <v>119</v>
      </c>
      <c r="C59" s="283" t="s">
        <v>21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284"/>
      <c r="B60" s="284"/>
      <c r="C60" s="284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284"/>
      <c r="B61" s="284"/>
      <c r="C61" s="285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50000000000003" customHeight="1">
      <c r="A62" s="285"/>
      <c r="B62" s="285"/>
      <c r="C62" s="72" t="s">
        <v>22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50000000000003" customHeight="1">
      <c r="A63" s="293" t="s">
        <v>121</v>
      </c>
      <c r="B63" s="286" t="s">
        <v>122</v>
      </c>
      <c r="C63" s="57" t="s">
        <v>21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50000000000003" customHeight="1">
      <c r="A64" s="293"/>
      <c r="B64" s="286"/>
      <c r="C64" s="57" t="s">
        <v>22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296" t="s">
        <v>123</v>
      </c>
      <c r="B65" s="300" t="s">
        <v>124</v>
      </c>
      <c r="C65" s="72" t="s">
        <v>21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50000000000003" customHeight="1">
      <c r="A66" s="296"/>
      <c r="B66" s="300"/>
      <c r="C66" s="72" t="s">
        <v>22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50000000000003" customHeight="1">
      <c r="A67" s="293" t="s">
        <v>125</v>
      </c>
      <c r="B67" s="286" t="s">
        <v>126</v>
      </c>
      <c r="C67" s="57" t="s">
        <v>21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50000000000003" customHeight="1">
      <c r="A68" s="293"/>
      <c r="B68" s="286"/>
      <c r="C68" s="57" t="s">
        <v>22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294" t="s">
        <v>127</v>
      </c>
      <c r="B69" s="287" t="s">
        <v>128</v>
      </c>
      <c r="C69" s="57" t="s">
        <v>21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50000000000003" customHeight="1">
      <c r="A70" s="295"/>
      <c r="B70" s="288"/>
      <c r="C70" s="57" t="s">
        <v>22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301" t="s">
        <v>255</v>
      </c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</row>
    <row r="74" spans="1:20" ht="15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5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5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5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5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302" t="s">
        <v>216</v>
      </c>
      <c r="C79" s="302"/>
      <c r="D79" s="302"/>
      <c r="E79" s="302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IV16"/>
    <mergeCell ref="EX16:EZ16"/>
    <mergeCell ref="FO16:FQ16"/>
    <mergeCell ref="GF16:GH16"/>
    <mergeCell ref="GW16:GY16"/>
    <mergeCell ref="HN16:HP16"/>
    <mergeCell ref="IE16:IG16"/>
    <mergeCell ref="AZ16:BB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69:A70"/>
    <mergeCell ref="A53:A54"/>
    <mergeCell ref="A63:A64"/>
    <mergeCell ref="A67:A68"/>
    <mergeCell ref="A65:A66"/>
    <mergeCell ref="A59:A62"/>
    <mergeCell ref="A55:A56"/>
    <mergeCell ref="A57:A58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</mergeCells>
  <phoneticPr fontId="17" type="noConversion"/>
  <conditionalFormatting sqref="R5:AN6 R7:AC70">
    <cfRule type="expression" dxfId="4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W180"/>
  <sheetViews>
    <sheetView workbookViewId="0">
      <pane xSplit="4" ySplit="8" topLeftCell="E13" activePane="bottomRight" state="frozen"/>
      <selection pane="topRight" activeCell="E1" sqref="E1"/>
      <selection pane="bottomLeft" activeCell="A9" sqref="A9"/>
      <selection pane="bottomRight" activeCell="A13" sqref="A13:A16"/>
    </sheetView>
  </sheetViews>
  <sheetFormatPr defaultRowHeight="15"/>
  <cols>
    <col min="2" max="4" width="23.7109375" customWidth="1"/>
    <col min="5" max="5" width="13.28515625" customWidth="1"/>
    <col min="6" max="6" width="10.85546875" customWidth="1"/>
    <col min="7" max="7" width="10.7109375" customWidth="1"/>
    <col min="10" max="11" width="9.140625" hidden="1" customWidth="1"/>
    <col min="13" max="13" width="9.140625" style="122" hidden="1" customWidth="1"/>
    <col min="14" max="14" width="9.140625" hidden="1" customWidth="1"/>
    <col min="16" max="16" width="9.140625" hidden="1" customWidth="1"/>
    <col min="17" max="17" width="10.7109375" hidden="1" customWidth="1"/>
    <col min="19" max="20" width="9.140625" hidden="1" customWidth="1"/>
    <col min="22" max="23" width="9.140625" hidden="1" customWidth="1"/>
    <col min="25" max="26" width="9.140625" hidden="1" customWidth="1"/>
    <col min="27" max="27" width="9.28515625" style="122" customWidth="1"/>
    <col min="28" max="29" width="9.140625" hidden="1" customWidth="1"/>
    <col min="30" max="30" width="9.140625" style="122"/>
    <col min="31" max="32" width="9.140625" style="122" hidden="1" customWidth="1"/>
    <col min="33" max="33" width="9.140625" style="122"/>
    <col min="34" max="35" width="9.140625" hidden="1" customWidth="1"/>
    <col min="37" max="38" width="9.140625" hidden="1" customWidth="1"/>
    <col min="39" max="39" width="9.140625" style="122"/>
    <col min="40" max="41" width="9.140625" hidden="1" customWidth="1"/>
    <col min="42" max="42" width="9.140625" style="125"/>
    <col min="43" max="43" width="10.42578125" hidden="1" customWidth="1"/>
    <col min="44" max="44" width="9.140625" hidden="1" customWidth="1"/>
    <col min="45" max="45" width="48.7109375" style="130" hidden="1" customWidth="1"/>
    <col min="46" max="46" width="44.7109375" hidden="1" customWidth="1"/>
    <col min="47" max="50" width="0" hidden="1" customWidth="1"/>
  </cols>
  <sheetData>
    <row r="1" spans="1:49" s="31" customFormat="1" ht="20.25" customHeight="1">
      <c r="A1" s="151"/>
      <c r="B1" s="151"/>
      <c r="C1" s="151"/>
      <c r="D1" s="151"/>
      <c r="E1" s="29"/>
      <c r="F1" s="29"/>
      <c r="G1" s="29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Q1" s="151"/>
      <c r="AR1" s="151"/>
      <c r="AS1" s="151"/>
    </row>
    <row r="2" spans="1:49" s="118" customFormat="1" ht="40.5" customHeight="1">
      <c r="A2" s="401" t="s">
        <v>321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152"/>
    </row>
    <row r="3" spans="1:49" s="118" customFormat="1" ht="10.5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153"/>
    </row>
    <row r="4" spans="1:49" s="31" customFormat="1" ht="30" customHeight="1">
      <c r="A4" s="30"/>
      <c r="B4" s="151"/>
      <c r="C4" s="151"/>
      <c r="D4" s="151"/>
      <c r="E4" s="29"/>
      <c r="F4" s="29"/>
      <c r="G4" s="29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02"/>
      <c r="AQ4" s="102"/>
      <c r="AR4" s="102"/>
      <c r="AS4" s="102"/>
    </row>
    <row r="5" spans="1:49" s="31" customFormat="1" ht="41.25" customHeight="1">
      <c r="A5" s="400" t="s">
        <v>0</v>
      </c>
      <c r="B5" s="400" t="s">
        <v>261</v>
      </c>
      <c r="C5" s="403" t="s">
        <v>47</v>
      </c>
      <c r="D5" s="403" t="s">
        <v>262</v>
      </c>
      <c r="E5" s="400" t="s">
        <v>1</v>
      </c>
      <c r="F5" s="400" t="s">
        <v>263</v>
      </c>
      <c r="G5" s="400"/>
      <c r="H5" s="400"/>
      <c r="I5" s="400" t="s">
        <v>18</v>
      </c>
      <c r="J5" s="400"/>
      <c r="K5" s="400"/>
      <c r="L5" s="400" t="s">
        <v>19</v>
      </c>
      <c r="M5" s="400"/>
      <c r="N5" s="400"/>
      <c r="O5" s="400" t="s">
        <v>23</v>
      </c>
      <c r="P5" s="400"/>
      <c r="Q5" s="400"/>
      <c r="R5" s="400" t="s">
        <v>25</v>
      </c>
      <c r="S5" s="400"/>
      <c r="T5" s="400"/>
      <c r="U5" s="400" t="s">
        <v>26</v>
      </c>
      <c r="V5" s="400"/>
      <c r="W5" s="400"/>
      <c r="X5" s="400" t="s">
        <v>27</v>
      </c>
      <c r="Y5" s="400"/>
      <c r="Z5" s="400"/>
      <c r="AA5" s="400" t="s">
        <v>29</v>
      </c>
      <c r="AB5" s="400"/>
      <c r="AC5" s="400"/>
      <c r="AD5" s="400" t="s">
        <v>30</v>
      </c>
      <c r="AE5" s="400"/>
      <c r="AF5" s="400"/>
      <c r="AG5" s="400" t="s">
        <v>31</v>
      </c>
      <c r="AH5" s="400"/>
      <c r="AI5" s="400"/>
      <c r="AJ5" s="400" t="s">
        <v>33</v>
      </c>
      <c r="AK5" s="400"/>
      <c r="AL5" s="400"/>
      <c r="AM5" s="400" t="s">
        <v>34</v>
      </c>
      <c r="AN5" s="400"/>
      <c r="AO5" s="400"/>
      <c r="AP5" s="400" t="s">
        <v>35</v>
      </c>
      <c r="AQ5" s="400"/>
      <c r="AR5" s="400"/>
      <c r="AS5" s="398" t="s">
        <v>273</v>
      </c>
      <c r="AT5" s="399" t="s">
        <v>274</v>
      </c>
      <c r="AU5" s="32"/>
      <c r="AV5" s="32"/>
    </row>
    <row r="6" spans="1:49" s="31" customFormat="1" ht="24.75" customHeight="1">
      <c r="A6" s="400"/>
      <c r="B6" s="400"/>
      <c r="C6" s="404"/>
      <c r="D6" s="404"/>
      <c r="E6" s="400"/>
      <c r="F6" s="154" t="s">
        <v>264</v>
      </c>
      <c r="G6" s="154" t="s">
        <v>265</v>
      </c>
      <c r="H6" s="128" t="s">
        <v>266</v>
      </c>
      <c r="I6" s="154" t="s">
        <v>264</v>
      </c>
      <c r="J6" s="154" t="s">
        <v>265</v>
      </c>
      <c r="K6" s="128" t="s">
        <v>266</v>
      </c>
      <c r="L6" s="154" t="s">
        <v>264</v>
      </c>
      <c r="M6" s="154" t="s">
        <v>265</v>
      </c>
      <c r="N6" s="128" t="s">
        <v>266</v>
      </c>
      <c r="O6" s="154" t="s">
        <v>264</v>
      </c>
      <c r="P6" s="154" t="s">
        <v>265</v>
      </c>
      <c r="Q6" s="128" t="s">
        <v>266</v>
      </c>
      <c r="R6" s="154" t="s">
        <v>264</v>
      </c>
      <c r="S6" s="154" t="s">
        <v>265</v>
      </c>
      <c r="T6" s="128" t="s">
        <v>266</v>
      </c>
      <c r="U6" s="154" t="s">
        <v>264</v>
      </c>
      <c r="V6" s="154" t="s">
        <v>265</v>
      </c>
      <c r="W6" s="128" t="s">
        <v>266</v>
      </c>
      <c r="X6" s="154" t="s">
        <v>264</v>
      </c>
      <c r="Y6" s="154" t="s">
        <v>265</v>
      </c>
      <c r="Z6" s="128" t="s">
        <v>266</v>
      </c>
      <c r="AA6" s="154" t="s">
        <v>264</v>
      </c>
      <c r="AB6" s="154" t="s">
        <v>265</v>
      </c>
      <c r="AC6" s="128" t="s">
        <v>266</v>
      </c>
      <c r="AD6" s="154" t="s">
        <v>264</v>
      </c>
      <c r="AE6" s="154" t="s">
        <v>265</v>
      </c>
      <c r="AF6" s="128" t="s">
        <v>266</v>
      </c>
      <c r="AG6" s="154" t="s">
        <v>264</v>
      </c>
      <c r="AH6" s="154" t="s">
        <v>265</v>
      </c>
      <c r="AI6" s="128" t="s">
        <v>266</v>
      </c>
      <c r="AJ6" s="154" t="s">
        <v>264</v>
      </c>
      <c r="AK6" s="154" t="s">
        <v>265</v>
      </c>
      <c r="AL6" s="128" t="s">
        <v>266</v>
      </c>
      <c r="AM6" s="154" t="s">
        <v>264</v>
      </c>
      <c r="AN6" s="154" t="s">
        <v>265</v>
      </c>
      <c r="AO6" s="128" t="s">
        <v>266</v>
      </c>
      <c r="AP6" s="154" t="s">
        <v>264</v>
      </c>
      <c r="AQ6" s="154" t="s">
        <v>265</v>
      </c>
      <c r="AR6" s="128" t="s">
        <v>266</v>
      </c>
      <c r="AS6" s="398"/>
      <c r="AT6" s="399"/>
    </row>
    <row r="7" spans="1:49" s="31" customFormat="1" ht="24.75" customHeight="1">
      <c r="A7" s="350" t="s">
        <v>322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2"/>
    </row>
    <row r="8" spans="1:49" s="31" customFormat="1" ht="24.75" customHeight="1">
      <c r="A8" s="350" t="s">
        <v>294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2"/>
    </row>
    <row r="9" spans="1:49" s="100" customFormat="1" ht="12.75" customHeight="1">
      <c r="A9" s="386" t="s">
        <v>267</v>
      </c>
      <c r="B9" s="387"/>
      <c r="C9" s="387"/>
      <c r="D9" s="388"/>
      <c r="E9" s="129" t="s">
        <v>42</v>
      </c>
      <c r="F9" s="106">
        <f>F10+F11+F12</f>
        <v>387855.89999999991</v>
      </c>
      <c r="G9" s="106">
        <f t="shared" ref="G9:AP9" si="0">G10+G11+G12</f>
        <v>0</v>
      </c>
      <c r="H9" s="106">
        <f>G9/F9*100</f>
        <v>0</v>
      </c>
      <c r="I9" s="106">
        <f t="shared" si="0"/>
        <v>14263.3</v>
      </c>
      <c r="J9" s="106">
        <f t="shared" si="0"/>
        <v>0</v>
      </c>
      <c r="K9" s="106">
        <f>J9/I9*100</f>
        <v>0</v>
      </c>
      <c r="L9" s="106">
        <f t="shared" si="0"/>
        <v>40977.500000000007</v>
      </c>
      <c r="M9" s="106">
        <f t="shared" si="0"/>
        <v>0</v>
      </c>
      <c r="N9" s="106">
        <f>M9/L9*100</f>
        <v>0</v>
      </c>
      <c r="O9" s="106">
        <f t="shared" si="0"/>
        <v>33406</v>
      </c>
      <c r="P9" s="106">
        <f t="shared" si="0"/>
        <v>0</v>
      </c>
      <c r="Q9" s="106">
        <f>P9/O9*100</f>
        <v>0</v>
      </c>
      <c r="R9" s="106">
        <f t="shared" si="0"/>
        <v>40349.699999999997</v>
      </c>
      <c r="S9" s="106">
        <f t="shared" si="0"/>
        <v>0</v>
      </c>
      <c r="T9" s="106">
        <f>S9/R9*100</f>
        <v>0</v>
      </c>
      <c r="U9" s="106">
        <f t="shared" si="0"/>
        <v>31635.799999999996</v>
      </c>
      <c r="V9" s="106">
        <f t="shared" si="0"/>
        <v>0</v>
      </c>
      <c r="W9" s="106">
        <f>V9/U9*100</f>
        <v>0</v>
      </c>
      <c r="X9" s="106">
        <f t="shared" si="0"/>
        <v>34593.499999999993</v>
      </c>
      <c r="Y9" s="106">
        <f t="shared" si="0"/>
        <v>0</v>
      </c>
      <c r="Z9" s="106" t="e">
        <f t="shared" si="0"/>
        <v>#REF!</v>
      </c>
      <c r="AA9" s="106">
        <f t="shared" si="0"/>
        <v>45981.8</v>
      </c>
      <c r="AB9" s="106">
        <f t="shared" si="0"/>
        <v>0</v>
      </c>
      <c r="AC9" s="106" t="e">
        <f t="shared" si="0"/>
        <v>#REF!</v>
      </c>
      <c r="AD9" s="106">
        <f t="shared" si="0"/>
        <v>33741.599999999999</v>
      </c>
      <c r="AE9" s="106">
        <f t="shared" si="0"/>
        <v>0</v>
      </c>
      <c r="AF9" s="106">
        <f>AE9/AD9*100</f>
        <v>0</v>
      </c>
      <c r="AG9" s="106">
        <f t="shared" si="0"/>
        <v>25527.399999999994</v>
      </c>
      <c r="AH9" s="106">
        <f t="shared" si="0"/>
        <v>0</v>
      </c>
      <c r="AI9" s="106" t="e">
        <f t="shared" si="0"/>
        <v>#REF!</v>
      </c>
      <c r="AJ9" s="106">
        <f t="shared" si="0"/>
        <v>21812.199999999997</v>
      </c>
      <c r="AK9" s="106">
        <f t="shared" si="0"/>
        <v>0</v>
      </c>
      <c r="AL9" s="106" t="e">
        <f t="shared" si="0"/>
        <v>#REF!</v>
      </c>
      <c r="AM9" s="106">
        <f t="shared" si="0"/>
        <v>21829.799999999996</v>
      </c>
      <c r="AN9" s="106">
        <f t="shared" si="0"/>
        <v>0</v>
      </c>
      <c r="AO9" s="106" t="e">
        <f t="shared" si="0"/>
        <v>#REF!</v>
      </c>
      <c r="AP9" s="106">
        <f t="shared" si="0"/>
        <v>43737.299999999996</v>
      </c>
      <c r="AQ9" s="106" t="e">
        <f>#REF!+#REF!</f>
        <v>#REF!</v>
      </c>
      <c r="AR9" s="106" t="e">
        <f>#REF!+#REF!</f>
        <v>#REF!</v>
      </c>
      <c r="AS9" s="317"/>
      <c r="AT9" s="395"/>
      <c r="AU9" s="127"/>
    </row>
    <row r="10" spans="1:49" s="100" customFormat="1" ht="36">
      <c r="A10" s="389"/>
      <c r="B10" s="390"/>
      <c r="C10" s="390"/>
      <c r="D10" s="391"/>
      <c r="E10" s="111" t="s">
        <v>3</v>
      </c>
      <c r="F10" s="106">
        <f>F14+F18+F23+F26+F30</f>
        <v>93990.699999999983</v>
      </c>
      <c r="G10" s="106">
        <f>G14+G18+G23+G26+G30</f>
        <v>0</v>
      </c>
      <c r="H10" s="106">
        <f>G10/F10*100</f>
        <v>0</v>
      </c>
      <c r="I10" s="106">
        <f>I14+I18+I23+I26+I30</f>
        <v>949.6</v>
      </c>
      <c r="J10" s="106">
        <f>J14+J18+J23+J26+J30</f>
        <v>0</v>
      </c>
      <c r="K10" s="106">
        <f t="shared" ref="K10:K12" si="1">J10/I10*100</f>
        <v>0</v>
      </c>
      <c r="L10" s="106">
        <f>L14+L18+L23+L26+L30</f>
        <v>6698.4</v>
      </c>
      <c r="M10" s="106">
        <f>M14+M18+M23+M26+M30</f>
        <v>0</v>
      </c>
      <c r="N10" s="106">
        <f t="shared" ref="N10:N12" si="2">M10/L10*100</f>
        <v>0</v>
      </c>
      <c r="O10" s="106">
        <f>O14+O18+O23+O26+O30</f>
        <v>7360.1999999999989</v>
      </c>
      <c r="P10" s="106">
        <f>P14+P18+P23+P26+P30</f>
        <v>0</v>
      </c>
      <c r="Q10" s="106">
        <f t="shared" ref="Q10:Q12" si="3">P10/O10*100</f>
        <v>0</v>
      </c>
      <c r="R10" s="106">
        <f>R14+R18+R23+R26+R30</f>
        <v>7135.4</v>
      </c>
      <c r="S10" s="106">
        <f>S14+S18+S23+S26+S30</f>
        <v>0</v>
      </c>
      <c r="T10" s="106">
        <f t="shared" ref="T10:T12" si="4">S10/R10*100</f>
        <v>0</v>
      </c>
      <c r="U10" s="106">
        <f>U14+U18+U23+U26+U30</f>
        <v>6459.3999999999987</v>
      </c>
      <c r="V10" s="106">
        <f>V14+V18+V23+V26+V30</f>
        <v>0</v>
      </c>
      <c r="W10" s="106">
        <f t="shared" ref="W10:W12" si="5">V10/U10*100</f>
        <v>0</v>
      </c>
      <c r="X10" s="106">
        <f>X14+X18+X23+X26+X30</f>
        <v>7599.6999999999989</v>
      </c>
      <c r="Y10" s="106">
        <f>Y14+Y18+Y23+Y26+Y30</f>
        <v>0</v>
      </c>
      <c r="Z10" s="106" t="e">
        <f>Z14+Z18+Z23+Z26+#REF!+#REF!+#REF!+#REF!+#REF!+#REF!+#REF!+#REF!+#REF!+#REF!</f>
        <v>#REF!</v>
      </c>
      <c r="AA10" s="106">
        <f>AA14+AA18+AA23+AA26+AA30</f>
        <v>7969.9000000000005</v>
      </c>
      <c r="AB10" s="106">
        <f>AB14+AB18+AB23+AB26+AB30</f>
        <v>0</v>
      </c>
      <c r="AC10" s="106" t="e">
        <f>AC14+AC18+AC23+AC26+#REF!+#REF!+#REF!+#REF!+#REF!+#REF!+#REF!+#REF!+#REF!+#REF!</f>
        <v>#REF!</v>
      </c>
      <c r="AD10" s="106">
        <f>AD14+AD18+AD23+AD26+AD30</f>
        <v>9039.2999999999993</v>
      </c>
      <c r="AE10" s="106">
        <f>AE14+AE18+AE23+AE26+AE30</f>
        <v>0</v>
      </c>
      <c r="AF10" s="106">
        <f t="shared" ref="AF10:AF25" si="6">AE10/AD10*100</f>
        <v>0</v>
      </c>
      <c r="AG10" s="106">
        <f>AG14+AG18+AG23+AG26+AG30</f>
        <v>6928.9</v>
      </c>
      <c r="AH10" s="106">
        <f>AH14+AH18+AH23+AH26+AH30</f>
        <v>0</v>
      </c>
      <c r="AI10" s="106" t="e">
        <f>AI14+AI18+AI23+AI26+#REF!+#REF!+#REF!+#REF!+#REF!+#REF!+#REF!+#REF!+#REF!+#REF!</f>
        <v>#REF!</v>
      </c>
      <c r="AJ10" s="106">
        <f>AJ14+AJ18+AJ23+AJ26+AJ30</f>
        <v>7044.1999999999989</v>
      </c>
      <c r="AK10" s="106">
        <f>AK14+AK18+AK23+AK26+AK30</f>
        <v>0</v>
      </c>
      <c r="AL10" s="106" t="e">
        <f>AL14+AL18+AL23+AL26+#REF!+#REF!+#REF!+#REF!+#REF!+#REF!+#REF!+#REF!+#REF!+#REF!</f>
        <v>#REF!</v>
      </c>
      <c r="AM10" s="106">
        <f>AM14+AM18+AM23+AM26+AM30</f>
        <v>7060.0999999999995</v>
      </c>
      <c r="AN10" s="106">
        <f>AN14+AN18+AN23+AN26+AN30</f>
        <v>0</v>
      </c>
      <c r="AO10" s="106" t="e">
        <f>AO14+AO18+AO23+AO26+#REF!+#REF!+#REF!+#REF!+#REF!+#REF!+#REF!+#REF!+#REF!+#REF!</f>
        <v>#REF!</v>
      </c>
      <c r="AP10" s="106">
        <f>AP14+AP18+AP23+AP26+AP30</f>
        <v>19745.599999999999</v>
      </c>
      <c r="AQ10" s="106">
        <f>AQ14+AQ18+AQ23+AQ26+AQ30</f>
        <v>0</v>
      </c>
      <c r="AR10" s="106" t="e">
        <f>AR14+AR18+AR23+AR26+#REF!+#REF!+#REF!+#REF!+#REF!+#REF!+#REF!+#REF!+#REF!+#REF!</f>
        <v>#REF!</v>
      </c>
      <c r="AS10" s="318"/>
      <c r="AT10" s="396"/>
      <c r="AU10" s="127"/>
    </row>
    <row r="11" spans="1:49" s="100" customFormat="1" ht="24">
      <c r="A11" s="389"/>
      <c r="B11" s="390"/>
      <c r="C11" s="390"/>
      <c r="D11" s="391"/>
      <c r="E11" s="111" t="s">
        <v>44</v>
      </c>
      <c r="F11" s="106">
        <f>F15+F19+F24+F27+F31</f>
        <v>288033.09999999998</v>
      </c>
      <c r="G11" s="106">
        <f>G15+G19+G24+G27+G31</f>
        <v>0</v>
      </c>
      <c r="H11" s="106">
        <f>G11/F11*100</f>
        <v>0</v>
      </c>
      <c r="I11" s="106">
        <f>I15+I19+I24+I27+I31</f>
        <v>13051.9</v>
      </c>
      <c r="J11" s="106">
        <f>J15+J19+J24+J27+J31</f>
        <v>0</v>
      </c>
      <c r="K11" s="106">
        <f t="shared" si="1"/>
        <v>0</v>
      </c>
      <c r="L11" s="106">
        <f>L15+L19+L24+L27+L31</f>
        <v>33942.600000000006</v>
      </c>
      <c r="M11" s="106">
        <f>M15+M19+M24+M27+M31</f>
        <v>0</v>
      </c>
      <c r="N11" s="106">
        <f t="shared" si="2"/>
        <v>0</v>
      </c>
      <c r="O11" s="106">
        <f>O15+O19+O24+O27+O31</f>
        <v>25234.5</v>
      </c>
      <c r="P11" s="106">
        <f>P15+P19+P24+P27+P31</f>
        <v>0</v>
      </c>
      <c r="Q11" s="106">
        <f t="shared" si="3"/>
        <v>0</v>
      </c>
      <c r="R11" s="106">
        <f>R15+R19+R24+R27+R31</f>
        <v>32473.7</v>
      </c>
      <c r="S11" s="106">
        <f>S15+S19+S24+S27+S31</f>
        <v>0</v>
      </c>
      <c r="T11" s="106">
        <f t="shared" si="4"/>
        <v>0</v>
      </c>
      <c r="U11" s="106">
        <f>U15+U19+U24+U27+U31</f>
        <v>24696.699999999997</v>
      </c>
      <c r="V11" s="106">
        <f>V15+V19+V24+V27+V31</f>
        <v>0</v>
      </c>
      <c r="W11" s="106">
        <f t="shared" si="5"/>
        <v>0</v>
      </c>
      <c r="X11" s="106">
        <f>X15+X19+X24+X27+X31</f>
        <v>26640.999999999993</v>
      </c>
      <c r="Y11" s="106">
        <f>Y15+Y19+Y24+Y27+Y31</f>
        <v>0</v>
      </c>
      <c r="Z11" s="106" t="e">
        <f>Z15+Z19+Z24+Z27+#REF!+#REF!+#REF!+#REF!+#REF!+#REF!+#REF!+#REF!+#REF!+#REF!</f>
        <v>#REF!</v>
      </c>
      <c r="AA11" s="106">
        <f>AA15+AA19+AA24+AA27+AA31</f>
        <v>37186.400000000001</v>
      </c>
      <c r="AB11" s="106">
        <f>AB15+AB19+AB24+AB27+AB31</f>
        <v>0</v>
      </c>
      <c r="AC11" s="106" t="e">
        <f>AC15+AC19+AC24+AC27+#REF!+#REF!+#REF!+#REF!+#REF!+#REF!+#REF!+#REF!+#REF!+#REF!</f>
        <v>#REF!</v>
      </c>
      <c r="AD11" s="106">
        <f>AD15+AD19+AD24+AD27+AD31</f>
        <v>24183.3</v>
      </c>
      <c r="AE11" s="106">
        <f>AE15+AE19+AE24+AE27+AE31</f>
        <v>0</v>
      </c>
      <c r="AF11" s="106">
        <f t="shared" si="6"/>
        <v>0</v>
      </c>
      <c r="AG11" s="106">
        <f>AG15+AG19+AG24+AG27+AG31</f>
        <v>18296.899999999994</v>
      </c>
      <c r="AH11" s="106">
        <f>AH15+AH19+AH24+AH27+AH31</f>
        <v>0</v>
      </c>
      <c r="AI11" s="106" t="e">
        <f>AI15+AI19+AI24+AI27+#REF!+#REF!+#REF!+#REF!+#REF!+#REF!+#REF!+#REF!+#REF!+#REF!</f>
        <v>#REF!</v>
      </c>
      <c r="AJ11" s="106">
        <f>AJ15+AJ19+AJ24+AJ27+AJ31</f>
        <v>14203.400000000001</v>
      </c>
      <c r="AK11" s="106">
        <f>AK15+AK19+AK24+AK27+AK31</f>
        <v>0</v>
      </c>
      <c r="AL11" s="106" t="e">
        <f>AL15+AL19+AL24+AL27+#REF!+#REF!+#REF!+#REF!+#REF!+#REF!+#REF!+#REF!+#REF!+#REF!</f>
        <v>#REF!</v>
      </c>
      <c r="AM11" s="106">
        <f>AM15+AM19+AM24+AM27+AM31</f>
        <v>14327.999999999996</v>
      </c>
      <c r="AN11" s="106">
        <f>AN15+AN19+AN24+AN27+AN31</f>
        <v>0</v>
      </c>
      <c r="AO11" s="106" t="e">
        <f>AO15+AO19+AO24+AO27+#REF!+#REF!+#REF!+#REF!+#REF!+#REF!+#REF!+#REF!+#REF!+#REF!</f>
        <v>#REF!</v>
      </c>
      <c r="AP11" s="106">
        <f>AP15+AP19+AP24+AP27+AP31</f>
        <v>23794.699999999997</v>
      </c>
      <c r="AQ11" s="106">
        <f>AQ15+AQ19+AQ24+AQ27+AQ31</f>
        <v>0</v>
      </c>
      <c r="AR11" s="106" t="e">
        <f>AR15+AR19+AR24+AR27+#REF!+#REF!+#REF!+#REF!+#REF!+#REF!+#REF!+#REF!+#REF!+#REF!</f>
        <v>#REF!</v>
      </c>
      <c r="AS11" s="318"/>
      <c r="AT11" s="396"/>
      <c r="AU11" s="127"/>
    </row>
    <row r="12" spans="1:49" s="100" customFormat="1" ht="24">
      <c r="A12" s="392"/>
      <c r="B12" s="393"/>
      <c r="C12" s="393"/>
      <c r="D12" s="394"/>
      <c r="E12" s="110" t="s">
        <v>257</v>
      </c>
      <c r="F12" s="106">
        <f>F16+F20+F28</f>
        <v>5832.1</v>
      </c>
      <c r="G12" s="106">
        <f>G16+G20+G28</f>
        <v>0</v>
      </c>
      <c r="H12" s="106">
        <f>G12/F12*100</f>
        <v>0</v>
      </c>
      <c r="I12" s="106">
        <f>I16+I20+I28</f>
        <v>261.8</v>
      </c>
      <c r="J12" s="106">
        <f>J16+J20+J28</f>
        <v>0</v>
      </c>
      <c r="K12" s="106">
        <f t="shared" si="1"/>
        <v>0</v>
      </c>
      <c r="L12" s="106">
        <f>L16+L20+L28</f>
        <v>336.5</v>
      </c>
      <c r="M12" s="106">
        <f>M16+M20+M28</f>
        <v>0</v>
      </c>
      <c r="N12" s="106">
        <f t="shared" si="2"/>
        <v>0</v>
      </c>
      <c r="O12" s="106">
        <f>O16+O20+O28</f>
        <v>811.3</v>
      </c>
      <c r="P12" s="106">
        <f>P16+P20+P28</f>
        <v>0</v>
      </c>
      <c r="Q12" s="106">
        <f t="shared" si="3"/>
        <v>0</v>
      </c>
      <c r="R12" s="106">
        <f>R16+R20+R28</f>
        <v>740.6</v>
      </c>
      <c r="S12" s="106">
        <f>S16+S20+S28</f>
        <v>0</v>
      </c>
      <c r="T12" s="106">
        <f t="shared" si="4"/>
        <v>0</v>
      </c>
      <c r="U12" s="106">
        <f>U16+U20+U28</f>
        <v>479.7</v>
      </c>
      <c r="V12" s="106">
        <f>V16+V20+V28</f>
        <v>0</v>
      </c>
      <c r="W12" s="106">
        <f t="shared" si="5"/>
        <v>0</v>
      </c>
      <c r="X12" s="106">
        <f>X16+X20+X28</f>
        <v>352.8</v>
      </c>
      <c r="Y12" s="106">
        <f>Y16+Y20+Y28</f>
        <v>0</v>
      </c>
      <c r="Z12" s="106" t="e">
        <f>Z16+Z20+#REF!+Z28+#REF!+#REF!+#REF!+#REF!+#REF!+#REF!+#REF!+#REF!+#REF!+#REF!</f>
        <v>#REF!</v>
      </c>
      <c r="AA12" s="106">
        <f>AA16+AA20+AA28</f>
        <v>825.5</v>
      </c>
      <c r="AB12" s="106">
        <f>AB16+AB20+AB28</f>
        <v>0</v>
      </c>
      <c r="AC12" s="106" t="e">
        <f>AC16+AC20+#REF!+AC28+#REF!+#REF!+#REF!+#REF!+#REF!+#REF!+#REF!+#REF!+#REF!+#REF!</f>
        <v>#REF!</v>
      </c>
      <c r="AD12" s="106">
        <f>AD16+AD20+AD28</f>
        <v>519</v>
      </c>
      <c r="AE12" s="106">
        <f>AE16+AE20+AE28</f>
        <v>0</v>
      </c>
      <c r="AF12" s="106">
        <f t="shared" si="6"/>
        <v>0</v>
      </c>
      <c r="AG12" s="106">
        <f>AG16+AG20+AG28</f>
        <v>301.60000000000002</v>
      </c>
      <c r="AH12" s="106">
        <f>AH16+AH20+AH28</f>
        <v>0</v>
      </c>
      <c r="AI12" s="106" t="e">
        <f>AI16+AI20+#REF!+AI28+#REF!+#REF!+#REF!+#REF!+#REF!+#REF!+#REF!+#REF!+#REF!+#REF!+#REF!</f>
        <v>#REF!</v>
      </c>
      <c r="AJ12" s="106">
        <f>AJ16+AJ20+AJ28</f>
        <v>564.6</v>
      </c>
      <c r="AK12" s="106">
        <f>AK16+AK20+AK28</f>
        <v>0</v>
      </c>
      <c r="AL12" s="106" t="e">
        <f>AL16+AL20+#REF!+AL28+#REF!+#REF!+#REF!+#REF!+#REF!+#REF!+#REF!+#REF!+#REF!+#REF!+#REF!</f>
        <v>#REF!</v>
      </c>
      <c r="AM12" s="106">
        <f>AM16+AM20+AM28</f>
        <v>441.7</v>
      </c>
      <c r="AN12" s="106">
        <f>AN16+AN20+AN28</f>
        <v>0</v>
      </c>
      <c r="AO12" s="106" t="e">
        <f>AO16+AO20+#REF!+AO28+#REF!+#REF!+#REF!+#REF!+#REF!+#REF!+#REF!+#REF!+#REF!+#REF!+#REF!</f>
        <v>#REF!</v>
      </c>
      <c r="AP12" s="106">
        <f>AP16+AP20+AP28</f>
        <v>197</v>
      </c>
      <c r="AQ12" s="106">
        <f>AQ16+AQ20+AQ28</f>
        <v>0</v>
      </c>
      <c r="AR12" s="106" t="e">
        <f>AR16+AR20+#REF!+AR28+#REF!+#REF!+#REF!+#REF!+#REF!+#REF!+#REF!+#REF!+#REF!+#REF!</f>
        <v>#REF!</v>
      </c>
      <c r="AS12" s="319"/>
      <c r="AT12" s="397"/>
      <c r="AU12" s="127"/>
    </row>
    <row r="13" spans="1:49" s="31" customFormat="1" ht="31.5" customHeight="1">
      <c r="A13" s="365" t="s">
        <v>323</v>
      </c>
      <c r="B13" s="329" t="s">
        <v>324</v>
      </c>
      <c r="C13" s="332" t="s">
        <v>325</v>
      </c>
      <c r="D13" s="332" t="s">
        <v>326</v>
      </c>
      <c r="E13" s="107" t="s">
        <v>42</v>
      </c>
      <c r="F13" s="123">
        <f>SUM(F14:F16)</f>
        <v>300702.99999999994</v>
      </c>
      <c r="G13" s="123">
        <f t="shared" ref="G13:P13" si="7">SUM(G14:G16)</f>
        <v>0</v>
      </c>
      <c r="H13" s="123">
        <f>G13/F13*100</f>
        <v>0</v>
      </c>
      <c r="I13" s="123">
        <f t="shared" si="7"/>
        <v>6636.9000000000005</v>
      </c>
      <c r="J13" s="123">
        <f t="shared" si="7"/>
        <v>0</v>
      </c>
      <c r="K13" s="123">
        <f t="shared" si="7"/>
        <v>0</v>
      </c>
      <c r="L13" s="123">
        <f t="shared" si="7"/>
        <v>32379.700000000004</v>
      </c>
      <c r="M13" s="123">
        <f t="shared" si="7"/>
        <v>0</v>
      </c>
      <c r="N13" s="123">
        <f>M13/L13*100</f>
        <v>0</v>
      </c>
      <c r="O13" s="123">
        <f t="shared" si="7"/>
        <v>25852.799999999999</v>
      </c>
      <c r="P13" s="123">
        <f t="shared" si="7"/>
        <v>0</v>
      </c>
      <c r="Q13" s="123">
        <f>P13/O13*100</f>
        <v>0</v>
      </c>
      <c r="R13" s="123">
        <f t="shared" ref="R13:AR13" si="8">SUM(R14:R16)</f>
        <v>32770.699999999997</v>
      </c>
      <c r="S13" s="123">
        <f t="shared" si="8"/>
        <v>0</v>
      </c>
      <c r="T13" s="123">
        <f>S13/R13*100</f>
        <v>0</v>
      </c>
      <c r="U13" s="123">
        <f t="shared" si="8"/>
        <v>24105.5</v>
      </c>
      <c r="V13" s="123">
        <f t="shared" si="8"/>
        <v>0</v>
      </c>
      <c r="W13" s="123">
        <f>V13/U13*100</f>
        <v>0</v>
      </c>
      <c r="X13" s="123">
        <f t="shared" si="8"/>
        <v>26660.099999999995</v>
      </c>
      <c r="Y13" s="123">
        <f t="shared" si="8"/>
        <v>0</v>
      </c>
      <c r="Z13" s="123">
        <f t="shared" si="8"/>
        <v>0</v>
      </c>
      <c r="AA13" s="104">
        <f t="shared" si="8"/>
        <v>37741.9</v>
      </c>
      <c r="AB13" s="123">
        <f t="shared" si="8"/>
        <v>0</v>
      </c>
      <c r="AC13" s="123">
        <f t="shared" si="8"/>
        <v>0</v>
      </c>
      <c r="AD13" s="104">
        <f t="shared" si="8"/>
        <v>26948.3</v>
      </c>
      <c r="AE13" s="104">
        <f t="shared" si="8"/>
        <v>0</v>
      </c>
      <c r="AF13" s="104">
        <f t="shared" si="6"/>
        <v>0</v>
      </c>
      <c r="AG13" s="104">
        <f t="shared" si="8"/>
        <v>19259.599999999995</v>
      </c>
      <c r="AH13" s="123">
        <f t="shared" si="8"/>
        <v>0</v>
      </c>
      <c r="AI13" s="123">
        <v>0</v>
      </c>
      <c r="AJ13" s="123">
        <f t="shared" si="8"/>
        <v>15428.3</v>
      </c>
      <c r="AK13" s="123">
        <f t="shared" si="8"/>
        <v>0</v>
      </c>
      <c r="AL13" s="123">
        <f t="shared" si="8"/>
        <v>0</v>
      </c>
      <c r="AM13" s="104">
        <f t="shared" si="8"/>
        <v>16239.599999999999</v>
      </c>
      <c r="AN13" s="123">
        <f t="shared" si="8"/>
        <v>0</v>
      </c>
      <c r="AO13" s="123">
        <f t="shared" si="8"/>
        <v>0</v>
      </c>
      <c r="AP13" s="104">
        <f t="shared" si="8"/>
        <v>36679.599999999999</v>
      </c>
      <c r="AQ13" s="123">
        <f t="shared" si="8"/>
        <v>0</v>
      </c>
      <c r="AR13" s="123">
        <f t="shared" si="8"/>
        <v>0</v>
      </c>
      <c r="AS13" s="338" t="s">
        <v>309</v>
      </c>
      <c r="AT13" s="383" t="s">
        <v>308</v>
      </c>
      <c r="AU13" s="121">
        <f>I13+L13+O13+R13+U13+X13+AA13+AD13+AG13</f>
        <v>232355.5</v>
      </c>
      <c r="AV13" s="121">
        <f>J13+M13+P13+S13+V13+Y13+AB13+AE13+AH13</f>
        <v>0</v>
      </c>
      <c r="AW13" s="155">
        <f>AV13/AU13*100</f>
        <v>0</v>
      </c>
    </row>
    <row r="14" spans="1:49" s="31" customFormat="1" ht="53.25" customHeight="1">
      <c r="A14" s="366"/>
      <c r="B14" s="330"/>
      <c r="C14" s="333"/>
      <c r="D14" s="333"/>
      <c r="E14" s="108" t="s">
        <v>3</v>
      </c>
      <c r="F14" s="123">
        <f>I14+L14+O14+R14+U14+X14+AA14+AD14+AG14+AJ14+AM14+AP14</f>
        <v>91443.299999999988</v>
      </c>
      <c r="G14" s="123">
        <f>J14+M14+P14+S14+V14+Y14+AB14+AE14+AH14+AK14+AN14+AQ14</f>
        <v>0</v>
      </c>
      <c r="H14" s="123">
        <v>0</v>
      </c>
      <c r="I14" s="123">
        <f>47.4+15+887.2</f>
        <v>949.6</v>
      </c>
      <c r="J14" s="123">
        <v>0</v>
      </c>
      <c r="K14" s="123">
        <v>0</v>
      </c>
      <c r="L14" s="123">
        <f>5300+92.5+1181.4</f>
        <v>6573.9</v>
      </c>
      <c r="M14" s="123">
        <v>0</v>
      </c>
      <c r="N14" s="123">
        <v>0</v>
      </c>
      <c r="O14" s="123">
        <f>5300+79.4+1165.4-6.3</f>
        <v>6538.4999999999991</v>
      </c>
      <c r="P14" s="123">
        <v>0</v>
      </c>
      <c r="Q14" s="123">
        <v>0</v>
      </c>
      <c r="R14" s="123">
        <f>5300+226+5+1479.9</f>
        <v>7010.9</v>
      </c>
      <c r="S14" s="123">
        <v>0</v>
      </c>
      <c r="T14" s="123">
        <v>0</v>
      </c>
      <c r="U14" s="117">
        <f>5300+19.7+79.4+21+897.9</f>
        <v>6317.9999999999991</v>
      </c>
      <c r="V14" s="117">
        <v>0</v>
      </c>
      <c r="W14" s="117">
        <v>0</v>
      </c>
      <c r="X14" s="117">
        <f>6259+53.9+5+1168.2-27.8</f>
        <v>7458.2999999999993</v>
      </c>
      <c r="Y14" s="117">
        <v>0</v>
      </c>
      <c r="Z14" s="117">
        <v>0</v>
      </c>
      <c r="AA14" s="123">
        <f>5350+60+305.7+5+2083.4</f>
        <v>7804.1</v>
      </c>
      <c r="AB14" s="123">
        <v>0</v>
      </c>
      <c r="AC14" s="123">
        <v>0</v>
      </c>
      <c r="AD14" s="117">
        <f>7486+216.1+5+1166.4</f>
        <v>8873.5</v>
      </c>
      <c r="AE14" s="117">
        <v>0</v>
      </c>
      <c r="AF14" s="117">
        <v>0</v>
      </c>
      <c r="AG14" s="117">
        <f>108.1+5300+71+123+136.5+561.4+365.7</f>
        <v>6665.7</v>
      </c>
      <c r="AH14" s="117">
        <v>0</v>
      </c>
      <c r="AI14" s="123">
        <v>0</v>
      </c>
      <c r="AJ14" s="123">
        <f>5250+113.9+5+1439.4</f>
        <v>6808.2999999999993</v>
      </c>
      <c r="AK14" s="123">
        <v>0</v>
      </c>
      <c r="AL14" s="123">
        <v>0</v>
      </c>
      <c r="AM14" s="117">
        <f>5250+100.2+79.5+325.1+1162.1</f>
        <v>6916.9</v>
      </c>
      <c r="AN14" s="117">
        <v>0</v>
      </c>
      <c r="AO14" s="117">
        <v>0</v>
      </c>
      <c r="AP14" s="117">
        <f>11.1+17482.4+151.9+226.6+1870.8-217.2</f>
        <v>19525.599999999999</v>
      </c>
      <c r="AQ14" s="123"/>
      <c r="AR14" s="123"/>
      <c r="AS14" s="339"/>
      <c r="AT14" s="384"/>
      <c r="AU14" s="121"/>
      <c r="AV14" s="121"/>
      <c r="AW14" s="155"/>
    </row>
    <row r="15" spans="1:49" s="31" customFormat="1" ht="46.5" customHeight="1">
      <c r="A15" s="366"/>
      <c r="B15" s="330"/>
      <c r="C15" s="333"/>
      <c r="D15" s="333"/>
      <c r="E15" s="108" t="s">
        <v>44</v>
      </c>
      <c r="F15" s="123">
        <f t="shared" ref="F15:F16" si="9">I15+L15+O15+R15+U15+X15+AA15+AD15+AG15+AJ15+AM15+AP15</f>
        <v>203427.59999999998</v>
      </c>
      <c r="G15" s="123">
        <f t="shared" ref="G15:G16" si="10">J15+M15+P15+S15+V15+Y15+AB15+AE15+AH15+AK15+AN15+AQ15</f>
        <v>0</v>
      </c>
      <c r="H15" s="123">
        <f>G15/F15*100</f>
        <v>0</v>
      </c>
      <c r="I15" s="123">
        <f>40+428.8+4937+6.7+13</f>
        <v>5425.5</v>
      </c>
      <c r="J15" s="123">
        <v>0</v>
      </c>
      <c r="K15" s="123">
        <f>J15/I15*100</f>
        <v>0</v>
      </c>
      <c r="L15" s="123">
        <f>517.2+2195.7+21252+496.8+361.9+645.7</f>
        <v>25469.300000000003</v>
      </c>
      <c r="M15" s="123">
        <v>0</v>
      </c>
      <c r="N15" s="123">
        <f t="shared" ref="N15:N22" si="11">M15/L15*100</f>
        <v>0</v>
      </c>
      <c r="O15" s="123">
        <f>938.9+1669.1+15140.2+361.8+251.7+81+61.3-1</f>
        <v>18503</v>
      </c>
      <c r="P15" s="123">
        <v>0</v>
      </c>
      <c r="Q15" s="123">
        <f t="shared" ref="Q15:Q22" si="12">P15/O15*100</f>
        <v>0</v>
      </c>
      <c r="R15" s="123">
        <f>662.3+2139.5+21249.9+500+398.9+68.6</f>
        <v>25019.200000000001</v>
      </c>
      <c r="S15" s="123">
        <v>0</v>
      </c>
      <c r="T15" s="123">
        <f t="shared" ref="T15:T22" si="13">S15/R15*100</f>
        <v>0</v>
      </c>
      <c r="U15" s="117">
        <f>114.6+1286.2+14324.5+500+499.1+290.4+293</f>
        <v>17307.8</v>
      </c>
      <c r="V15" s="117">
        <v>0</v>
      </c>
      <c r="W15" s="123">
        <f t="shared" ref="W15" si="14">V15/U15*100</f>
        <v>0</v>
      </c>
      <c r="X15" s="117">
        <f>334.2+1608.2+15696.6+500+535.6+174.6-0.2</f>
        <v>18848.999999999996</v>
      </c>
      <c r="Y15" s="117">
        <v>0</v>
      </c>
      <c r="Z15" s="117">
        <f>Y15/X15*100</f>
        <v>0</v>
      </c>
      <c r="AA15" s="105">
        <f>456.7+2982.6+24667.5+500+461.9+43.6</f>
        <v>29112.3</v>
      </c>
      <c r="AB15" s="117">
        <v>0</v>
      </c>
      <c r="AC15" s="117">
        <f>AB15/AA15*100</f>
        <v>0</v>
      </c>
      <c r="AD15" s="105">
        <f>205.2+996.9+15105+500+466.9+281.8</f>
        <v>17555.8</v>
      </c>
      <c r="AE15" s="105">
        <v>0</v>
      </c>
      <c r="AF15" s="117">
        <f>AE15/AD15*100</f>
        <v>0</v>
      </c>
      <c r="AG15" s="105">
        <f>410.5+1275+9041.8+500+537.9+527.3-0.2</f>
        <v>12292.299999999997</v>
      </c>
      <c r="AH15" s="117">
        <v>0</v>
      </c>
      <c r="AI15" s="117">
        <v>0</v>
      </c>
      <c r="AJ15" s="123">
        <f>340.9+1654.3+2843.2+250+761.9+280.1+1925</f>
        <v>8055.4</v>
      </c>
      <c r="AK15" s="123">
        <v>0</v>
      </c>
      <c r="AL15" s="123">
        <v>0</v>
      </c>
      <c r="AM15" s="105">
        <f>165.1+1038+6305.7+250+841.9+280.3</f>
        <v>8880.9999999999982</v>
      </c>
      <c r="AN15" s="117">
        <v>0</v>
      </c>
      <c r="AO15" s="117">
        <v>0</v>
      </c>
      <c r="AP15" s="104">
        <f>257+1140.6+13806+958+795.4</f>
        <v>16957</v>
      </c>
      <c r="AQ15" s="123"/>
      <c r="AR15" s="123"/>
      <c r="AS15" s="339"/>
      <c r="AT15" s="384"/>
      <c r="AU15" s="121">
        <f t="shared" ref="AU15:AU29" si="15">I15+L15+O15+R15+U15+X15+AA15+AD15+AG15</f>
        <v>169534.19999999998</v>
      </c>
      <c r="AV15" s="121">
        <f t="shared" ref="AV15:AV29" si="16">J15+M15+P15+S15+V15+Y15+AB15+AE15+AH15</f>
        <v>0</v>
      </c>
      <c r="AW15" s="155">
        <f t="shared" ref="AW15:AW29" si="17">AV15/AU15*100</f>
        <v>0</v>
      </c>
    </row>
    <row r="16" spans="1:49" s="31" customFormat="1" ht="61.5" customHeight="1">
      <c r="A16" s="367"/>
      <c r="B16" s="331"/>
      <c r="C16" s="334"/>
      <c r="D16" s="334"/>
      <c r="E16" s="109" t="s">
        <v>257</v>
      </c>
      <c r="F16" s="123">
        <f t="shared" si="9"/>
        <v>5832.1</v>
      </c>
      <c r="G16" s="123">
        <f t="shared" si="10"/>
        <v>0</v>
      </c>
      <c r="H16" s="123">
        <v>0</v>
      </c>
      <c r="I16" s="123">
        <v>261.8</v>
      </c>
      <c r="J16" s="123">
        <v>0</v>
      </c>
      <c r="K16" s="123">
        <v>0</v>
      </c>
      <c r="L16" s="123">
        <v>336.5</v>
      </c>
      <c r="M16" s="123">
        <v>0</v>
      </c>
      <c r="N16" s="123">
        <v>0</v>
      </c>
      <c r="O16" s="123">
        <v>811.3</v>
      </c>
      <c r="P16" s="123">
        <v>0</v>
      </c>
      <c r="Q16" s="123">
        <v>0</v>
      </c>
      <c r="R16" s="123">
        <v>740.6</v>
      </c>
      <c r="S16" s="123">
        <v>0</v>
      </c>
      <c r="T16" s="123">
        <v>0</v>
      </c>
      <c r="U16" s="117">
        <v>479.7</v>
      </c>
      <c r="V16" s="117">
        <v>0</v>
      </c>
      <c r="W16" s="117">
        <v>0</v>
      </c>
      <c r="X16" s="117">
        <v>352.8</v>
      </c>
      <c r="Y16" s="117">
        <v>0</v>
      </c>
      <c r="Z16" s="117">
        <v>0</v>
      </c>
      <c r="AA16" s="123">
        <v>825.5</v>
      </c>
      <c r="AB16" s="123">
        <v>0</v>
      </c>
      <c r="AC16" s="123">
        <v>0</v>
      </c>
      <c r="AD16" s="117">
        <f>457.7+61.3</f>
        <v>519</v>
      </c>
      <c r="AE16" s="117">
        <v>0</v>
      </c>
      <c r="AF16" s="117">
        <v>0</v>
      </c>
      <c r="AG16" s="117">
        <v>301.60000000000002</v>
      </c>
      <c r="AH16" s="117"/>
      <c r="AI16" s="117"/>
      <c r="AJ16" s="123">
        <v>564.6</v>
      </c>
      <c r="AK16" s="123">
        <v>0</v>
      </c>
      <c r="AL16" s="123">
        <v>0</v>
      </c>
      <c r="AM16" s="117">
        <v>441.7</v>
      </c>
      <c r="AN16" s="117">
        <v>0</v>
      </c>
      <c r="AO16" s="117">
        <v>0</v>
      </c>
      <c r="AP16" s="117">
        <v>197</v>
      </c>
      <c r="AQ16" s="123"/>
      <c r="AR16" s="123"/>
      <c r="AS16" s="340"/>
      <c r="AT16" s="385"/>
      <c r="AU16" s="121"/>
      <c r="AV16" s="121"/>
      <c r="AW16" s="155"/>
    </row>
    <row r="17" spans="1:49" s="31" customFormat="1" ht="12.75">
      <c r="A17" s="365" t="s">
        <v>327</v>
      </c>
      <c r="B17" s="329" t="s">
        <v>328</v>
      </c>
      <c r="C17" s="332" t="s">
        <v>329</v>
      </c>
      <c r="D17" s="335" t="s">
        <v>330</v>
      </c>
      <c r="E17" s="107" t="s">
        <v>42</v>
      </c>
      <c r="F17" s="123">
        <f>SUM(F18:F20)</f>
        <v>77800</v>
      </c>
      <c r="G17" s="123">
        <f t="shared" ref="G17:P17" si="18">SUM(G18:G20)</f>
        <v>0</v>
      </c>
      <c r="H17" s="123">
        <f>G17/F17*100</f>
        <v>0</v>
      </c>
      <c r="I17" s="123">
        <f t="shared" si="18"/>
        <v>7091.6</v>
      </c>
      <c r="J17" s="123">
        <f t="shared" si="18"/>
        <v>0</v>
      </c>
      <c r="K17" s="123">
        <f>J17/I17*100</f>
        <v>0</v>
      </c>
      <c r="L17" s="123">
        <f t="shared" si="18"/>
        <v>7886.9</v>
      </c>
      <c r="M17" s="123">
        <f t="shared" si="18"/>
        <v>0</v>
      </c>
      <c r="N17" s="123">
        <f t="shared" si="11"/>
        <v>0</v>
      </c>
      <c r="O17" s="123">
        <f t="shared" si="18"/>
        <v>6038</v>
      </c>
      <c r="P17" s="123">
        <f t="shared" si="18"/>
        <v>0</v>
      </c>
      <c r="Q17" s="123">
        <f t="shared" si="12"/>
        <v>0</v>
      </c>
      <c r="R17" s="123">
        <f t="shared" ref="R17:AB17" si="19">SUM(R18:R20)</f>
        <v>6900</v>
      </c>
      <c r="S17" s="123">
        <f t="shared" si="19"/>
        <v>0</v>
      </c>
      <c r="T17" s="123">
        <f t="shared" si="13"/>
        <v>0</v>
      </c>
      <c r="U17" s="123">
        <f t="shared" si="19"/>
        <v>6826.3</v>
      </c>
      <c r="V17" s="123">
        <f t="shared" si="19"/>
        <v>0</v>
      </c>
      <c r="W17" s="123">
        <f t="shared" ref="W17" si="20">V17/U17*100</f>
        <v>0</v>
      </c>
      <c r="X17" s="123">
        <f t="shared" si="19"/>
        <v>7190.9</v>
      </c>
      <c r="Y17" s="123">
        <f t="shared" si="19"/>
        <v>0</v>
      </c>
      <c r="Z17" s="123">
        <f>Y17/X17*100</f>
        <v>0</v>
      </c>
      <c r="AA17" s="104">
        <f t="shared" si="19"/>
        <v>7431.5</v>
      </c>
      <c r="AB17" s="123">
        <f t="shared" si="19"/>
        <v>0</v>
      </c>
      <c r="AC17" s="123">
        <f>SUM(AC18:AC20)</f>
        <v>0</v>
      </c>
      <c r="AD17" s="104">
        <f t="shared" ref="AD17:AR17" si="21">SUM(AD18:AD20)</f>
        <v>6016.2</v>
      </c>
      <c r="AE17" s="104">
        <f t="shared" si="21"/>
        <v>0</v>
      </c>
      <c r="AF17" s="104">
        <f t="shared" si="6"/>
        <v>0</v>
      </c>
      <c r="AG17" s="104">
        <f t="shared" si="21"/>
        <v>5470</v>
      </c>
      <c r="AH17" s="123">
        <f t="shared" si="21"/>
        <v>0</v>
      </c>
      <c r="AI17" s="123">
        <f t="shared" si="21"/>
        <v>0</v>
      </c>
      <c r="AJ17" s="123">
        <f t="shared" si="21"/>
        <v>5540.8</v>
      </c>
      <c r="AK17" s="123">
        <f t="shared" si="21"/>
        <v>0</v>
      </c>
      <c r="AL17" s="123">
        <f t="shared" si="21"/>
        <v>0</v>
      </c>
      <c r="AM17" s="104">
        <f t="shared" si="21"/>
        <v>5036.7</v>
      </c>
      <c r="AN17" s="123">
        <f t="shared" si="21"/>
        <v>0</v>
      </c>
      <c r="AO17" s="123">
        <f t="shared" si="21"/>
        <v>0</v>
      </c>
      <c r="AP17" s="104">
        <f t="shared" si="21"/>
        <v>6371.1</v>
      </c>
      <c r="AQ17" s="123">
        <f t="shared" si="21"/>
        <v>0</v>
      </c>
      <c r="AR17" s="123">
        <f t="shared" si="21"/>
        <v>0</v>
      </c>
      <c r="AS17" s="338" t="s">
        <v>299</v>
      </c>
      <c r="AT17" s="383" t="s">
        <v>296</v>
      </c>
      <c r="AU17" s="121">
        <f t="shared" si="15"/>
        <v>60851.4</v>
      </c>
      <c r="AV17" s="121">
        <f t="shared" si="16"/>
        <v>0</v>
      </c>
      <c r="AW17" s="155">
        <f t="shared" si="17"/>
        <v>0</v>
      </c>
    </row>
    <row r="18" spans="1:49" s="31" customFormat="1" ht="36">
      <c r="A18" s="366"/>
      <c r="B18" s="330"/>
      <c r="C18" s="333"/>
      <c r="D18" s="336"/>
      <c r="E18" s="108" t="s">
        <v>3</v>
      </c>
      <c r="F18" s="123">
        <f>I18+L18+O18+R18+U18+X18+AA18+AD18+AG18+AJ18+AM18+AP18</f>
        <v>0</v>
      </c>
      <c r="G18" s="123">
        <f>J18+M18+P18+S18+V18+Y18+AB18+AE18+AH18+AK18+AN18+AQ18</f>
        <v>0</v>
      </c>
      <c r="H18" s="123">
        <v>0</v>
      </c>
      <c r="I18" s="104">
        <v>0</v>
      </c>
      <c r="J18" s="104">
        <v>0</v>
      </c>
      <c r="K18" s="123">
        <v>0</v>
      </c>
      <c r="L18" s="126">
        <v>0</v>
      </c>
      <c r="M18" s="104">
        <v>0</v>
      </c>
      <c r="N18" s="123">
        <v>0</v>
      </c>
      <c r="O18" s="104">
        <v>0</v>
      </c>
      <c r="P18" s="104">
        <v>0</v>
      </c>
      <c r="Q18" s="123">
        <v>0</v>
      </c>
      <c r="R18" s="104">
        <v>0</v>
      </c>
      <c r="S18" s="104">
        <v>0</v>
      </c>
      <c r="T18" s="123">
        <v>0</v>
      </c>
      <c r="U18" s="105">
        <v>0</v>
      </c>
      <c r="V18" s="105">
        <v>0</v>
      </c>
      <c r="W18" s="123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17">
        <v>0</v>
      </c>
      <c r="AD18" s="105">
        <v>0</v>
      </c>
      <c r="AE18" s="105">
        <v>0</v>
      </c>
      <c r="AF18" s="117">
        <v>0</v>
      </c>
      <c r="AG18" s="105">
        <v>0</v>
      </c>
      <c r="AH18" s="105">
        <v>0</v>
      </c>
      <c r="AI18" s="117">
        <v>0</v>
      </c>
      <c r="AJ18" s="104">
        <v>0</v>
      </c>
      <c r="AK18" s="104">
        <v>0</v>
      </c>
      <c r="AL18" s="104">
        <v>0</v>
      </c>
      <c r="AM18" s="105">
        <v>0</v>
      </c>
      <c r="AN18" s="105">
        <v>0</v>
      </c>
      <c r="AO18" s="105">
        <v>0</v>
      </c>
      <c r="AP18" s="104">
        <v>0</v>
      </c>
      <c r="AQ18" s="104"/>
      <c r="AR18" s="104"/>
      <c r="AS18" s="339"/>
      <c r="AT18" s="384"/>
      <c r="AU18" s="121">
        <f t="shared" si="15"/>
        <v>0</v>
      </c>
      <c r="AV18" s="121">
        <f t="shared" si="16"/>
        <v>0</v>
      </c>
      <c r="AW18" s="155" t="e">
        <f t="shared" si="17"/>
        <v>#DIV/0!</v>
      </c>
    </row>
    <row r="19" spans="1:49" s="31" customFormat="1" ht="12.75">
      <c r="A19" s="366"/>
      <c r="B19" s="330"/>
      <c r="C19" s="333"/>
      <c r="D19" s="336"/>
      <c r="E19" s="108" t="s">
        <v>44</v>
      </c>
      <c r="F19" s="123">
        <f t="shared" ref="F19:F20" si="22">I19+L19+O19+R19+U19+X19+AA19+AD19+AG19+AJ19+AM19+AP19</f>
        <v>77800</v>
      </c>
      <c r="G19" s="123">
        <f t="shared" ref="G19:G20" si="23">J19+M19+P19+S19+V19+Y19+AB19+AE19+AH19+AK19+AN19+AQ19</f>
        <v>0</v>
      </c>
      <c r="H19" s="123">
        <v>0</v>
      </c>
      <c r="I19" s="123">
        <v>7091.6</v>
      </c>
      <c r="J19" s="123">
        <v>0</v>
      </c>
      <c r="K19" s="123">
        <v>0</v>
      </c>
      <c r="L19" s="123">
        <v>7886.9</v>
      </c>
      <c r="M19" s="123">
        <v>0</v>
      </c>
      <c r="N19" s="123">
        <v>0</v>
      </c>
      <c r="O19" s="123">
        <v>6038</v>
      </c>
      <c r="P19" s="123">
        <v>0</v>
      </c>
      <c r="Q19" s="123">
        <v>0</v>
      </c>
      <c r="R19" s="123">
        <v>6900</v>
      </c>
      <c r="S19" s="123">
        <v>0</v>
      </c>
      <c r="T19" s="123">
        <v>0</v>
      </c>
      <c r="U19" s="117">
        <v>6826.3</v>
      </c>
      <c r="V19" s="117">
        <v>0</v>
      </c>
      <c r="W19" s="117">
        <v>0</v>
      </c>
      <c r="X19" s="117">
        <v>7190.9</v>
      </c>
      <c r="Y19" s="117">
        <v>0</v>
      </c>
      <c r="Z19" s="117">
        <v>0</v>
      </c>
      <c r="AA19" s="123">
        <v>7431.5</v>
      </c>
      <c r="AB19" s="123">
        <v>0</v>
      </c>
      <c r="AC19" s="123">
        <v>0</v>
      </c>
      <c r="AD19" s="117">
        <v>6016.2</v>
      </c>
      <c r="AE19" s="117">
        <v>0</v>
      </c>
      <c r="AF19" s="117">
        <v>0</v>
      </c>
      <c r="AG19" s="117">
        <v>5470</v>
      </c>
      <c r="AH19" s="117">
        <v>0</v>
      </c>
      <c r="AI19" s="117">
        <v>0</v>
      </c>
      <c r="AJ19" s="123">
        <v>5540.8</v>
      </c>
      <c r="AK19" s="123">
        <v>0</v>
      </c>
      <c r="AL19" s="123">
        <v>0</v>
      </c>
      <c r="AM19" s="117">
        <v>5036.7</v>
      </c>
      <c r="AN19" s="117">
        <v>0</v>
      </c>
      <c r="AO19" s="117">
        <v>0</v>
      </c>
      <c r="AP19" s="117">
        <v>6371.1</v>
      </c>
      <c r="AQ19" s="123"/>
      <c r="AR19" s="123"/>
      <c r="AS19" s="339"/>
      <c r="AT19" s="384"/>
      <c r="AU19" s="121"/>
      <c r="AV19" s="121"/>
      <c r="AW19" s="155"/>
    </row>
    <row r="20" spans="1:49" s="31" customFormat="1" ht="63" customHeight="1">
      <c r="A20" s="367"/>
      <c r="B20" s="331"/>
      <c r="C20" s="334"/>
      <c r="D20" s="337"/>
      <c r="E20" s="109" t="s">
        <v>257</v>
      </c>
      <c r="F20" s="123">
        <f t="shared" si="22"/>
        <v>0</v>
      </c>
      <c r="G20" s="123">
        <f t="shared" si="23"/>
        <v>0</v>
      </c>
      <c r="H20" s="123">
        <v>0</v>
      </c>
      <c r="I20" s="104">
        <v>0</v>
      </c>
      <c r="J20" s="104">
        <v>0</v>
      </c>
      <c r="K20" s="123">
        <v>0</v>
      </c>
      <c r="L20" s="126">
        <v>0</v>
      </c>
      <c r="M20" s="104">
        <v>0</v>
      </c>
      <c r="N20" s="123">
        <v>0</v>
      </c>
      <c r="O20" s="104">
        <v>0</v>
      </c>
      <c r="P20" s="104">
        <v>0</v>
      </c>
      <c r="Q20" s="123">
        <v>0</v>
      </c>
      <c r="R20" s="104">
        <v>0</v>
      </c>
      <c r="S20" s="104">
        <v>0</v>
      </c>
      <c r="T20" s="123">
        <v>0</v>
      </c>
      <c r="U20" s="105">
        <v>0</v>
      </c>
      <c r="V20" s="105">
        <v>0</v>
      </c>
      <c r="W20" s="123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17">
        <v>0</v>
      </c>
      <c r="AD20" s="105">
        <v>0</v>
      </c>
      <c r="AE20" s="105">
        <v>0</v>
      </c>
      <c r="AF20" s="117">
        <v>0</v>
      </c>
      <c r="AG20" s="105">
        <v>0</v>
      </c>
      <c r="AH20" s="105">
        <v>0</v>
      </c>
      <c r="AI20" s="117">
        <v>0</v>
      </c>
      <c r="AJ20" s="104">
        <v>0</v>
      </c>
      <c r="AK20" s="104">
        <v>0</v>
      </c>
      <c r="AL20" s="104">
        <v>0</v>
      </c>
      <c r="AM20" s="105">
        <v>0</v>
      </c>
      <c r="AN20" s="105">
        <v>0</v>
      </c>
      <c r="AO20" s="105">
        <v>0</v>
      </c>
      <c r="AP20" s="104">
        <v>0</v>
      </c>
      <c r="AQ20" s="104">
        <v>0</v>
      </c>
      <c r="AR20" s="104">
        <v>0</v>
      </c>
      <c r="AS20" s="340"/>
      <c r="AT20" s="385"/>
      <c r="AU20" s="121">
        <f t="shared" si="15"/>
        <v>0</v>
      </c>
      <c r="AV20" s="121">
        <f t="shared" si="16"/>
        <v>0</v>
      </c>
      <c r="AW20" s="155" t="e">
        <f t="shared" si="17"/>
        <v>#DIV/0!</v>
      </c>
    </row>
    <row r="21" spans="1:49" s="31" customFormat="1" ht="74.25" customHeight="1">
      <c r="A21" s="157" t="s">
        <v>331</v>
      </c>
      <c r="B21" s="164" t="s">
        <v>332</v>
      </c>
      <c r="C21" s="158" t="s">
        <v>333</v>
      </c>
      <c r="D21" s="169" t="s">
        <v>346</v>
      </c>
      <c r="E21" s="143" t="s">
        <v>275</v>
      </c>
      <c r="F21" s="149" t="s">
        <v>279</v>
      </c>
      <c r="G21" s="149" t="s">
        <v>279</v>
      </c>
      <c r="H21" s="149" t="s">
        <v>279</v>
      </c>
      <c r="I21" s="149" t="s">
        <v>279</v>
      </c>
      <c r="J21" s="149" t="s">
        <v>279</v>
      </c>
      <c r="K21" s="149" t="s">
        <v>279</v>
      </c>
      <c r="L21" s="149" t="s">
        <v>279</v>
      </c>
      <c r="M21" s="149" t="s">
        <v>279</v>
      </c>
      <c r="N21" s="149" t="s">
        <v>279</v>
      </c>
      <c r="O21" s="149" t="s">
        <v>279</v>
      </c>
      <c r="P21" s="149" t="s">
        <v>279</v>
      </c>
      <c r="Q21" s="149" t="s">
        <v>279</v>
      </c>
      <c r="R21" s="149" t="s">
        <v>279</v>
      </c>
      <c r="S21" s="149" t="s">
        <v>279</v>
      </c>
      <c r="T21" s="149" t="s">
        <v>279</v>
      </c>
      <c r="U21" s="149" t="s">
        <v>279</v>
      </c>
      <c r="V21" s="149" t="s">
        <v>279</v>
      </c>
      <c r="W21" s="149" t="s">
        <v>279</v>
      </c>
      <c r="X21" s="149" t="s">
        <v>279</v>
      </c>
      <c r="Y21" s="149" t="s">
        <v>279</v>
      </c>
      <c r="Z21" s="149" t="s">
        <v>279</v>
      </c>
      <c r="AA21" s="149" t="s">
        <v>279</v>
      </c>
      <c r="AB21" s="149" t="s">
        <v>279</v>
      </c>
      <c r="AC21" s="149" t="s">
        <v>279</v>
      </c>
      <c r="AD21" s="149" t="s">
        <v>279</v>
      </c>
      <c r="AE21" s="149" t="s">
        <v>279</v>
      </c>
      <c r="AF21" s="149" t="s">
        <v>279</v>
      </c>
      <c r="AG21" s="149" t="s">
        <v>279</v>
      </c>
      <c r="AH21" s="149" t="s">
        <v>279</v>
      </c>
      <c r="AI21" s="149" t="s">
        <v>279</v>
      </c>
      <c r="AJ21" s="149" t="s">
        <v>279</v>
      </c>
      <c r="AK21" s="149" t="s">
        <v>279</v>
      </c>
      <c r="AL21" s="149" t="s">
        <v>279</v>
      </c>
      <c r="AM21" s="149" t="s">
        <v>279</v>
      </c>
      <c r="AN21" s="149" t="s">
        <v>279</v>
      </c>
      <c r="AO21" s="149" t="s">
        <v>279</v>
      </c>
      <c r="AP21" s="149" t="s">
        <v>279</v>
      </c>
      <c r="AQ21" s="149" t="s">
        <v>279</v>
      </c>
      <c r="AR21" s="149" t="s">
        <v>279</v>
      </c>
      <c r="AS21" s="163" t="s">
        <v>319</v>
      </c>
      <c r="AT21" s="167" t="s">
        <v>297</v>
      </c>
      <c r="AU21" s="121" t="e">
        <f t="shared" ref="AU21" si="24">I21+L21+O21+R21+U21+X21+AA21+AD21+AG21</f>
        <v>#VALUE!</v>
      </c>
      <c r="AV21" s="121" t="e">
        <f t="shared" ref="AV21" si="25">J21+M21+P21+S21+V21+Y21+AB21+AE21+AH21</f>
        <v>#VALUE!</v>
      </c>
      <c r="AW21" s="155" t="e">
        <f t="shared" ref="AW21" si="26">AV21/AU21*100</f>
        <v>#VALUE!</v>
      </c>
    </row>
    <row r="22" spans="1:49" s="31" customFormat="1" ht="12.75">
      <c r="A22" s="365" t="s">
        <v>334</v>
      </c>
      <c r="B22" s="329" t="s">
        <v>335</v>
      </c>
      <c r="C22" s="332" t="s">
        <v>268</v>
      </c>
      <c r="D22" s="335" t="s">
        <v>336</v>
      </c>
      <c r="E22" s="107" t="s">
        <v>42</v>
      </c>
      <c r="F22" s="123">
        <f>SUM(F23:F24)</f>
        <v>3987.3</v>
      </c>
      <c r="G22" s="123">
        <f>SUM(G23:G24)</f>
        <v>0</v>
      </c>
      <c r="H22" s="123">
        <f>G22/F22*100</f>
        <v>0</v>
      </c>
      <c r="I22" s="123">
        <f>SUM(I23:I24)</f>
        <v>326</v>
      </c>
      <c r="J22" s="123">
        <f>SUM(J23:J24)</f>
        <v>0</v>
      </c>
      <c r="K22" s="123">
        <f t="shared" ref="K22" si="27">J22/I22*100</f>
        <v>0</v>
      </c>
      <c r="L22" s="123">
        <f>SUM(L23:L24)</f>
        <v>326</v>
      </c>
      <c r="M22" s="123">
        <f>SUM(M23:M24)</f>
        <v>0</v>
      </c>
      <c r="N22" s="123">
        <f t="shared" si="11"/>
        <v>0</v>
      </c>
      <c r="O22" s="123">
        <f>SUM(O23:O24)</f>
        <v>326</v>
      </c>
      <c r="P22" s="123">
        <f>SUM(P23:P24)</f>
        <v>0</v>
      </c>
      <c r="Q22" s="123">
        <f t="shared" si="12"/>
        <v>0</v>
      </c>
      <c r="R22" s="123">
        <f>SUM(R23:R24)</f>
        <v>326</v>
      </c>
      <c r="S22" s="123">
        <f>SUM(S23:S24)</f>
        <v>0</v>
      </c>
      <c r="T22" s="123">
        <f t="shared" si="13"/>
        <v>0</v>
      </c>
      <c r="U22" s="123">
        <f>SUM(U23:U24)</f>
        <v>326</v>
      </c>
      <c r="V22" s="123">
        <f>SUM(V23:V24)</f>
        <v>0</v>
      </c>
      <c r="W22" s="123">
        <f t="shared" ref="W22" si="28">V22/U22*100</f>
        <v>0</v>
      </c>
      <c r="X22" s="123">
        <f t="shared" ref="X22:AE22" si="29">SUM(X23:X24)</f>
        <v>326</v>
      </c>
      <c r="Y22" s="123">
        <f t="shared" si="29"/>
        <v>0</v>
      </c>
      <c r="Z22" s="123">
        <f t="shared" si="29"/>
        <v>0</v>
      </c>
      <c r="AA22" s="104">
        <f t="shared" si="29"/>
        <v>326</v>
      </c>
      <c r="AB22" s="123">
        <f t="shared" si="29"/>
        <v>0</v>
      </c>
      <c r="AC22" s="123">
        <f t="shared" si="29"/>
        <v>0</v>
      </c>
      <c r="AD22" s="104">
        <f t="shared" si="29"/>
        <v>326</v>
      </c>
      <c r="AE22" s="104">
        <f t="shared" si="29"/>
        <v>0</v>
      </c>
      <c r="AF22" s="104">
        <f t="shared" si="6"/>
        <v>0</v>
      </c>
      <c r="AG22" s="104">
        <f t="shared" ref="AG22:AR22" si="30">SUM(AG23:AG24)</f>
        <v>326</v>
      </c>
      <c r="AH22" s="123">
        <f t="shared" si="30"/>
        <v>0</v>
      </c>
      <c r="AI22" s="123">
        <f t="shared" si="30"/>
        <v>0</v>
      </c>
      <c r="AJ22" s="123">
        <f t="shared" si="30"/>
        <v>326</v>
      </c>
      <c r="AK22" s="123">
        <f t="shared" si="30"/>
        <v>0</v>
      </c>
      <c r="AL22" s="123">
        <f t="shared" si="30"/>
        <v>0</v>
      </c>
      <c r="AM22" s="104">
        <f t="shared" si="30"/>
        <v>326</v>
      </c>
      <c r="AN22" s="123">
        <f t="shared" si="30"/>
        <v>0</v>
      </c>
      <c r="AO22" s="123">
        <f t="shared" si="30"/>
        <v>0</v>
      </c>
      <c r="AP22" s="104">
        <f t="shared" si="30"/>
        <v>401.3</v>
      </c>
      <c r="AQ22" s="123">
        <f t="shared" si="30"/>
        <v>0</v>
      </c>
      <c r="AR22" s="123">
        <f t="shared" si="30"/>
        <v>0</v>
      </c>
      <c r="AS22" s="338" t="s">
        <v>319</v>
      </c>
      <c r="AT22" s="341" t="s">
        <v>297</v>
      </c>
      <c r="AU22" s="121">
        <f t="shared" si="15"/>
        <v>2934</v>
      </c>
      <c r="AV22" s="121">
        <f t="shared" si="16"/>
        <v>0</v>
      </c>
      <c r="AW22" s="155">
        <f t="shared" si="17"/>
        <v>0</v>
      </c>
    </row>
    <row r="23" spans="1:49" s="31" customFormat="1" ht="36">
      <c r="A23" s="366"/>
      <c r="B23" s="330"/>
      <c r="C23" s="333"/>
      <c r="D23" s="336"/>
      <c r="E23" s="108" t="s">
        <v>3</v>
      </c>
      <c r="F23" s="123">
        <f>I23+L23+O23+R23+U23+X23+AA23+AD23+AG23+AJ23+AM23+AP23</f>
        <v>0</v>
      </c>
      <c r="G23" s="123">
        <f>J23+M23+P23+S23+V23+Y23+AB23+AE23+AH23+AK23+AN23+AQ23</f>
        <v>0</v>
      </c>
      <c r="H23" s="123">
        <v>0</v>
      </c>
      <c r="I23" s="104">
        <v>0</v>
      </c>
      <c r="J23" s="104">
        <v>0</v>
      </c>
      <c r="K23" s="123">
        <v>0</v>
      </c>
      <c r="L23" s="126">
        <v>0</v>
      </c>
      <c r="M23" s="104">
        <v>0</v>
      </c>
      <c r="N23" s="123">
        <v>0</v>
      </c>
      <c r="O23" s="104">
        <v>0</v>
      </c>
      <c r="P23" s="104">
        <v>0</v>
      </c>
      <c r="Q23" s="123">
        <v>0</v>
      </c>
      <c r="R23" s="104">
        <v>0</v>
      </c>
      <c r="S23" s="104">
        <v>0</v>
      </c>
      <c r="T23" s="123">
        <v>0</v>
      </c>
      <c r="U23" s="105">
        <v>0</v>
      </c>
      <c r="V23" s="105">
        <v>0</v>
      </c>
      <c r="W23" s="123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17">
        <v>0</v>
      </c>
      <c r="AD23" s="105">
        <v>0</v>
      </c>
      <c r="AE23" s="105">
        <v>0</v>
      </c>
      <c r="AF23" s="117">
        <v>0</v>
      </c>
      <c r="AG23" s="105">
        <v>0</v>
      </c>
      <c r="AH23" s="105">
        <v>0</v>
      </c>
      <c r="AI23" s="117">
        <v>0</v>
      </c>
      <c r="AJ23" s="104">
        <v>0</v>
      </c>
      <c r="AK23" s="104">
        <v>0</v>
      </c>
      <c r="AL23" s="104">
        <v>0</v>
      </c>
      <c r="AM23" s="105">
        <v>0</v>
      </c>
      <c r="AN23" s="105">
        <v>0</v>
      </c>
      <c r="AO23" s="105">
        <v>0</v>
      </c>
      <c r="AP23" s="104">
        <v>0</v>
      </c>
      <c r="AQ23" s="104"/>
      <c r="AR23" s="104"/>
      <c r="AS23" s="339"/>
      <c r="AT23" s="342"/>
      <c r="AU23" s="121">
        <f t="shared" si="15"/>
        <v>0</v>
      </c>
      <c r="AV23" s="121">
        <f t="shared" si="16"/>
        <v>0</v>
      </c>
      <c r="AW23" s="155" t="e">
        <f t="shared" si="17"/>
        <v>#DIV/0!</v>
      </c>
    </row>
    <row r="24" spans="1:49" s="31" customFormat="1" ht="12.75">
      <c r="A24" s="366"/>
      <c r="B24" s="330"/>
      <c r="C24" s="333"/>
      <c r="D24" s="336"/>
      <c r="E24" s="108" t="s">
        <v>44</v>
      </c>
      <c r="F24" s="123">
        <f t="shared" ref="F24" si="31">I24+L24+O24+R24+U24+X24+AA24+AD24+AG24+AJ24+AM24+AP24</f>
        <v>3987.3</v>
      </c>
      <c r="G24" s="123">
        <f t="shared" ref="G24" si="32">J24+M24+P24+S24+V24+Y24+AB24+AE24+AH24+AK24+AN24+AQ24</f>
        <v>0</v>
      </c>
      <c r="H24" s="123">
        <v>0</v>
      </c>
      <c r="I24" s="123">
        <v>326</v>
      </c>
      <c r="J24" s="123">
        <v>0</v>
      </c>
      <c r="K24" s="123">
        <v>0</v>
      </c>
      <c r="L24" s="123">
        <v>326</v>
      </c>
      <c r="M24" s="123">
        <v>0</v>
      </c>
      <c r="N24" s="123">
        <v>0</v>
      </c>
      <c r="O24" s="123">
        <v>326</v>
      </c>
      <c r="P24" s="123">
        <v>0</v>
      </c>
      <c r="Q24" s="123">
        <v>0</v>
      </c>
      <c r="R24" s="123">
        <v>326</v>
      </c>
      <c r="S24" s="123">
        <v>0</v>
      </c>
      <c r="T24" s="123">
        <v>0</v>
      </c>
      <c r="U24" s="117">
        <v>326</v>
      </c>
      <c r="V24" s="117">
        <v>0</v>
      </c>
      <c r="W24" s="117">
        <v>0</v>
      </c>
      <c r="X24" s="117">
        <v>326</v>
      </c>
      <c r="Y24" s="117">
        <v>0</v>
      </c>
      <c r="Z24" s="117">
        <v>0</v>
      </c>
      <c r="AA24" s="123">
        <v>326</v>
      </c>
      <c r="AB24" s="123">
        <v>0</v>
      </c>
      <c r="AC24" s="123">
        <v>0</v>
      </c>
      <c r="AD24" s="117">
        <v>326</v>
      </c>
      <c r="AE24" s="117">
        <v>0</v>
      </c>
      <c r="AF24" s="117">
        <v>0</v>
      </c>
      <c r="AG24" s="117">
        <v>326</v>
      </c>
      <c r="AH24" s="117">
        <v>0</v>
      </c>
      <c r="AI24" s="117"/>
      <c r="AJ24" s="123">
        <v>326</v>
      </c>
      <c r="AK24" s="123">
        <v>0</v>
      </c>
      <c r="AL24" s="123">
        <v>0</v>
      </c>
      <c r="AM24" s="117">
        <v>326</v>
      </c>
      <c r="AN24" s="117">
        <v>0</v>
      </c>
      <c r="AO24" s="117">
        <v>0</v>
      </c>
      <c r="AP24" s="117">
        <v>401.3</v>
      </c>
      <c r="AQ24" s="123"/>
      <c r="AR24" s="123"/>
      <c r="AS24" s="339"/>
      <c r="AT24" s="342"/>
      <c r="AU24" s="121"/>
      <c r="AV24" s="121"/>
      <c r="AW24" s="155"/>
    </row>
    <row r="25" spans="1:49" s="31" customFormat="1" ht="12.75">
      <c r="A25" s="365" t="s">
        <v>337</v>
      </c>
      <c r="B25" s="329" t="s">
        <v>338</v>
      </c>
      <c r="C25" s="332" t="s">
        <v>339</v>
      </c>
      <c r="D25" s="335" t="s">
        <v>340</v>
      </c>
      <c r="E25" s="107" t="s">
        <v>42</v>
      </c>
      <c r="F25" s="123">
        <f>SUM(F26:F28)</f>
        <v>5215.6000000000004</v>
      </c>
      <c r="G25" s="123">
        <f t="shared" ref="G25:P25" si="33">SUM(G26:G28)</f>
        <v>0</v>
      </c>
      <c r="H25" s="123">
        <f>G25/F25*100</f>
        <v>0</v>
      </c>
      <c r="I25" s="123">
        <f t="shared" si="33"/>
        <v>208.8</v>
      </c>
      <c r="J25" s="123">
        <f t="shared" si="33"/>
        <v>0</v>
      </c>
      <c r="K25" s="123">
        <f t="shared" si="33"/>
        <v>0</v>
      </c>
      <c r="L25" s="123">
        <f t="shared" si="33"/>
        <v>384.9</v>
      </c>
      <c r="M25" s="123">
        <f t="shared" si="33"/>
        <v>0</v>
      </c>
      <c r="N25" s="123">
        <v>0</v>
      </c>
      <c r="O25" s="123">
        <f t="shared" si="33"/>
        <v>1039.2</v>
      </c>
      <c r="P25" s="123">
        <f t="shared" si="33"/>
        <v>0</v>
      </c>
      <c r="Q25" s="123">
        <v>0</v>
      </c>
      <c r="R25" s="123">
        <f t="shared" ref="R25:Z25" si="34">SUM(R26:R28)</f>
        <v>353</v>
      </c>
      <c r="S25" s="123">
        <f t="shared" si="34"/>
        <v>0</v>
      </c>
      <c r="T25" s="123">
        <v>0</v>
      </c>
      <c r="U25" s="123">
        <f t="shared" si="34"/>
        <v>378</v>
      </c>
      <c r="V25" s="123">
        <f t="shared" si="34"/>
        <v>0</v>
      </c>
      <c r="W25" s="123">
        <f t="shared" si="34"/>
        <v>0</v>
      </c>
      <c r="X25" s="123">
        <f t="shared" si="34"/>
        <v>416.5</v>
      </c>
      <c r="Y25" s="123">
        <f t="shared" si="34"/>
        <v>0</v>
      </c>
      <c r="Z25" s="123">
        <f t="shared" si="34"/>
        <v>0</v>
      </c>
      <c r="AA25" s="104">
        <f t="shared" ref="AA25:AB25" si="35">SUM(AA26:AA28)</f>
        <v>482.40000000000003</v>
      </c>
      <c r="AB25" s="123">
        <f t="shared" si="35"/>
        <v>0</v>
      </c>
      <c r="AC25" s="123">
        <f>SUM(AC26:AC28)</f>
        <v>0</v>
      </c>
      <c r="AD25" s="104">
        <f t="shared" ref="AD25:AR25" si="36">SUM(AD26:AD28)</f>
        <v>451.1</v>
      </c>
      <c r="AE25" s="104">
        <f t="shared" si="36"/>
        <v>0</v>
      </c>
      <c r="AF25" s="104">
        <f t="shared" si="6"/>
        <v>0</v>
      </c>
      <c r="AG25" s="104">
        <f t="shared" si="36"/>
        <v>471.79999999999995</v>
      </c>
      <c r="AH25" s="123">
        <f t="shared" si="36"/>
        <v>0</v>
      </c>
      <c r="AI25" s="104">
        <f t="shared" ref="AI25" si="37">AH25/AG25*100</f>
        <v>0</v>
      </c>
      <c r="AJ25" s="123">
        <f t="shared" si="36"/>
        <v>517.1</v>
      </c>
      <c r="AK25" s="123">
        <f t="shared" si="36"/>
        <v>0</v>
      </c>
      <c r="AL25" s="123">
        <f t="shared" si="36"/>
        <v>0</v>
      </c>
      <c r="AM25" s="104">
        <f t="shared" si="36"/>
        <v>227.5</v>
      </c>
      <c r="AN25" s="123">
        <f t="shared" si="36"/>
        <v>0</v>
      </c>
      <c r="AO25" s="123">
        <f t="shared" si="36"/>
        <v>0</v>
      </c>
      <c r="AP25" s="104">
        <f t="shared" si="36"/>
        <v>285.3</v>
      </c>
      <c r="AQ25" s="123">
        <f t="shared" si="36"/>
        <v>0</v>
      </c>
      <c r="AR25" s="123">
        <f t="shared" si="36"/>
        <v>0</v>
      </c>
      <c r="AS25" s="338" t="s">
        <v>318</v>
      </c>
      <c r="AT25" s="347"/>
      <c r="AU25" s="121">
        <f t="shared" si="15"/>
        <v>4185.7</v>
      </c>
      <c r="AV25" s="121">
        <f t="shared" si="16"/>
        <v>0</v>
      </c>
      <c r="AW25" s="155">
        <f t="shared" si="17"/>
        <v>0</v>
      </c>
    </row>
    <row r="26" spans="1:49" s="31" customFormat="1" ht="36">
      <c r="A26" s="366"/>
      <c r="B26" s="330"/>
      <c r="C26" s="333"/>
      <c r="D26" s="336"/>
      <c r="E26" s="108" t="s">
        <v>3</v>
      </c>
      <c r="F26" s="123">
        <f>I26+L26+O26+R26+U26+X26+AA26+AD26+AG26+AJ26+AM26+AP26</f>
        <v>2547.4</v>
      </c>
      <c r="G26" s="123">
        <f>J26+M26+P26+S26+V26+Y26+AB26+AE26+AH26+AK26+AN26+AQ26</f>
        <v>0</v>
      </c>
      <c r="H26" s="123">
        <f>G26/F26*100</f>
        <v>0</v>
      </c>
      <c r="I26" s="104">
        <v>0</v>
      </c>
      <c r="J26" s="104">
        <v>0</v>
      </c>
      <c r="K26" s="104">
        <v>0</v>
      </c>
      <c r="L26" s="126">
        <v>124.5</v>
      </c>
      <c r="M26" s="104">
        <v>0</v>
      </c>
      <c r="N26" s="123">
        <v>0</v>
      </c>
      <c r="O26" s="104">
        <f>124.5+697.2</f>
        <v>821.7</v>
      </c>
      <c r="P26" s="104">
        <v>0</v>
      </c>
      <c r="Q26" s="123">
        <v>0</v>
      </c>
      <c r="R26" s="104">
        <v>124.5</v>
      </c>
      <c r="S26" s="104">
        <v>0</v>
      </c>
      <c r="T26" s="123">
        <v>0</v>
      </c>
      <c r="U26" s="105">
        <v>141.4</v>
      </c>
      <c r="V26" s="105">
        <v>0</v>
      </c>
      <c r="W26" s="105">
        <v>0</v>
      </c>
      <c r="X26" s="105">
        <v>141.4</v>
      </c>
      <c r="Y26" s="105">
        <v>0</v>
      </c>
      <c r="Z26" s="105">
        <f>Y26/X26*100</f>
        <v>0</v>
      </c>
      <c r="AA26" s="105">
        <v>165.8</v>
      </c>
      <c r="AB26" s="105">
        <v>0</v>
      </c>
      <c r="AC26" s="105">
        <f>AB26/AA26*100</f>
        <v>0</v>
      </c>
      <c r="AD26" s="105">
        <v>165.8</v>
      </c>
      <c r="AE26" s="105">
        <v>0</v>
      </c>
      <c r="AF26" s="105">
        <f>AE26/AD26*100</f>
        <v>0</v>
      </c>
      <c r="AG26" s="105">
        <f>140.5+50+72.7</f>
        <v>263.2</v>
      </c>
      <c r="AH26" s="105">
        <v>0</v>
      </c>
      <c r="AI26" s="105">
        <f>AH26/AG26*100</f>
        <v>0</v>
      </c>
      <c r="AJ26" s="104">
        <v>235.9</v>
      </c>
      <c r="AK26" s="104">
        <v>0</v>
      </c>
      <c r="AL26" s="104">
        <v>0</v>
      </c>
      <c r="AM26" s="105">
        <v>143.19999999999999</v>
      </c>
      <c r="AN26" s="105">
        <v>0</v>
      </c>
      <c r="AO26" s="105">
        <v>0</v>
      </c>
      <c r="AP26" s="104">
        <v>220</v>
      </c>
      <c r="AQ26" s="104"/>
      <c r="AR26" s="104"/>
      <c r="AS26" s="339"/>
      <c r="AT26" s="348"/>
      <c r="AU26" s="121">
        <f t="shared" si="15"/>
        <v>1948.3000000000002</v>
      </c>
      <c r="AV26" s="121">
        <f t="shared" si="16"/>
        <v>0</v>
      </c>
      <c r="AW26" s="155">
        <f t="shared" si="17"/>
        <v>0</v>
      </c>
    </row>
    <row r="27" spans="1:49" s="31" customFormat="1" ht="12.75">
      <c r="A27" s="366"/>
      <c r="B27" s="330"/>
      <c r="C27" s="333"/>
      <c r="D27" s="336"/>
      <c r="E27" s="108" t="s">
        <v>44</v>
      </c>
      <c r="F27" s="123">
        <f t="shared" ref="F27:F28" si="38">I27+L27+O27+R27+U27+X27+AA27+AD27+AG27+AJ27+AM27+AP27</f>
        <v>2668.2000000000003</v>
      </c>
      <c r="G27" s="123">
        <f t="shared" ref="G27:G28" si="39">J27+M27+P27+S27+V27+Y27+AB27+AE27+AH27+AK27+AN27+AQ27</f>
        <v>0</v>
      </c>
      <c r="H27" s="123">
        <v>0</v>
      </c>
      <c r="I27" s="123">
        <v>208.8</v>
      </c>
      <c r="J27" s="123">
        <v>0</v>
      </c>
      <c r="K27" s="123">
        <v>0</v>
      </c>
      <c r="L27" s="123">
        <v>260.39999999999998</v>
      </c>
      <c r="M27" s="123">
        <v>0</v>
      </c>
      <c r="N27" s="123">
        <v>0</v>
      </c>
      <c r="O27" s="123">
        <v>217.5</v>
      </c>
      <c r="P27" s="123">
        <v>0</v>
      </c>
      <c r="Q27" s="123">
        <v>0</v>
      </c>
      <c r="R27" s="123">
        <v>228.5</v>
      </c>
      <c r="S27" s="123">
        <v>0</v>
      </c>
      <c r="T27" s="123">
        <v>0</v>
      </c>
      <c r="U27" s="117">
        <v>236.6</v>
      </c>
      <c r="V27" s="117">
        <v>0</v>
      </c>
      <c r="W27" s="117">
        <v>0</v>
      </c>
      <c r="X27" s="117">
        <v>275.10000000000002</v>
      </c>
      <c r="Y27" s="117">
        <v>0</v>
      </c>
      <c r="Z27" s="117">
        <v>0</v>
      </c>
      <c r="AA27" s="123">
        <v>316.60000000000002</v>
      </c>
      <c r="AB27" s="123">
        <v>0</v>
      </c>
      <c r="AC27" s="123">
        <v>0</v>
      </c>
      <c r="AD27" s="117">
        <v>285.3</v>
      </c>
      <c r="AE27" s="117">
        <v>0</v>
      </c>
      <c r="AF27" s="117">
        <v>0</v>
      </c>
      <c r="AG27" s="117">
        <v>208.6</v>
      </c>
      <c r="AH27" s="117">
        <v>0</v>
      </c>
      <c r="AI27" s="117">
        <v>0</v>
      </c>
      <c r="AJ27" s="123">
        <v>281.2</v>
      </c>
      <c r="AK27" s="123">
        <v>0</v>
      </c>
      <c r="AL27" s="123">
        <v>0</v>
      </c>
      <c r="AM27" s="117">
        <v>84.3</v>
      </c>
      <c r="AN27" s="117">
        <v>0</v>
      </c>
      <c r="AO27" s="117">
        <v>0</v>
      </c>
      <c r="AP27" s="117">
        <v>65.3</v>
      </c>
      <c r="AQ27" s="123"/>
      <c r="AR27" s="123"/>
      <c r="AS27" s="339"/>
      <c r="AT27" s="348"/>
      <c r="AU27" s="121"/>
      <c r="AV27" s="121"/>
      <c r="AW27" s="155"/>
    </row>
    <row r="28" spans="1:49" s="31" customFormat="1" ht="27" customHeight="1">
      <c r="A28" s="367"/>
      <c r="B28" s="331"/>
      <c r="C28" s="334"/>
      <c r="D28" s="337"/>
      <c r="E28" s="109" t="s">
        <v>257</v>
      </c>
      <c r="F28" s="123">
        <f t="shared" si="38"/>
        <v>0</v>
      </c>
      <c r="G28" s="123">
        <f t="shared" si="39"/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23">
        <v>0</v>
      </c>
      <c r="AB28" s="123">
        <v>0</v>
      </c>
      <c r="AC28" s="123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23">
        <v>0</v>
      </c>
      <c r="AK28" s="123">
        <v>0</v>
      </c>
      <c r="AL28" s="123">
        <v>0</v>
      </c>
      <c r="AM28" s="117">
        <v>0</v>
      </c>
      <c r="AN28" s="117">
        <v>0</v>
      </c>
      <c r="AO28" s="117">
        <v>0</v>
      </c>
      <c r="AP28" s="117">
        <v>0</v>
      </c>
      <c r="AQ28" s="123"/>
      <c r="AR28" s="123"/>
      <c r="AS28" s="340"/>
      <c r="AT28" s="349"/>
      <c r="AU28" s="121"/>
      <c r="AV28" s="121"/>
      <c r="AW28" s="155"/>
    </row>
    <row r="29" spans="1:49" s="31" customFormat="1" ht="21" customHeight="1">
      <c r="A29" s="365" t="s">
        <v>341</v>
      </c>
      <c r="B29" s="329" t="s">
        <v>342</v>
      </c>
      <c r="C29" s="332" t="s">
        <v>268</v>
      </c>
      <c r="D29" s="335" t="s">
        <v>343</v>
      </c>
      <c r="E29" s="107" t="s">
        <v>42</v>
      </c>
      <c r="F29" s="123">
        <f>SUM(F30:F31)</f>
        <v>150</v>
      </c>
      <c r="G29" s="123">
        <f>SUM(G30:G31)</f>
        <v>0</v>
      </c>
      <c r="H29" s="123">
        <f>G29/F29*100</f>
        <v>0</v>
      </c>
      <c r="I29" s="123">
        <f>SUM(I30:I31)</f>
        <v>0</v>
      </c>
      <c r="J29" s="123">
        <f>SUM(J30:J31)</f>
        <v>0</v>
      </c>
      <c r="K29" s="123">
        <f>SUM(K30:K31)</f>
        <v>0</v>
      </c>
      <c r="L29" s="123">
        <f>SUM(L30:L31)</f>
        <v>0</v>
      </c>
      <c r="M29" s="123">
        <f>SUM(M30:M31)</f>
        <v>0</v>
      </c>
      <c r="N29" s="123">
        <v>0</v>
      </c>
      <c r="O29" s="123">
        <f>SUM(O30:O31)</f>
        <v>150</v>
      </c>
      <c r="P29" s="123">
        <f>SUM(P30:P31)</f>
        <v>0</v>
      </c>
      <c r="Q29" s="123">
        <v>0</v>
      </c>
      <c r="R29" s="123">
        <f>SUM(R30:R31)</f>
        <v>0</v>
      </c>
      <c r="S29" s="123">
        <f>SUM(S30:S31)</f>
        <v>0</v>
      </c>
      <c r="T29" s="123">
        <v>0</v>
      </c>
      <c r="U29" s="123">
        <f t="shared" ref="U29:AH29" si="40">SUM(U30:U31)</f>
        <v>0</v>
      </c>
      <c r="V29" s="123">
        <f t="shared" si="40"/>
        <v>0</v>
      </c>
      <c r="W29" s="123">
        <f t="shared" si="40"/>
        <v>0</v>
      </c>
      <c r="X29" s="123">
        <f t="shared" si="40"/>
        <v>0</v>
      </c>
      <c r="Y29" s="123">
        <f t="shared" si="40"/>
        <v>0</v>
      </c>
      <c r="Z29" s="123">
        <f t="shared" si="40"/>
        <v>0</v>
      </c>
      <c r="AA29" s="104">
        <f t="shared" si="40"/>
        <v>0</v>
      </c>
      <c r="AB29" s="123">
        <f t="shared" si="40"/>
        <v>0</v>
      </c>
      <c r="AC29" s="123">
        <f t="shared" si="40"/>
        <v>0</v>
      </c>
      <c r="AD29" s="104">
        <f t="shared" si="40"/>
        <v>0</v>
      </c>
      <c r="AE29" s="104">
        <f t="shared" si="40"/>
        <v>0</v>
      </c>
      <c r="AF29" s="104">
        <f t="shared" si="40"/>
        <v>0</v>
      </c>
      <c r="AG29" s="104">
        <f t="shared" si="40"/>
        <v>0</v>
      </c>
      <c r="AH29" s="123">
        <f t="shared" si="40"/>
        <v>0</v>
      </c>
      <c r="AI29" s="117">
        <v>0</v>
      </c>
      <c r="AJ29" s="123">
        <f t="shared" ref="AJ29:AR29" si="41">SUM(AJ30:AJ31)</f>
        <v>0</v>
      </c>
      <c r="AK29" s="123">
        <f t="shared" si="41"/>
        <v>0</v>
      </c>
      <c r="AL29" s="123">
        <f t="shared" si="41"/>
        <v>0</v>
      </c>
      <c r="AM29" s="104">
        <f t="shared" si="41"/>
        <v>0</v>
      </c>
      <c r="AN29" s="123">
        <f t="shared" si="41"/>
        <v>0</v>
      </c>
      <c r="AO29" s="123">
        <f t="shared" si="41"/>
        <v>0</v>
      </c>
      <c r="AP29" s="104">
        <f t="shared" si="41"/>
        <v>0</v>
      </c>
      <c r="AQ29" s="123">
        <f t="shared" si="41"/>
        <v>0</v>
      </c>
      <c r="AR29" s="123">
        <f t="shared" si="41"/>
        <v>0</v>
      </c>
      <c r="AS29" s="338" t="s">
        <v>298</v>
      </c>
      <c r="AT29" s="347"/>
      <c r="AU29" s="121">
        <f t="shared" si="15"/>
        <v>150</v>
      </c>
      <c r="AV29" s="121">
        <f t="shared" si="16"/>
        <v>0</v>
      </c>
      <c r="AW29" s="155">
        <f t="shared" si="17"/>
        <v>0</v>
      </c>
    </row>
    <row r="30" spans="1:49" s="31" customFormat="1" ht="44.25" customHeight="1">
      <c r="A30" s="366"/>
      <c r="B30" s="330"/>
      <c r="C30" s="333"/>
      <c r="D30" s="336"/>
      <c r="E30" s="108" t="s">
        <v>3</v>
      </c>
      <c r="F30" s="123">
        <f>I30+L30+O30+R30+U30+X30+AA30+AD30+AG30+AJ30+AM30+AP30</f>
        <v>0</v>
      </c>
      <c r="G30" s="123">
        <f>J30+M30+P30+S30+V30+Y30+AB30+AE30+AH30+AK30+AN30+AQ30</f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23">
        <v>0</v>
      </c>
      <c r="AB30" s="123">
        <v>0</v>
      </c>
      <c r="AC30" s="123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23">
        <v>0</v>
      </c>
      <c r="AK30" s="123">
        <v>0</v>
      </c>
      <c r="AL30" s="123">
        <v>0</v>
      </c>
      <c r="AM30" s="117">
        <v>0</v>
      </c>
      <c r="AN30" s="117">
        <v>0</v>
      </c>
      <c r="AO30" s="117">
        <v>0</v>
      </c>
      <c r="AP30" s="117">
        <v>0</v>
      </c>
      <c r="AQ30" s="123"/>
      <c r="AR30" s="123"/>
      <c r="AS30" s="339"/>
      <c r="AT30" s="348"/>
      <c r="AU30" s="121"/>
      <c r="AV30" s="121"/>
      <c r="AW30" s="155"/>
    </row>
    <row r="31" spans="1:49" s="31" customFormat="1" ht="33" customHeight="1">
      <c r="A31" s="366"/>
      <c r="B31" s="330"/>
      <c r="C31" s="333"/>
      <c r="D31" s="336"/>
      <c r="E31" s="108" t="s">
        <v>44</v>
      </c>
      <c r="F31" s="123">
        <f t="shared" ref="F31" si="42">I31+L31+O31+R31+U31+X31+AA31+AD31+AG31+AJ31+AM31+AP31</f>
        <v>150</v>
      </c>
      <c r="G31" s="123">
        <f t="shared" ref="G31" si="43">J31+M31+P31+S31+V31+Y31+AB31+AE31+AH31+AK31+AN31+AQ31</f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150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23">
        <v>0</v>
      </c>
      <c r="AB31" s="123">
        <v>0</v>
      </c>
      <c r="AC31" s="123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23">
        <v>0</v>
      </c>
      <c r="AK31" s="123">
        <v>0</v>
      </c>
      <c r="AL31" s="123">
        <v>0</v>
      </c>
      <c r="AM31" s="117">
        <v>0</v>
      </c>
      <c r="AN31" s="117">
        <v>0</v>
      </c>
      <c r="AO31" s="117">
        <v>0</v>
      </c>
      <c r="AP31" s="117">
        <v>0</v>
      </c>
      <c r="AQ31" s="123"/>
      <c r="AR31" s="123"/>
      <c r="AS31" s="339"/>
      <c r="AT31" s="348"/>
      <c r="AU31" s="121"/>
      <c r="AV31" s="121"/>
      <c r="AW31" s="155"/>
    </row>
    <row r="32" spans="1:49" s="31" customFormat="1" ht="24.75" customHeight="1">
      <c r="A32" s="350" t="s">
        <v>344</v>
      </c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2"/>
    </row>
    <row r="33" spans="1:49" s="100" customFormat="1" ht="20.25" customHeight="1">
      <c r="A33" s="353" t="s">
        <v>345</v>
      </c>
      <c r="B33" s="354"/>
      <c r="C33" s="354"/>
      <c r="D33" s="355"/>
      <c r="E33" s="129" t="s">
        <v>42</v>
      </c>
      <c r="F33" s="106">
        <f>F34+F35+F36</f>
        <v>33940.800000000003</v>
      </c>
      <c r="G33" s="106">
        <f t="shared" ref="G33:AR33" si="44">G34+G35+G36</f>
        <v>0</v>
      </c>
      <c r="H33" s="106">
        <f>G33/F33*100</f>
        <v>0</v>
      </c>
      <c r="I33" s="106">
        <f t="shared" si="44"/>
        <v>556</v>
      </c>
      <c r="J33" s="106">
        <f t="shared" si="44"/>
        <v>0</v>
      </c>
      <c r="K33" s="106">
        <f>J33/I33*100</f>
        <v>0</v>
      </c>
      <c r="L33" s="106">
        <f t="shared" si="44"/>
        <v>2428</v>
      </c>
      <c r="M33" s="106">
        <f t="shared" si="44"/>
        <v>0</v>
      </c>
      <c r="N33" s="106">
        <f>M33/L33*100</f>
        <v>0</v>
      </c>
      <c r="O33" s="106">
        <f t="shared" si="44"/>
        <v>2242</v>
      </c>
      <c r="P33" s="106">
        <f t="shared" si="44"/>
        <v>0</v>
      </c>
      <c r="Q33" s="106">
        <f>P33/O33*100</f>
        <v>0</v>
      </c>
      <c r="R33" s="106">
        <f t="shared" si="44"/>
        <v>3060</v>
      </c>
      <c r="S33" s="106">
        <f t="shared" si="44"/>
        <v>0</v>
      </c>
      <c r="T33" s="106">
        <f>S33/R33*100</f>
        <v>0</v>
      </c>
      <c r="U33" s="106">
        <f t="shared" si="44"/>
        <v>2489</v>
      </c>
      <c r="V33" s="106">
        <f t="shared" si="44"/>
        <v>0</v>
      </c>
      <c r="W33" s="106">
        <f t="shared" si="44"/>
        <v>0</v>
      </c>
      <c r="X33" s="106">
        <f t="shared" si="44"/>
        <v>2628</v>
      </c>
      <c r="Y33" s="106">
        <f t="shared" si="44"/>
        <v>0</v>
      </c>
      <c r="Z33" s="106">
        <f t="shared" si="44"/>
        <v>0</v>
      </c>
      <c r="AA33" s="106">
        <f t="shared" si="44"/>
        <v>3576</v>
      </c>
      <c r="AB33" s="106">
        <f t="shared" si="44"/>
        <v>0</v>
      </c>
      <c r="AC33" s="106">
        <f t="shared" si="44"/>
        <v>0</v>
      </c>
      <c r="AD33" s="106">
        <f t="shared" si="44"/>
        <v>2569</v>
      </c>
      <c r="AE33" s="106">
        <f t="shared" si="44"/>
        <v>0</v>
      </c>
      <c r="AF33" s="106">
        <f t="shared" ref="AF33:AF35" si="45">AE33/AD33*100</f>
        <v>0</v>
      </c>
      <c r="AG33" s="106">
        <f t="shared" si="44"/>
        <v>2544</v>
      </c>
      <c r="AH33" s="106">
        <f t="shared" si="44"/>
        <v>0</v>
      </c>
      <c r="AI33" s="106">
        <f t="shared" si="44"/>
        <v>0</v>
      </c>
      <c r="AJ33" s="106">
        <f t="shared" si="44"/>
        <v>2984</v>
      </c>
      <c r="AK33" s="106">
        <f t="shared" si="44"/>
        <v>0</v>
      </c>
      <c r="AL33" s="106">
        <f t="shared" si="44"/>
        <v>0</v>
      </c>
      <c r="AM33" s="106">
        <f t="shared" si="44"/>
        <v>2265.6</v>
      </c>
      <c r="AN33" s="106">
        <f t="shared" si="44"/>
        <v>0</v>
      </c>
      <c r="AO33" s="106">
        <f t="shared" si="44"/>
        <v>0</v>
      </c>
      <c r="AP33" s="106">
        <f t="shared" si="44"/>
        <v>6599.2</v>
      </c>
      <c r="AQ33" s="106">
        <f t="shared" si="44"/>
        <v>0</v>
      </c>
      <c r="AR33" s="106">
        <f t="shared" si="44"/>
        <v>0</v>
      </c>
      <c r="AS33" s="368"/>
      <c r="AT33" s="362"/>
      <c r="AU33" s="121">
        <f t="shared" ref="AU33:AU79" si="46">I33+L33+O33+R33+U33+X33+AA33+AD33+AG33</f>
        <v>22092</v>
      </c>
      <c r="AV33" s="121">
        <f t="shared" ref="AV33:AV79" si="47">J33+M33+P33+S33+V33+Y33+AB33+AE33+AH33</f>
        <v>0</v>
      </c>
      <c r="AW33" s="155">
        <f t="shared" ref="AW33:AW79" si="48">AV33/AU33*100</f>
        <v>0</v>
      </c>
    </row>
    <row r="34" spans="1:49" s="100" customFormat="1" ht="36">
      <c r="A34" s="356"/>
      <c r="B34" s="357"/>
      <c r="C34" s="357"/>
      <c r="D34" s="358"/>
      <c r="E34" s="111" t="s">
        <v>3</v>
      </c>
      <c r="F34" s="106">
        <f>F43</f>
        <v>30600.9</v>
      </c>
      <c r="G34" s="106">
        <f t="shared" ref="G34:AR36" si="49">G43</f>
        <v>0</v>
      </c>
      <c r="H34" s="106">
        <f>G34/F34*100</f>
        <v>0</v>
      </c>
      <c r="I34" s="106">
        <f t="shared" si="49"/>
        <v>0</v>
      </c>
      <c r="J34" s="106">
        <f t="shared" si="49"/>
        <v>0</v>
      </c>
      <c r="K34" s="106" t="e">
        <f t="shared" ref="K34:K35" si="50">J34/I34*100</f>
        <v>#DIV/0!</v>
      </c>
      <c r="L34" s="106">
        <f t="shared" si="49"/>
        <v>2178</v>
      </c>
      <c r="M34" s="106">
        <f t="shared" si="49"/>
        <v>0</v>
      </c>
      <c r="N34" s="106">
        <f t="shared" ref="N34:N35" si="51">M34/L34*100</f>
        <v>0</v>
      </c>
      <c r="O34" s="106">
        <f t="shared" si="49"/>
        <v>1989</v>
      </c>
      <c r="P34" s="106">
        <f t="shared" si="49"/>
        <v>0</v>
      </c>
      <c r="Q34" s="106">
        <f t="shared" ref="Q34:Q35" si="52">P34/O34*100</f>
        <v>0</v>
      </c>
      <c r="R34" s="106">
        <f t="shared" si="49"/>
        <v>3010</v>
      </c>
      <c r="S34" s="106">
        <f t="shared" si="49"/>
        <v>0</v>
      </c>
      <c r="T34" s="106">
        <f t="shared" ref="T34:T35" si="53">S34/R34*100</f>
        <v>0</v>
      </c>
      <c r="U34" s="106">
        <f t="shared" si="49"/>
        <v>2037</v>
      </c>
      <c r="V34" s="106">
        <f t="shared" si="49"/>
        <v>0</v>
      </c>
      <c r="W34" s="106">
        <f t="shared" si="49"/>
        <v>0</v>
      </c>
      <c r="X34" s="106">
        <f t="shared" si="49"/>
        <v>2578</v>
      </c>
      <c r="Y34" s="106">
        <f t="shared" si="49"/>
        <v>0</v>
      </c>
      <c r="Z34" s="106">
        <f t="shared" si="49"/>
        <v>0</v>
      </c>
      <c r="AA34" s="106">
        <f t="shared" si="49"/>
        <v>3526</v>
      </c>
      <c r="AB34" s="106">
        <f t="shared" si="49"/>
        <v>0</v>
      </c>
      <c r="AC34" s="106">
        <f t="shared" si="49"/>
        <v>0</v>
      </c>
      <c r="AD34" s="106">
        <f t="shared" si="49"/>
        <v>2117</v>
      </c>
      <c r="AE34" s="106">
        <f t="shared" si="49"/>
        <v>0</v>
      </c>
      <c r="AF34" s="106">
        <f t="shared" si="45"/>
        <v>0</v>
      </c>
      <c r="AG34" s="106">
        <f t="shared" si="49"/>
        <v>2494</v>
      </c>
      <c r="AH34" s="106">
        <f t="shared" si="49"/>
        <v>0</v>
      </c>
      <c r="AI34" s="106">
        <f t="shared" si="49"/>
        <v>0</v>
      </c>
      <c r="AJ34" s="106">
        <f t="shared" si="49"/>
        <v>2934</v>
      </c>
      <c r="AK34" s="106">
        <f t="shared" si="49"/>
        <v>0</v>
      </c>
      <c r="AL34" s="106">
        <f t="shared" si="49"/>
        <v>0</v>
      </c>
      <c r="AM34" s="106">
        <f t="shared" si="49"/>
        <v>1812</v>
      </c>
      <c r="AN34" s="106">
        <f t="shared" si="49"/>
        <v>0</v>
      </c>
      <c r="AO34" s="106">
        <f t="shared" si="49"/>
        <v>0</v>
      </c>
      <c r="AP34" s="106">
        <f t="shared" si="49"/>
        <v>5925.9</v>
      </c>
      <c r="AQ34" s="106">
        <f t="shared" si="49"/>
        <v>0</v>
      </c>
      <c r="AR34" s="106">
        <f t="shared" si="49"/>
        <v>0</v>
      </c>
      <c r="AS34" s="369"/>
      <c r="AT34" s="363"/>
      <c r="AU34" s="121">
        <f t="shared" si="46"/>
        <v>19929</v>
      </c>
      <c r="AV34" s="121">
        <f t="shared" si="47"/>
        <v>0</v>
      </c>
      <c r="AW34" s="155">
        <f t="shared" si="48"/>
        <v>0</v>
      </c>
    </row>
    <row r="35" spans="1:49" s="100" customFormat="1" ht="24">
      <c r="A35" s="356"/>
      <c r="B35" s="357"/>
      <c r="C35" s="357"/>
      <c r="D35" s="358"/>
      <c r="E35" s="111" t="s">
        <v>44</v>
      </c>
      <c r="F35" s="106">
        <f>F44</f>
        <v>3339.8999999999996</v>
      </c>
      <c r="G35" s="106">
        <f t="shared" si="49"/>
        <v>0</v>
      </c>
      <c r="H35" s="106">
        <f>G35/F35*100</f>
        <v>0</v>
      </c>
      <c r="I35" s="106">
        <f t="shared" si="49"/>
        <v>556</v>
      </c>
      <c r="J35" s="106">
        <f t="shared" si="49"/>
        <v>0</v>
      </c>
      <c r="K35" s="106">
        <f t="shared" si="50"/>
        <v>0</v>
      </c>
      <c r="L35" s="106">
        <f t="shared" si="49"/>
        <v>250</v>
      </c>
      <c r="M35" s="106">
        <f t="shared" si="49"/>
        <v>0</v>
      </c>
      <c r="N35" s="106">
        <f t="shared" si="51"/>
        <v>0</v>
      </c>
      <c r="O35" s="106">
        <f t="shared" si="49"/>
        <v>253</v>
      </c>
      <c r="P35" s="106">
        <f t="shared" si="49"/>
        <v>0</v>
      </c>
      <c r="Q35" s="106">
        <f t="shared" si="52"/>
        <v>0</v>
      </c>
      <c r="R35" s="106">
        <f t="shared" si="49"/>
        <v>50</v>
      </c>
      <c r="S35" s="106">
        <f t="shared" si="49"/>
        <v>0</v>
      </c>
      <c r="T35" s="106">
        <f t="shared" si="53"/>
        <v>0</v>
      </c>
      <c r="U35" s="106">
        <f t="shared" si="49"/>
        <v>452</v>
      </c>
      <c r="V35" s="106">
        <f t="shared" si="49"/>
        <v>0</v>
      </c>
      <c r="W35" s="106">
        <f t="shared" si="49"/>
        <v>0</v>
      </c>
      <c r="X35" s="106">
        <f t="shared" si="49"/>
        <v>50</v>
      </c>
      <c r="Y35" s="106">
        <f t="shared" si="49"/>
        <v>0</v>
      </c>
      <c r="Z35" s="106">
        <f t="shared" si="49"/>
        <v>0</v>
      </c>
      <c r="AA35" s="106">
        <f t="shared" si="49"/>
        <v>50</v>
      </c>
      <c r="AB35" s="106">
        <f t="shared" si="49"/>
        <v>0</v>
      </c>
      <c r="AC35" s="106">
        <f t="shared" si="49"/>
        <v>0</v>
      </c>
      <c r="AD35" s="106">
        <f t="shared" si="49"/>
        <v>452</v>
      </c>
      <c r="AE35" s="106">
        <f t="shared" si="49"/>
        <v>0</v>
      </c>
      <c r="AF35" s="106">
        <f t="shared" si="45"/>
        <v>0</v>
      </c>
      <c r="AG35" s="106">
        <f t="shared" si="49"/>
        <v>50</v>
      </c>
      <c r="AH35" s="106">
        <f t="shared" si="49"/>
        <v>0</v>
      </c>
      <c r="AI35" s="106">
        <f t="shared" si="49"/>
        <v>0</v>
      </c>
      <c r="AJ35" s="106">
        <f t="shared" si="49"/>
        <v>50</v>
      </c>
      <c r="AK35" s="106">
        <f t="shared" si="49"/>
        <v>0</v>
      </c>
      <c r="AL35" s="106">
        <f t="shared" si="49"/>
        <v>0</v>
      </c>
      <c r="AM35" s="106">
        <f t="shared" si="49"/>
        <v>453.6</v>
      </c>
      <c r="AN35" s="106">
        <f t="shared" si="49"/>
        <v>0</v>
      </c>
      <c r="AO35" s="106">
        <f t="shared" si="49"/>
        <v>0</v>
      </c>
      <c r="AP35" s="106">
        <f t="shared" si="49"/>
        <v>673.3</v>
      </c>
      <c r="AQ35" s="106">
        <f t="shared" si="49"/>
        <v>0</v>
      </c>
      <c r="AR35" s="106">
        <f t="shared" si="49"/>
        <v>0</v>
      </c>
      <c r="AS35" s="369"/>
      <c r="AT35" s="363"/>
      <c r="AU35" s="121">
        <f t="shared" si="46"/>
        <v>2163</v>
      </c>
      <c r="AV35" s="121">
        <f t="shared" si="47"/>
        <v>0</v>
      </c>
      <c r="AW35" s="155">
        <f t="shared" si="48"/>
        <v>0</v>
      </c>
    </row>
    <row r="36" spans="1:49" s="100" customFormat="1" ht="24">
      <c r="A36" s="359"/>
      <c r="B36" s="360"/>
      <c r="C36" s="360"/>
      <c r="D36" s="361"/>
      <c r="E36" s="110" t="s">
        <v>257</v>
      </c>
      <c r="F36" s="106">
        <f>F45</f>
        <v>0</v>
      </c>
      <c r="G36" s="106">
        <f t="shared" si="49"/>
        <v>0</v>
      </c>
      <c r="H36" s="106">
        <v>0</v>
      </c>
      <c r="I36" s="106">
        <f t="shared" si="49"/>
        <v>0</v>
      </c>
      <c r="J36" s="106">
        <f t="shared" si="49"/>
        <v>0</v>
      </c>
      <c r="K36" s="106">
        <v>0</v>
      </c>
      <c r="L36" s="106">
        <f t="shared" si="49"/>
        <v>0</v>
      </c>
      <c r="M36" s="106">
        <f t="shared" si="49"/>
        <v>0</v>
      </c>
      <c r="N36" s="106">
        <v>0</v>
      </c>
      <c r="O36" s="106">
        <f t="shared" si="49"/>
        <v>0</v>
      </c>
      <c r="P36" s="106">
        <f t="shared" si="49"/>
        <v>0</v>
      </c>
      <c r="Q36" s="106">
        <f t="shared" si="49"/>
        <v>0</v>
      </c>
      <c r="R36" s="106">
        <f t="shared" si="49"/>
        <v>0</v>
      </c>
      <c r="S36" s="106">
        <f t="shared" si="49"/>
        <v>0</v>
      </c>
      <c r="T36" s="106">
        <v>0</v>
      </c>
      <c r="U36" s="106">
        <f t="shared" si="49"/>
        <v>0</v>
      </c>
      <c r="V36" s="106">
        <f t="shared" si="49"/>
        <v>0</v>
      </c>
      <c r="W36" s="106">
        <f t="shared" si="49"/>
        <v>0</v>
      </c>
      <c r="X36" s="106">
        <f t="shared" si="49"/>
        <v>0</v>
      </c>
      <c r="Y36" s="106">
        <f t="shared" si="49"/>
        <v>0</v>
      </c>
      <c r="Z36" s="106">
        <f t="shared" si="49"/>
        <v>0</v>
      </c>
      <c r="AA36" s="106">
        <f t="shared" si="49"/>
        <v>0</v>
      </c>
      <c r="AB36" s="106">
        <f t="shared" si="49"/>
        <v>0</v>
      </c>
      <c r="AC36" s="106">
        <f t="shared" si="49"/>
        <v>0</v>
      </c>
      <c r="AD36" s="106">
        <f t="shared" si="49"/>
        <v>0</v>
      </c>
      <c r="AE36" s="106">
        <f t="shared" si="49"/>
        <v>0</v>
      </c>
      <c r="AF36" s="106">
        <f t="shared" si="49"/>
        <v>0</v>
      </c>
      <c r="AG36" s="106">
        <f t="shared" si="49"/>
        <v>0</v>
      </c>
      <c r="AH36" s="106">
        <f t="shared" si="49"/>
        <v>0</v>
      </c>
      <c r="AI36" s="106">
        <f t="shared" si="49"/>
        <v>0</v>
      </c>
      <c r="AJ36" s="106">
        <f t="shared" si="49"/>
        <v>0</v>
      </c>
      <c r="AK36" s="106">
        <f t="shared" si="49"/>
        <v>0</v>
      </c>
      <c r="AL36" s="106">
        <f t="shared" si="49"/>
        <v>0</v>
      </c>
      <c r="AM36" s="106">
        <f t="shared" si="49"/>
        <v>0</v>
      </c>
      <c r="AN36" s="106">
        <f t="shared" si="49"/>
        <v>0</v>
      </c>
      <c r="AO36" s="106">
        <f t="shared" si="49"/>
        <v>0</v>
      </c>
      <c r="AP36" s="106">
        <f t="shared" si="49"/>
        <v>0</v>
      </c>
      <c r="AQ36" s="106">
        <f t="shared" si="49"/>
        <v>0</v>
      </c>
      <c r="AR36" s="106">
        <f t="shared" si="49"/>
        <v>0</v>
      </c>
      <c r="AS36" s="370"/>
      <c r="AT36" s="364"/>
      <c r="AU36" s="121"/>
      <c r="AV36" s="121"/>
      <c r="AW36" s="155"/>
    </row>
    <row r="37" spans="1:49" s="100" customFormat="1" ht="112.5" customHeight="1">
      <c r="A37" s="159" t="s">
        <v>347</v>
      </c>
      <c r="B37" s="161" t="s">
        <v>348</v>
      </c>
      <c r="C37" s="162" t="s">
        <v>349</v>
      </c>
      <c r="D37" s="170" t="s">
        <v>350</v>
      </c>
      <c r="E37" s="143" t="s">
        <v>275</v>
      </c>
      <c r="F37" s="149" t="s">
        <v>279</v>
      </c>
      <c r="G37" s="149" t="s">
        <v>279</v>
      </c>
      <c r="H37" s="149" t="s">
        <v>279</v>
      </c>
      <c r="I37" s="149" t="s">
        <v>279</v>
      </c>
      <c r="J37" s="149" t="s">
        <v>279</v>
      </c>
      <c r="K37" s="149" t="s">
        <v>279</v>
      </c>
      <c r="L37" s="149" t="s">
        <v>279</v>
      </c>
      <c r="M37" s="149" t="s">
        <v>279</v>
      </c>
      <c r="N37" s="149" t="s">
        <v>279</v>
      </c>
      <c r="O37" s="149" t="s">
        <v>279</v>
      </c>
      <c r="P37" s="149" t="s">
        <v>279</v>
      </c>
      <c r="Q37" s="149" t="s">
        <v>279</v>
      </c>
      <c r="R37" s="149" t="s">
        <v>279</v>
      </c>
      <c r="S37" s="149" t="s">
        <v>279</v>
      </c>
      <c r="T37" s="149" t="s">
        <v>279</v>
      </c>
      <c r="U37" s="149" t="s">
        <v>279</v>
      </c>
      <c r="V37" s="149" t="s">
        <v>279</v>
      </c>
      <c r="W37" s="149" t="s">
        <v>279</v>
      </c>
      <c r="X37" s="149" t="s">
        <v>279</v>
      </c>
      <c r="Y37" s="149" t="s">
        <v>279</v>
      </c>
      <c r="Z37" s="149" t="s">
        <v>279</v>
      </c>
      <c r="AA37" s="149" t="s">
        <v>279</v>
      </c>
      <c r="AB37" s="149" t="s">
        <v>279</v>
      </c>
      <c r="AC37" s="149" t="s">
        <v>279</v>
      </c>
      <c r="AD37" s="149" t="s">
        <v>279</v>
      </c>
      <c r="AE37" s="149" t="s">
        <v>279</v>
      </c>
      <c r="AF37" s="149" t="s">
        <v>279</v>
      </c>
      <c r="AG37" s="149" t="s">
        <v>279</v>
      </c>
      <c r="AH37" s="149" t="s">
        <v>279</v>
      </c>
      <c r="AI37" s="149" t="s">
        <v>279</v>
      </c>
      <c r="AJ37" s="149" t="s">
        <v>279</v>
      </c>
      <c r="AK37" s="149" t="s">
        <v>279</v>
      </c>
      <c r="AL37" s="149" t="s">
        <v>279</v>
      </c>
      <c r="AM37" s="149" t="s">
        <v>279</v>
      </c>
      <c r="AN37" s="149" t="s">
        <v>279</v>
      </c>
      <c r="AO37" s="149" t="s">
        <v>279</v>
      </c>
      <c r="AP37" s="149" t="s">
        <v>279</v>
      </c>
      <c r="AQ37" s="149"/>
      <c r="AR37" s="149"/>
      <c r="AS37" s="141" t="s">
        <v>301</v>
      </c>
      <c r="AT37" s="134"/>
      <c r="AU37" s="121"/>
      <c r="AV37" s="121"/>
      <c r="AW37" s="155"/>
    </row>
    <row r="38" spans="1:49" s="100" customFormat="1" ht="216">
      <c r="A38" s="168" t="s">
        <v>351</v>
      </c>
      <c r="B38" s="166" t="s">
        <v>352</v>
      </c>
      <c r="C38" s="160" t="s">
        <v>353</v>
      </c>
      <c r="D38" s="170" t="s">
        <v>354</v>
      </c>
      <c r="E38" s="143" t="s">
        <v>275</v>
      </c>
      <c r="F38" s="149" t="s">
        <v>279</v>
      </c>
      <c r="G38" s="149" t="s">
        <v>279</v>
      </c>
      <c r="H38" s="149" t="s">
        <v>279</v>
      </c>
      <c r="I38" s="149" t="s">
        <v>279</v>
      </c>
      <c r="J38" s="149" t="s">
        <v>279</v>
      </c>
      <c r="K38" s="149" t="s">
        <v>279</v>
      </c>
      <c r="L38" s="149" t="s">
        <v>279</v>
      </c>
      <c r="M38" s="149" t="s">
        <v>279</v>
      </c>
      <c r="N38" s="149" t="s">
        <v>279</v>
      </c>
      <c r="O38" s="149" t="s">
        <v>279</v>
      </c>
      <c r="P38" s="149" t="s">
        <v>279</v>
      </c>
      <c r="Q38" s="149" t="s">
        <v>279</v>
      </c>
      <c r="R38" s="149" t="s">
        <v>279</v>
      </c>
      <c r="S38" s="149" t="s">
        <v>279</v>
      </c>
      <c r="T38" s="149" t="s">
        <v>279</v>
      </c>
      <c r="U38" s="149" t="s">
        <v>279</v>
      </c>
      <c r="V38" s="149" t="s">
        <v>279</v>
      </c>
      <c r="W38" s="149" t="s">
        <v>279</v>
      </c>
      <c r="X38" s="149" t="s">
        <v>279</v>
      </c>
      <c r="Y38" s="149" t="s">
        <v>279</v>
      </c>
      <c r="Z38" s="149" t="s">
        <v>279</v>
      </c>
      <c r="AA38" s="149" t="s">
        <v>279</v>
      </c>
      <c r="AB38" s="149" t="s">
        <v>279</v>
      </c>
      <c r="AC38" s="149" t="s">
        <v>279</v>
      </c>
      <c r="AD38" s="149" t="s">
        <v>279</v>
      </c>
      <c r="AE38" s="149" t="s">
        <v>279</v>
      </c>
      <c r="AF38" s="149" t="s">
        <v>279</v>
      </c>
      <c r="AG38" s="149" t="s">
        <v>279</v>
      </c>
      <c r="AH38" s="149" t="s">
        <v>279</v>
      </c>
      <c r="AI38" s="149" t="s">
        <v>279</v>
      </c>
      <c r="AJ38" s="149" t="s">
        <v>279</v>
      </c>
      <c r="AK38" s="149" t="s">
        <v>279</v>
      </c>
      <c r="AL38" s="149" t="s">
        <v>279</v>
      </c>
      <c r="AM38" s="149" t="s">
        <v>279</v>
      </c>
      <c r="AN38" s="149" t="s">
        <v>279</v>
      </c>
      <c r="AO38" s="149" t="s">
        <v>279</v>
      </c>
      <c r="AP38" s="149" t="s">
        <v>279</v>
      </c>
      <c r="AQ38" s="149"/>
      <c r="AR38" s="149"/>
      <c r="AS38" s="141" t="s">
        <v>302</v>
      </c>
      <c r="AT38" s="134"/>
      <c r="AU38" s="121"/>
      <c r="AV38" s="121"/>
      <c r="AW38" s="155"/>
    </row>
    <row r="39" spans="1:49" s="100" customFormat="1" ht="60">
      <c r="A39" s="159" t="s">
        <v>355</v>
      </c>
      <c r="B39" s="166" t="s">
        <v>356</v>
      </c>
      <c r="C39" s="160" t="s">
        <v>357</v>
      </c>
      <c r="D39" s="170" t="s">
        <v>358</v>
      </c>
      <c r="E39" s="143" t="s">
        <v>275</v>
      </c>
      <c r="F39" s="149" t="s">
        <v>279</v>
      </c>
      <c r="G39" s="149" t="s">
        <v>279</v>
      </c>
      <c r="H39" s="149" t="s">
        <v>279</v>
      </c>
      <c r="I39" s="149" t="s">
        <v>279</v>
      </c>
      <c r="J39" s="149" t="s">
        <v>279</v>
      </c>
      <c r="K39" s="149" t="s">
        <v>279</v>
      </c>
      <c r="L39" s="149" t="s">
        <v>279</v>
      </c>
      <c r="M39" s="149" t="s">
        <v>279</v>
      </c>
      <c r="N39" s="149" t="s">
        <v>279</v>
      </c>
      <c r="O39" s="149" t="s">
        <v>279</v>
      </c>
      <c r="P39" s="149" t="s">
        <v>279</v>
      </c>
      <c r="Q39" s="149" t="s">
        <v>279</v>
      </c>
      <c r="R39" s="149" t="s">
        <v>279</v>
      </c>
      <c r="S39" s="149" t="s">
        <v>279</v>
      </c>
      <c r="T39" s="149" t="s">
        <v>279</v>
      </c>
      <c r="U39" s="149" t="s">
        <v>279</v>
      </c>
      <c r="V39" s="149" t="s">
        <v>279</v>
      </c>
      <c r="W39" s="149" t="s">
        <v>279</v>
      </c>
      <c r="X39" s="149" t="s">
        <v>279</v>
      </c>
      <c r="Y39" s="149" t="s">
        <v>279</v>
      </c>
      <c r="Z39" s="149" t="s">
        <v>279</v>
      </c>
      <c r="AA39" s="149" t="s">
        <v>279</v>
      </c>
      <c r="AB39" s="149" t="s">
        <v>279</v>
      </c>
      <c r="AC39" s="149" t="s">
        <v>279</v>
      </c>
      <c r="AD39" s="149" t="s">
        <v>279</v>
      </c>
      <c r="AE39" s="149" t="s">
        <v>279</v>
      </c>
      <c r="AF39" s="149" t="s">
        <v>279</v>
      </c>
      <c r="AG39" s="149" t="s">
        <v>279</v>
      </c>
      <c r="AH39" s="149" t="s">
        <v>279</v>
      </c>
      <c r="AI39" s="149" t="s">
        <v>279</v>
      </c>
      <c r="AJ39" s="149" t="s">
        <v>279</v>
      </c>
      <c r="AK39" s="149" t="s">
        <v>279</v>
      </c>
      <c r="AL39" s="149" t="s">
        <v>279</v>
      </c>
      <c r="AM39" s="149" t="s">
        <v>279</v>
      </c>
      <c r="AN39" s="149" t="s">
        <v>279</v>
      </c>
      <c r="AO39" s="149" t="s">
        <v>279</v>
      </c>
      <c r="AP39" s="149" t="s">
        <v>279</v>
      </c>
      <c r="AQ39" s="149"/>
      <c r="AR39" s="149"/>
      <c r="AS39" s="141" t="s">
        <v>303</v>
      </c>
      <c r="AT39" s="134"/>
      <c r="AU39" s="121"/>
      <c r="AV39" s="121"/>
      <c r="AW39" s="155"/>
    </row>
    <row r="40" spans="1:49" s="100" customFormat="1" ht="84">
      <c r="A40" s="159" t="s">
        <v>359</v>
      </c>
      <c r="B40" s="166" t="s">
        <v>360</v>
      </c>
      <c r="C40" s="160" t="s">
        <v>357</v>
      </c>
      <c r="D40" s="170" t="s">
        <v>358</v>
      </c>
      <c r="E40" s="143" t="s">
        <v>275</v>
      </c>
      <c r="F40" s="149" t="s">
        <v>279</v>
      </c>
      <c r="G40" s="149" t="s">
        <v>279</v>
      </c>
      <c r="H40" s="149" t="s">
        <v>279</v>
      </c>
      <c r="I40" s="149" t="s">
        <v>279</v>
      </c>
      <c r="J40" s="149" t="s">
        <v>279</v>
      </c>
      <c r="K40" s="149" t="s">
        <v>279</v>
      </c>
      <c r="L40" s="149" t="s">
        <v>279</v>
      </c>
      <c r="M40" s="149" t="s">
        <v>279</v>
      </c>
      <c r="N40" s="149" t="s">
        <v>279</v>
      </c>
      <c r="O40" s="149" t="s">
        <v>279</v>
      </c>
      <c r="P40" s="149" t="s">
        <v>279</v>
      </c>
      <c r="Q40" s="149" t="s">
        <v>279</v>
      </c>
      <c r="R40" s="149" t="s">
        <v>279</v>
      </c>
      <c r="S40" s="149" t="s">
        <v>279</v>
      </c>
      <c r="T40" s="149" t="s">
        <v>279</v>
      </c>
      <c r="U40" s="149" t="s">
        <v>279</v>
      </c>
      <c r="V40" s="149" t="s">
        <v>279</v>
      </c>
      <c r="W40" s="149" t="s">
        <v>279</v>
      </c>
      <c r="X40" s="149" t="s">
        <v>279</v>
      </c>
      <c r="Y40" s="149" t="s">
        <v>279</v>
      </c>
      <c r="Z40" s="149" t="s">
        <v>279</v>
      </c>
      <c r="AA40" s="149" t="s">
        <v>279</v>
      </c>
      <c r="AB40" s="149" t="s">
        <v>279</v>
      </c>
      <c r="AC40" s="149" t="s">
        <v>279</v>
      </c>
      <c r="AD40" s="149" t="s">
        <v>279</v>
      </c>
      <c r="AE40" s="149" t="s">
        <v>279</v>
      </c>
      <c r="AF40" s="149" t="s">
        <v>279</v>
      </c>
      <c r="AG40" s="149" t="s">
        <v>279</v>
      </c>
      <c r="AH40" s="149" t="s">
        <v>279</v>
      </c>
      <c r="AI40" s="149" t="s">
        <v>279</v>
      </c>
      <c r="AJ40" s="149" t="s">
        <v>279</v>
      </c>
      <c r="AK40" s="149" t="s">
        <v>279</v>
      </c>
      <c r="AL40" s="149" t="s">
        <v>279</v>
      </c>
      <c r="AM40" s="149" t="s">
        <v>279</v>
      </c>
      <c r="AN40" s="149" t="s">
        <v>279</v>
      </c>
      <c r="AO40" s="149" t="s">
        <v>279</v>
      </c>
      <c r="AP40" s="149" t="s">
        <v>279</v>
      </c>
      <c r="AQ40" s="149"/>
      <c r="AR40" s="149"/>
      <c r="AS40" s="141" t="s">
        <v>304</v>
      </c>
      <c r="AT40" s="134"/>
      <c r="AU40" s="121"/>
      <c r="AV40" s="121"/>
      <c r="AW40" s="155"/>
    </row>
    <row r="41" spans="1:49" s="100" customFormat="1" ht="60">
      <c r="A41" s="159" t="s">
        <v>361</v>
      </c>
      <c r="B41" s="166" t="s">
        <v>362</v>
      </c>
      <c r="C41" s="160" t="s">
        <v>363</v>
      </c>
      <c r="D41" s="170" t="s">
        <v>364</v>
      </c>
      <c r="E41" s="143" t="s">
        <v>275</v>
      </c>
      <c r="F41" s="149" t="s">
        <v>279</v>
      </c>
      <c r="G41" s="149" t="s">
        <v>279</v>
      </c>
      <c r="H41" s="149" t="s">
        <v>279</v>
      </c>
      <c r="I41" s="149" t="s">
        <v>279</v>
      </c>
      <c r="J41" s="149" t="s">
        <v>279</v>
      </c>
      <c r="K41" s="149" t="s">
        <v>279</v>
      </c>
      <c r="L41" s="149" t="s">
        <v>279</v>
      </c>
      <c r="M41" s="149" t="s">
        <v>279</v>
      </c>
      <c r="N41" s="149" t="s">
        <v>279</v>
      </c>
      <c r="O41" s="149" t="s">
        <v>279</v>
      </c>
      <c r="P41" s="149" t="s">
        <v>279</v>
      </c>
      <c r="Q41" s="149" t="s">
        <v>279</v>
      </c>
      <c r="R41" s="149" t="s">
        <v>279</v>
      </c>
      <c r="S41" s="149" t="s">
        <v>279</v>
      </c>
      <c r="T41" s="149" t="s">
        <v>279</v>
      </c>
      <c r="U41" s="149" t="s">
        <v>279</v>
      </c>
      <c r="V41" s="149" t="s">
        <v>279</v>
      </c>
      <c r="W41" s="149" t="s">
        <v>279</v>
      </c>
      <c r="X41" s="149" t="s">
        <v>279</v>
      </c>
      <c r="Y41" s="149" t="s">
        <v>279</v>
      </c>
      <c r="Z41" s="149" t="s">
        <v>279</v>
      </c>
      <c r="AA41" s="149" t="s">
        <v>279</v>
      </c>
      <c r="AB41" s="149" t="s">
        <v>279</v>
      </c>
      <c r="AC41" s="149" t="s">
        <v>279</v>
      </c>
      <c r="AD41" s="149" t="s">
        <v>279</v>
      </c>
      <c r="AE41" s="149" t="s">
        <v>279</v>
      </c>
      <c r="AF41" s="149" t="s">
        <v>279</v>
      </c>
      <c r="AG41" s="149" t="s">
        <v>279</v>
      </c>
      <c r="AH41" s="149" t="s">
        <v>279</v>
      </c>
      <c r="AI41" s="149" t="s">
        <v>279</v>
      </c>
      <c r="AJ41" s="149" t="s">
        <v>279</v>
      </c>
      <c r="AK41" s="149" t="s">
        <v>279</v>
      </c>
      <c r="AL41" s="149" t="s">
        <v>279</v>
      </c>
      <c r="AM41" s="149" t="s">
        <v>279</v>
      </c>
      <c r="AN41" s="149" t="s">
        <v>279</v>
      </c>
      <c r="AO41" s="149" t="s">
        <v>279</v>
      </c>
      <c r="AP41" s="149" t="s">
        <v>279</v>
      </c>
      <c r="AQ41" s="149"/>
      <c r="AR41" s="149"/>
      <c r="AS41" s="141" t="s">
        <v>305</v>
      </c>
      <c r="AT41" s="134"/>
      <c r="AU41" s="121"/>
      <c r="AV41" s="121"/>
      <c r="AW41" s="155"/>
    </row>
    <row r="42" spans="1:49" s="31" customFormat="1" ht="12.75">
      <c r="A42" s="371" t="s">
        <v>365</v>
      </c>
      <c r="B42" s="374" t="s">
        <v>366</v>
      </c>
      <c r="C42" s="377" t="s">
        <v>269</v>
      </c>
      <c r="D42" s="335" t="s">
        <v>367</v>
      </c>
      <c r="E42" s="107" t="s">
        <v>42</v>
      </c>
      <c r="F42" s="123">
        <f>SUM(F43:F45)</f>
        <v>33940.800000000003</v>
      </c>
      <c r="G42" s="123">
        <f t="shared" ref="G42" si="54">SUM(G43:G45)</f>
        <v>0</v>
      </c>
      <c r="H42" s="123">
        <f>G42/F42*100</f>
        <v>0</v>
      </c>
      <c r="I42" s="132">
        <f>I43+I44+I45</f>
        <v>556</v>
      </c>
      <c r="J42" s="132">
        <f>J43+J44+J45</f>
        <v>0</v>
      </c>
      <c r="K42" s="123">
        <f t="shared" ref="K42:K44" si="55">J42/I42*100</f>
        <v>0</v>
      </c>
      <c r="L42" s="132">
        <f>L43+L44+L45</f>
        <v>2428</v>
      </c>
      <c r="M42" s="132">
        <f>M43+M44+M45</f>
        <v>0</v>
      </c>
      <c r="N42" s="132">
        <f>M42/L42*100</f>
        <v>0</v>
      </c>
      <c r="O42" s="132">
        <f>O43+O44+O45</f>
        <v>2242</v>
      </c>
      <c r="P42" s="132">
        <f>P43+P44+P45</f>
        <v>0</v>
      </c>
      <c r="Q42" s="123">
        <f t="shared" ref="Q42:Q44" si="56">P42/O42*100</f>
        <v>0</v>
      </c>
      <c r="R42" s="132">
        <f>R43+R44+R45</f>
        <v>3060</v>
      </c>
      <c r="S42" s="132">
        <f>S43+S44+S45</f>
        <v>0</v>
      </c>
      <c r="T42" s="132">
        <f>S42/R42*100</f>
        <v>0</v>
      </c>
      <c r="U42" s="132">
        <f t="shared" ref="U42:AP42" si="57">U43+U44+U45</f>
        <v>2489</v>
      </c>
      <c r="V42" s="132">
        <f t="shared" si="57"/>
        <v>0</v>
      </c>
      <c r="W42" s="132">
        <f>V42/U42*100</f>
        <v>0</v>
      </c>
      <c r="X42" s="132">
        <f t="shared" si="57"/>
        <v>2628</v>
      </c>
      <c r="Y42" s="132">
        <f t="shared" si="57"/>
        <v>0</v>
      </c>
      <c r="Z42" s="132">
        <f>Y42/X42*100</f>
        <v>0</v>
      </c>
      <c r="AA42" s="132">
        <f t="shared" si="57"/>
        <v>3576</v>
      </c>
      <c r="AB42" s="132">
        <f t="shared" si="57"/>
        <v>0</v>
      </c>
      <c r="AC42" s="132">
        <f>AB42/AA42*100</f>
        <v>0</v>
      </c>
      <c r="AD42" s="132">
        <f t="shared" si="57"/>
        <v>2569</v>
      </c>
      <c r="AE42" s="132">
        <f t="shared" si="57"/>
        <v>0</v>
      </c>
      <c r="AF42" s="132">
        <f>AE42/AD42*100</f>
        <v>0</v>
      </c>
      <c r="AG42" s="132">
        <f t="shared" si="57"/>
        <v>2544</v>
      </c>
      <c r="AH42" s="132">
        <f t="shared" si="57"/>
        <v>0</v>
      </c>
      <c r="AI42" s="117">
        <f>AH42/AG42*100</f>
        <v>0</v>
      </c>
      <c r="AJ42" s="132">
        <f t="shared" si="57"/>
        <v>2984</v>
      </c>
      <c r="AK42" s="132">
        <f t="shared" si="57"/>
        <v>0</v>
      </c>
      <c r="AL42" s="132">
        <f t="shared" si="57"/>
        <v>0</v>
      </c>
      <c r="AM42" s="132">
        <f t="shared" si="57"/>
        <v>2265.6</v>
      </c>
      <c r="AN42" s="132">
        <f t="shared" si="57"/>
        <v>0</v>
      </c>
      <c r="AO42" s="132">
        <f t="shared" si="57"/>
        <v>0</v>
      </c>
      <c r="AP42" s="132">
        <f t="shared" si="57"/>
        <v>6599.2</v>
      </c>
      <c r="AQ42" s="104"/>
      <c r="AR42" s="104"/>
      <c r="AS42" s="338" t="s">
        <v>310</v>
      </c>
      <c r="AT42" s="380"/>
      <c r="AU42" s="121">
        <f t="shared" si="46"/>
        <v>22092</v>
      </c>
      <c r="AV42" s="121">
        <f t="shared" si="47"/>
        <v>0</v>
      </c>
      <c r="AW42" s="155">
        <f t="shared" si="48"/>
        <v>0</v>
      </c>
    </row>
    <row r="43" spans="1:49" s="31" customFormat="1" ht="36">
      <c r="A43" s="372"/>
      <c r="B43" s="375"/>
      <c r="C43" s="378"/>
      <c r="D43" s="336"/>
      <c r="E43" s="108" t="s">
        <v>3</v>
      </c>
      <c r="F43" s="123">
        <f>I43+L43+O43+R43+U43+X43+AA43+AD43+AG43+AJ43+AM43+AP43</f>
        <v>30600.9</v>
      </c>
      <c r="G43" s="123">
        <f>J43+M43+P43+S43+V43+Y43+AB43+AE43+AH43+AK43+AN43+AQ43</f>
        <v>0</v>
      </c>
      <c r="H43" s="123">
        <f>G43/F43*100</f>
        <v>0</v>
      </c>
      <c r="I43" s="123">
        <v>0</v>
      </c>
      <c r="J43" s="123">
        <v>0</v>
      </c>
      <c r="K43" s="123" t="e">
        <f t="shared" si="55"/>
        <v>#DIV/0!</v>
      </c>
      <c r="L43" s="150">
        <v>2178</v>
      </c>
      <c r="M43" s="123">
        <v>0</v>
      </c>
      <c r="N43" s="138">
        <f t="shared" ref="N43:N44" si="58">M43/L43*100</f>
        <v>0</v>
      </c>
      <c r="O43" s="123">
        <v>1989</v>
      </c>
      <c r="P43" s="123">
        <v>0</v>
      </c>
      <c r="Q43" s="123">
        <f t="shared" si="56"/>
        <v>0</v>
      </c>
      <c r="R43" s="123">
        <v>3010</v>
      </c>
      <c r="S43" s="123">
        <v>0</v>
      </c>
      <c r="T43" s="132">
        <f t="shared" ref="T43:T44" si="59">S43/R43*100</f>
        <v>0</v>
      </c>
      <c r="U43" s="117">
        <v>2037</v>
      </c>
      <c r="V43" s="117">
        <v>0</v>
      </c>
      <c r="W43" s="132">
        <f t="shared" ref="W43:W44" si="60">V43/U43*100</f>
        <v>0</v>
      </c>
      <c r="X43" s="117">
        <v>2578</v>
      </c>
      <c r="Y43" s="117">
        <v>0</v>
      </c>
      <c r="Z43" s="117">
        <f>Y43/X43*100</f>
        <v>0</v>
      </c>
      <c r="AA43" s="117">
        <v>3526</v>
      </c>
      <c r="AB43" s="117">
        <v>0</v>
      </c>
      <c r="AC43" s="117">
        <f>AB43/AA43*100</f>
        <v>0</v>
      </c>
      <c r="AD43" s="117">
        <v>2117</v>
      </c>
      <c r="AE43" s="117">
        <v>0</v>
      </c>
      <c r="AF43" s="117">
        <f>AE43/AD43*100</f>
        <v>0</v>
      </c>
      <c r="AG43" s="117">
        <v>2494</v>
      </c>
      <c r="AH43" s="117">
        <v>0</v>
      </c>
      <c r="AI43" s="117">
        <f>AH43/AG43*100</f>
        <v>0</v>
      </c>
      <c r="AJ43" s="123">
        <v>2934</v>
      </c>
      <c r="AK43" s="123">
        <v>0</v>
      </c>
      <c r="AL43" s="123">
        <v>0</v>
      </c>
      <c r="AM43" s="117">
        <v>1812</v>
      </c>
      <c r="AN43" s="117">
        <v>0</v>
      </c>
      <c r="AO43" s="117">
        <v>0</v>
      </c>
      <c r="AP43" s="123">
        <v>5925.9</v>
      </c>
      <c r="AQ43" s="104"/>
      <c r="AR43" s="104"/>
      <c r="AS43" s="339"/>
      <c r="AT43" s="381"/>
      <c r="AU43" s="121">
        <f t="shared" si="46"/>
        <v>19929</v>
      </c>
      <c r="AV43" s="121">
        <f t="shared" si="47"/>
        <v>0</v>
      </c>
      <c r="AW43" s="155">
        <f t="shared" si="48"/>
        <v>0</v>
      </c>
    </row>
    <row r="44" spans="1:49" s="31" customFormat="1" ht="12.75">
      <c r="A44" s="372"/>
      <c r="B44" s="375"/>
      <c r="C44" s="378"/>
      <c r="D44" s="336"/>
      <c r="E44" s="108" t="s">
        <v>44</v>
      </c>
      <c r="F44" s="123">
        <f t="shared" ref="F44:F45" si="61">I44+L44+O44+R44+U44+X44+AA44+AD44+AG44+AJ44+AM44+AP44</f>
        <v>3339.8999999999996</v>
      </c>
      <c r="G44" s="123">
        <f t="shared" ref="G44:G45" si="62">J44+M44+P44+S44+V44+Y44+AB44+AE44+AH44+AK44+AN44+AQ44</f>
        <v>0</v>
      </c>
      <c r="H44" s="123">
        <f>G44/F44*100</f>
        <v>0</v>
      </c>
      <c r="I44" s="123">
        <v>556</v>
      </c>
      <c r="J44" s="123">
        <v>0</v>
      </c>
      <c r="K44" s="123">
        <f t="shared" si="55"/>
        <v>0</v>
      </c>
      <c r="L44" s="150">
        <v>250</v>
      </c>
      <c r="M44" s="123">
        <v>0</v>
      </c>
      <c r="N44" s="138">
        <f t="shared" si="58"/>
        <v>0</v>
      </c>
      <c r="O44" s="123">
        <v>253</v>
      </c>
      <c r="P44" s="123">
        <v>0</v>
      </c>
      <c r="Q44" s="123">
        <f t="shared" si="56"/>
        <v>0</v>
      </c>
      <c r="R44" s="123">
        <v>50</v>
      </c>
      <c r="S44" s="123">
        <v>0</v>
      </c>
      <c r="T44" s="132">
        <f t="shared" si="59"/>
        <v>0</v>
      </c>
      <c r="U44" s="117">
        <v>452</v>
      </c>
      <c r="V44" s="117">
        <v>0</v>
      </c>
      <c r="W44" s="132">
        <f t="shared" si="60"/>
        <v>0</v>
      </c>
      <c r="X44" s="117">
        <v>50</v>
      </c>
      <c r="Y44" s="117">
        <v>0</v>
      </c>
      <c r="Z44" s="117">
        <f>Y44/X44*100</f>
        <v>0</v>
      </c>
      <c r="AA44" s="117">
        <v>50</v>
      </c>
      <c r="AB44" s="117">
        <v>0</v>
      </c>
      <c r="AC44" s="117">
        <f>AB44/AA44*100</f>
        <v>0</v>
      </c>
      <c r="AD44" s="117">
        <v>452</v>
      </c>
      <c r="AE44" s="117">
        <v>0</v>
      </c>
      <c r="AF44" s="117">
        <f>AE44/AD44*100</f>
        <v>0</v>
      </c>
      <c r="AG44" s="117">
        <v>50</v>
      </c>
      <c r="AH44" s="117">
        <v>0</v>
      </c>
      <c r="AI44" s="117">
        <f>AH44/AG44*100</f>
        <v>0</v>
      </c>
      <c r="AJ44" s="123">
        <v>50</v>
      </c>
      <c r="AK44" s="123">
        <v>0</v>
      </c>
      <c r="AL44" s="123">
        <v>0</v>
      </c>
      <c r="AM44" s="117">
        <v>453.6</v>
      </c>
      <c r="AN44" s="117">
        <v>0</v>
      </c>
      <c r="AO44" s="117">
        <v>0</v>
      </c>
      <c r="AP44" s="123">
        <v>673.3</v>
      </c>
      <c r="AQ44" s="104"/>
      <c r="AR44" s="104"/>
      <c r="AS44" s="339"/>
      <c r="AT44" s="381"/>
      <c r="AU44" s="121">
        <f t="shared" si="46"/>
        <v>2163</v>
      </c>
      <c r="AV44" s="121">
        <f t="shared" si="47"/>
        <v>0</v>
      </c>
      <c r="AW44" s="155">
        <f t="shared" si="48"/>
        <v>0</v>
      </c>
    </row>
    <row r="45" spans="1:49" s="31" customFormat="1" ht="25.5" customHeight="1">
      <c r="A45" s="373"/>
      <c r="B45" s="376"/>
      <c r="C45" s="379"/>
      <c r="D45" s="337"/>
      <c r="E45" s="109" t="s">
        <v>257</v>
      </c>
      <c r="F45" s="123">
        <f t="shared" si="61"/>
        <v>0</v>
      </c>
      <c r="G45" s="123">
        <f t="shared" si="62"/>
        <v>0</v>
      </c>
      <c r="H45" s="123">
        <v>0</v>
      </c>
      <c r="I45" s="123">
        <v>0</v>
      </c>
      <c r="J45" s="123">
        <v>0</v>
      </c>
      <c r="K45" s="123">
        <v>0</v>
      </c>
      <c r="L45" s="150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4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23">
        <v>0</v>
      </c>
      <c r="AK45" s="123">
        <v>0</v>
      </c>
      <c r="AL45" s="123">
        <v>0</v>
      </c>
      <c r="AM45" s="117">
        <v>0</v>
      </c>
      <c r="AN45" s="117">
        <v>0</v>
      </c>
      <c r="AO45" s="117">
        <v>0</v>
      </c>
      <c r="AP45" s="123">
        <v>0</v>
      </c>
      <c r="AQ45" s="104"/>
      <c r="AR45" s="104"/>
      <c r="AS45" s="340"/>
      <c r="AT45" s="382"/>
      <c r="AU45" s="121"/>
      <c r="AV45" s="121"/>
      <c r="AW45" s="155"/>
    </row>
    <row r="46" spans="1:49" s="31" customFormat="1" ht="15.75">
      <c r="A46" s="350" t="s">
        <v>368</v>
      </c>
      <c r="B46" s="351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2"/>
      <c r="AU46" s="121"/>
      <c r="AV46" s="121"/>
      <c r="AW46" s="155"/>
    </row>
    <row r="47" spans="1:49" s="31" customFormat="1" ht="15.75">
      <c r="A47" s="350" t="s">
        <v>369</v>
      </c>
      <c r="B47" s="351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2"/>
      <c r="AU47" s="121"/>
      <c r="AV47" s="121"/>
      <c r="AW47" s="155"/>
    </row>
    <row r="48" spans="1:49" s="100" customFormat="1" ht="12.75">
      <c r="A48" s="353" t="s">
        <v>270</v>
      </c>
      <c r="B48" s="354"/>
      <c r="C48" s="354"/>
      <c r="D48" s="355"/>
      <c r="E48" s="129" t="s">
        <v>42</v>
      </c>
      <c r="F48" s="106">
        <f>F49+F50+F51</f>
        <v>599.4</v>
      </c>
      <c r="G48" s="106">
        <f t="shared" ref="G48:AR48" si="63">G49+G50+G51</f>
        <v>0</v>
      </c>
      <c r="H48" s="106">
        <f>G48/F48*100</f>
        <v>0</v>
      </c>
      <c r="I48" s="106">
        <f t="shared" si="63"/>
        <v>0</v>
      </c>
      <c r="J48" s="106">
        <f t="shared" si="63"/>
        <v>0</v>
      </c>
      <c r="K48" s="106">
        <v>0</v>
      </c>
      <c r="L48" s="106">
        <f t="shared" si="63"/>
        <v>0</v>
      </c>
      <c r="M48" s="106">
        <f t="shared" si="63"/>
        <v>0</v>
      </c>
      <c r="N48" s="106">
        <v>0</v>
      </c>
      <c r="O48" s="106">
        <f t="shared" si="63"/>
        <v>119.8</v>
      </c>
      <c r="P48" s="106">
        <f t="shared" si="63"/>
        <v>0</v>
      </c>
      <c r="Q48" s="106">
        <f>P48/O48*100</f>
        <v>0</v>
      </c>
      <c r="R48" s="106">
        <f t="shared" si="63"/>
        <v>0</v>
      </c>
      <c r="S48" s="106">
        <f t="shared" si="63"/>
        <v>0</v>
      </c>
      <c r="T48" s="106">
        <v>0</v>
      </c>
      <c r="U48" s="106">
        <f t="shared" si="63"/>
        <v>0</v>
      </c>
      <c r="V48" s="106">
        <f t="shared" si="63"/>
        <v>0</v>
      </c>
      <c r="W48" s="106">
        <f t="shared" si="63"/>
        <v>0</v>
      </c>
      <c r="X48" s="106">
        <f t="shared" si="63"/>
        <v>179.7</v>
      </c>
      <c r="Y48" s="106">
        <f t="shared" si="63"/>
        <v>0</v>
      </c>
      <c r="Z48" s="106">
        <f t="shared" si="63"/>
        <v>0</v>
      </c>
      <c r="AA48" s="106">
        <f t="shared" si="63"/>
        <v>0</v>
      </c>
      <c r="AB48" s="106">
        <f t="shared" si="63"/>
        <v>0</v>
      </c>
      <c r="AC48" s="106">
        <f t="shared" si="63"/>
        <v>0</v>
      </c>
      <c r="AD48" s="106">
        <f t="shared" si="63"/>
        <v>0</v>
      </c>
      <c r="AE48" s="106">
        <f t="shared" si="63"/>
        <v>0</v>
      </c>
      <c r="AF48" s="106">
        <f t="shared" si="63"/>
        <v>0</v>
      </c>
      <c r="AG48" s="106">
        <f t="shared" si="63"/>
        <v>179.7</v>
      </c>
      <c r="AH48" s="106">
        <f t="shared" si="63"/>
        <v>0</v>
      </c>
      <c r="AI48" s="106">
        <f t="shared" si="63"/>
        <v>0</v>
      </c>
      <c r="AJ48" s="106">
        <f t="shared" si="63"/>
        <v>0</v>
      </c>
      <c r="AK48" s="106">
        <f t="shared" si="63"/>
        <v>0</v>
      </c>
      <c r="AL48" s="106">
        <f t="shared" si="63"/>
        <v>0</v>
      </c>
      <c r="AM48" s="106">
        <f t="shared" si="63"/>
        <v>120.2</v>
      </c>
      <c r="AN48" s="106">
        <f t="shared" si="63"/>
        <v>0</v>
      </c>
      <c r="AO48" s="106">
        <f t="shared" si="63"/>
        <v>0</v>
      </c>
      <c r="AP48" s="106">
        <f t="shared" si="63"/>
        <v>0</v>
      </c>
      <c r="AQ48" s="106">
        <f t="shared" si="63"/>
        <v>0</v>
      </c>
      <c r="AR48" s="106">
        <f t="shared" si="63"/>
        <v>0</v>
      </c>
      <c r="AS48" s="317"/>
      <c r="AT48" s="362"/>
      <c r="AU48" s="121">
        <f t="shared" si="46"/>
        <v>479.2</v>
      </c>
      <c r="AV48" s="121">
        <f t="shared" si="47"/>
        <v>0</v>
      </c>
      <c r="AW48" s="155">
        <f t="shared" si="48"/>
        <v>0</v>
      </c>
    </row>
    <row r="49" spans="1:49" s="100" customFormat="1" ht="36">
      <c r="A49" s="356"/>
      <c r="B49" s="357"/>
      <c r="C49" s="357"/>
      <c r="D49" s="358"/>
      <c r="E49" s="111" t="s">
        <v>3</v>
      </c>
      <c r="F49" s="106">
        <f>F57</f>
        <v>0</v>
      </c>
      <c r="G49" s="106">
        <f t="shared" ref="G49:AR51" si="64">G57</f>
        <v>0</v>
      </c>
      <c r="H49" s="106">
        <v>0</v>
      </c>
      <c r="I49" s="106">
        <f t="shared" si="64"/>
        <v>0</v>
      </c>
      <c r="J49" s="106">
        <f t="shared" si="64"/>
        <v>0</v>
      </c>
      <c r="K49" s="106">
        <v>0</v>
      </c>
      <c r="L49" s="106">
        <f t="shared" si="64"/>
        <v>0</v>
      </c>
      <c r="M49" s="106">
        <f t="shared" si="64"/>
        <v>0</v>
      </c>
      <c r="N49" s="106">
        <v>0</v>
      </c>
      <c r="O49" s="106">
        <f t="shared" si="64"/>
        <v>0</v>
      </c>
      <c r="P49" s="106">
        <f t="shared" si="64"/>
        <v>0</v>
      </c>
      <c r="Q49" s="106">
        <v>0</v>
      </c>
      <c r="R49" s="106">
        <f t="shared" si="64"/>
        <v>0</v>
      </c>
      <c r="S49" s="106">
        <f t="shared" si="64"/>
        <v>0</v>
      </c>
      <c r="T49" s="106">
        <f t="shared" si="64"/>
        <v>0</v>
      </c>
      <c r="U49" s="106">
        <f t="shared" si="64"/>
        <v>0</v>
      </c>
      <c r="V49" s="106">
        <f t="shared" si="64"/>
        <v>0</v>
      </c>
      <c r="W49" s="106">
        <f t="shared" si="64"/>
        <v>0</v>
      </c>
      <c r="X49" s="106">
        <f t="shared" si="64"/>
        <v>0</v>
      </c>
      <c r="Y49" s="106">
        <f t="shared" si="64"/>
        <v>0</v>
      </c>
      <c r="Z49" s="106">
        <f t="shared" si="64"/>
        <v>0</v>
      </c>
      <c r="AA49" s="106">
        <f t="shared" si="64"/>
        <v>0</v>
      </c>
      <c r="AB49" s="106">
        <f t="shared" si="64"/>
        <v>0</v>
      </c>
      <c r="AC49" s="106">
        <f t="shared" si="64"/>
        <v>0</v>
      </c>
      <c r="AD49" s="106">
        <f t="shared" si="64"/>
        <v>0</v>
      </c>
      <c r="AE49" s="106">
        <f t="shared" si="64"/>
        <v>0</v>
      </c>
      <c r="AF49" s="106">
        <f t="shared" si="64"/>
        <v>0</v>
      </c>
      <c r="AG49" s="106">
        <f t="shared" si="64"/>
        <v>0</v>
      </c>
      <c r="AH49" s="106">
        <f t="shared" si="64"/>
        <v>0</v>
      </c>
      <c r="AI49" s="106">
        <f t="shared" si="64"/>
        <v>0</v>
      </c>
      <c r="AJ49" s="106">
        <f t="shared" si="64"/>
        <v>0</v>
      </c>
      <c r="AK49" s="106">
        <f t="shared" si="64"/>
        <v>0</v>
      </c>
      <c r="AL49" s="106">
        <f t="shared" si="64"/>
        <v>0</v>
      </c>
      <c r="AM49" s="106">
        <f t="shared" si="64"/>
        <v>0</v>
      </c>
      <c r="AN49" s="106">
        <f t="shared" si="64"/>
        <v>0</v>
      </c>
      <c r="AO49" s="106">
        <f t="shared" si="64"/>
        <v>0</v>
      </c>
      <c r="AP49" s="106">
        <f t="shared" si="64"/>
        <v>0</v>
      </c>
      <c r="AQ49" s="106">
        <f t="shared" si="64"/>
        <v>0</v>
      </c>
      <c r="AR49" s="106">
        <f t="shared" si="64"/>
        <v>0</v>
      </c>
      <c r="AS49" s="318"/>
      <c r="AT49" s="363"/>
      <c r="AU49" s="121"/>
      <c r="AV49" s="121"/>
      <c r="AW49" s="155"/>
    </row>
    <row r="50" spans="1:49" s="100" customFormat="1" ht="24">
      <c r="A50" s="356"/>
      <c r="B50" s="357"/>
      <c r="C50" s="357"/>
      <c r="D50" s="358"/>
      <c r="E50" s="111" t="s">
        <v>44</v>
      </c>
      <c r="F50" s="106">
        <f>F58</f>
        <v>599.4</v>
      </c>
      <c r="G50" s="106">
        <f t="shared" si="64"/>
        <v>0</v>
      </c>
      <c r="H50" s="106">
        <f>G50/F50*100</f>
        <v>0</v>
      </c>
      <c r="I50" s="106">
        <f t="shared" si="64"/>
        <v>0</v>
      </c>
      <c r="J50" s="106">
        <f t="shared" si="64"/>
        <v>0</v>
      </c>
      <c r="K50" s="106">
        <v>0</v>
      </c>
      <c r="L50" s="106">
        <f t="shared" si="64"/>
        <v>0</v>
      </c>
      <c r="M50" s="106">
        <f t="shared" si="64"/>
        <v>0</v>
      </c>
      <c r="N50" s="106">
        <v>0</v>
      </c>
      <c r="O50" s="106">
        <f t="shared" si="64"/>
        <v>119.8</v>
      </c>
      <c r="P50" s="106">
        <f t="shared" si="64"/>
        <v>0</v>
      </c>
      <c r="Q50" s="106">
        <f t="shared" ref="Q50" si="65">P50/O50*100</f>
        <v>0</v>
      </c>
      <c r="R50" s="106">
        <f t="shared" si="64"/>
        <v>0</v>
      </c>
      <c r="S50" s="106">
        <f t="shared" si="64"/>
        <v>0</v>
      </c>
      <c r="T50" s="106">
        <f t="shared" si="64"/>
        <v>0</v>
      </c>
      <c r="U50" s="106">
        <f t="shared" si="64"/>
        <v>0</v>
      </c>
      <c r="V50" s="106">
        <f t="shared" si="64"/>
        <v>0</v>
      </c>
      <c r="W50" s="106">
        <f t="shared" si="64"/>
        <v>0</v>
      </c>
      <c r="X50" s="106">
        <f t="shared" si="64"/>
        <v>179.7</v>
      </c>
      <c r="Y50" s="106">
        <f t="shared" si="64"/>
        <v>0</v>
      </c>
      <c r="Z50" s="106">
        <f t="shared" si="64"/>
        <v>0</v>
      </c>
      <c r="AA50" s="106">
        <f t="shared" si="64"/>
        <v>0</v>
      </c>
      <c r="AB50" s="106">
        <f t="shared" si="64"/>
        <v>0</v>
      </c>
      <c r="AC50" s="106">
        <f t="shared" si="64"/>
        <v>0</v>
      </c>
      <c r="AD50" s="106">
        <f t="shared" si="64"/>
        <v>0</v>
      </c>
      <c r="AE50" s="106">
        <f t="shared" si="64"/>
        <v>0</v>
      </c>
      <c r="AF50" s="106">
        <f t="shared" si="64"/>
        <v>0</v>
      </c>
      <c r="AG50" s="106">
        <f t="shared" si="64"/>
        <v>179.7</v>
      </c>
      <c r="AH50" s="106">
        <f t="shared" si="64"/>
        <v>0</v>
      </c>
      <c r="AI50" s="106">
        <f t="shared" si="64"/>
        <v>0</v>
      </c>
      <c r="AJ50" s="106">
        <f t="shared" si="64"/>
        <v>0</v>
      </c>
      <c r="AK50" s="106">
        <f t="shared" si="64"/>
        <v>0</v>
      </c>
      <c r="AL50" s="106">
        <f t="shared" si="64"/>
        <v>0</v>
      </c>
      <c r="AM50" s="106">
        <f t="shared" si="64"/>
        <v>120.2</v>
      </c>
      <c r="AN50" s="106">
        <f t="shared" si="64"/>
        <v>0</v>
      </c>
      <c r="AO50" s="106">
        <f t="shared" si="64"/>
        <v>0</v>
      </c>
      <c r="AP50" s="106">
        <f t="shared" si="64"/>
        <v>0</v>
      </c>
      <c r="AQ50" s="106">
        <f t="shared" si="64"/>
        <v>0</v>
      </c>
      <c r="AR50" s="106">
        <f t="shared" si="64"/>
        <v>0</v>
      </c>
      <c r="AS50" s="318"/>
      <c r="AT50" s="363"/>
      <c r="AU50" s="121">
        <f t="shared" si="46"/>
        <v>479.2</v>
      </c>
      <c r="AV50" s="121">
        <f t="shared" si="47"/>
        <v>0</v>
      </c>
      <c r="AW50" s="155">
        <f t="shared" si="48"/>
        <v>0</v>
      </c>
    </row>
    <row r="51" spans="1:49" s="100" customFormat="1" ht="24">
      <c r="A51" s="359"/>
      <c r="B51" s="360"/>
      <c r="C51" s="360"/>
      <c r="D51" s="361"/>
      <c r="E51" s="110" t="s">
        <v>257</v>
      </c>
      <c r="F51" s="106">
        <f>F59</f>
        <v>0</v>
      </c>
      <c r="G51" s="106">
        <f t="shared" si="64"/>
        <v>0</v>
      </c>
      <c r="H51" s="106">
        <v>0</v>
      </c>
      <c r="I51" s="106">
        <f t="shared" si="64"/>
        <v>0</v>
      </c>
      <c r="J51" s="106">
        <f t="shared" si="64"/>
        <v>0</v>
      </c>
      <c r="K51" s="106">
        <f t="shared" si="64"/>
        <v>0</v>
      </c>
      <c r="L51" s="106">
        <f t="shared" si="64"/>
        <v>0</v>
      </c>
      <c r="M51" s="106">
        <f t="shared" si="64"/>
        <v>0</v>
      </c>
      <c r="N51" s="106">
        <v>0</v>
      </c>
      <c r="O51" s="106">
        <f t="shared" si="64"/>
        <v>0</v>
      </c>
      <c r="P51" s="106">
        <f t="shared" si="64"/>
        <v>0</v>
      </c>
      <c r="Q51" s="106">
        <f t="shared" si="64"/>
        <v>0</v>
      </c>
      <c r="R51" s="106">
        <f t="shared" si="64"/>
        <v>0</v>
      </c>
      <c r="S51" s="106">
        <f t="shared" si="64"/>
        <v>0</v>
      </c>
      <c r="T51" s="106">
        <f t="shared" si="64"/>
        <v>0</v>
      </c>
      <c r="U51" s="106">
        <f t="shared" si="64"/>
        <v>0</v>
      </c>
      <c r="V51" s="106">
        <f t="shared" si="64"/>
        <v>0</v>
      </c>
      <c r="W51" s="106">
        <f t="shared" si="64"/>
        <v>0</v>
      </c>
      <c r="X51" s="106">
        <f t="shared" si="64"/>
        <v>0</v>
      </c>
      <c r="Y51" s="106">
        <f t="shared" si="64"/>
        <v>0</v>
      </c>
      <c r="Z51" s="106">
        <f t="shared" si="64"/>
        <v>0</v>
      </c>
      <c r="AA51" s="106">
        <f t="shared" si="64"/>
        <v>0</v>
      </c>
      <c r="AB51" s="106">
        <f t="shared" si="64"/>
        <v>0</v>
      </c>
      <c r="AC51" s="106">
        <f t="shared" si="64"/>
        <v>0</v>
      </c>
      <c r="AD51" s="106">
        <f t="shared" si="64"/>
        <v>0</v>
      </c>
      <c r="AE51" s="106">
        <f t="shared" si="64"/>
        <v>0</v>
      </c>
      <c r="AF51" s="106">
        <f t="shared" si="64"/>
        <v>0</v>
      </c>
      <c r="AG51" s="106">
        <f t="shared" si="64"/>
        <v>0</v>
      </c>
      <c r="AH51" s="106">
        <f t="shared" si="64"/>
        <v>0</v>
      </c>
      <c r="AI51" s="106">
        <f t="shared" si="64"/>
        <v>0</v>
      </c>
      <c r="AJ51" s="106">
        <f t="shared" si="64"/>
        <v>0</v>
      </c>
      <c r="AK51" s="106">
        <f t="shared" si="64"/>
        <v>0</v>
      </c>
      <c r="AL51" s="106">
        <f t="shared" si="64"/>
        <v>0</v>
      </c>
      <c r="AM51" s="106">
        <f t="shared" si="64"/>
        <v>0</v>
      </c>
      <c r="AN51" s="106">
        <f t="shared" si="64"/>
        <v>0</v>
      </c>
      <c r="AO51" s="106">
        <f t="shared" si="64"/>
        <v>0</v>
      </c>
      <c r="AP51" s="106">
        <f t="shared" si="64"/>
        <v>0</v>
      </c>
      <c r="AQ51" s="106">
        <f t="shared" si="64"/>
        <v>0</v>
      </c>
      <c r="AR51" s="106">
        <f t="shared" si="64"/>
        <v>0</v>
      </c>
      <c r="AS51" s="319"/>
      <c r="AT51" s="364"/>
      <c r="AU51" s="121"/>
      <c r="AV51" s="121"/>
      <c r="AW51" s="155"/>
    </row>
    <row r="52" spans="1:49" s="100" customFormat="1" ht="84">
      <c r="A52" s="133" t="s">
        <v>370</v>
      </c>
      <c r="B52" s="161" t="s">
        <v>371</v>
      </c>
      <c r="C52" s="162" t="s">
        <v>276</v>
      </c>
      <c r="D52" s="171" t="s">
        <v>372</v>
      </c>
      <c r="E52" s="143" t="s">
        <v>275</v>
      </c>
      <c r="F52" s="149" t="s">
        <v>279</v>
      </c>
      <c r="G52" s="149" t="s">
        <v>279</v>
      </c>
      <c r="H52" s="149" t="s">
        <v>279</v>
      </c>
      <c r="I52" s="149" t="s">
        <v>279</v>
      </c>
      <c r="J52" s="149" t="s">
        <v>279</v>
      </c>
      <c r="K52" s="149" t="s">
        <v>279</v>
      </c>
      <c r="L52" s="149" t="s">
        <v>279</v>
      </c>
      <c r="M52" s="149" t="s">
        <v>279</v>
      </c>
      <c r="N52" s="149" t="s">
        <v>279</v>
      </c>
      <c r="O52" s="149" t="s">
        <v>279</v>
      </c>
      <c r="P52" s="149" t="s">
        <v>279</v>
      </c>
      <c r="Q52" s="149" t="s">
        <v>279</v>
      </c>
      <c r="R52" s="149" t="s">
        <v>279</v>
      </c>
      <c r="S52" s="149" t="s">
        <v>279</v>
      </c>
      <c r="T52" s="149" t="s">
        <v>279</v>
      </c>
      <c r="U52" s="149" t="s">
        <v>279</v>
      </c>
      <c r="V52" s="149" t="s">
        <v>279</v>
      </c>
      <c r="W52" s="149" t="s">
        <v>279</v>
      </c>
      <c r="X52" s="149" t="s">
        <v>279</v>
      </c>
      <c r="Y52" s="149" t="s">
        <v>279</v>
      </c>
      <c r="Z52" s="149" t="s">
        <v>279</v>
      </c>
      <c r="AA52" s="149" t="s">
        <v>279</v>
      </c>
      <c r="AB52" s="149" t="s">
        <v>279</v>
      </c>
      <c r="AC52" s="149" t="s">
        <v>279</v>
      </c>
      <c r="AD52" s="149" t="s">
        <v>279</v>
      </c>
      <c r="AE52" s="149" t="s">
        <v>279</v>
      </c>
      <c r="AF52" s="149" t="s">
        <v>279</v>
      </c>
      <c r="AG52" s="149" t="s">
        <v>279</v>
      </c>
      <c r="AH52" s="149" t="s">
        <v>279</v>
      </c>
      <c r="AI52" s="149" t="s">
        <v>279</v>
      </c>
      <c r="AJ52" s="149" t="s">
        <v>279</v>
      </c>
      <c r="AK52" s="149" t="s">
        <v>279</v>
      </c>
      <c r="AL52" s="149" t="s">
        <v>279</v>
      </c>
      <c r="AM52" s="149" t="s">
        <v>279</v>
      </c>
      <c r="AN52" s="149" t="s">
        <v>279</v>
      </c>
      <c r="AO52" s="149" t="s">
        <v>279</v>
      </c>
      <c r="AP52" s="149" t="s">
        <v>279</v>
      </c>
      <c r="AQ52" s="149" t="s">
        <v>279</v>
      </c>
      <c r="AR52" s="149" t="s">
        <v>279</v>
      </c>
      <c r="AS52" s="144" t="s">
        <v>311</v>
      </c>
      <c r="AT52" s="139"/>
      <c r="AU52" s="121"/>
      <c r="AV52" s="121"/>
      <c r="AW52" s="155"/>
    </row>
    <row r="53" spans="1:49" s="100" customFormat="1" ht="264">
      <c r="A53" s="159" t="s">
        <v>373</v>
      </c>
      <c r="B53" s="161" t="s">
        <v>374</v>
      </c>
      <c r="C53" s="162" t="s">
        <v>375</v>
      </c>
      <c r="D53" s="171" t="s">
        <v>376</v>
      </c>
      <c r="E53" s="143" t="s">
        <v>275</v>
      </c>
      <c r="F53" s="149" t="s">
        <v>279</v>
      </c>
      <c r="G53" s="149" t="s">
        <v>279</v>
      </c>
      <c r="H53" s="149" t="s">
        <v>279</v>
      </c>
      <c r="I53" s="149" t="s">
        <v>279</v>
      </c>
      <c r="J53" s="149" t="s">
        <v>279</v>
      </c>
      <c r="K53" s="149" t="s">
        <v>279</v>
      </c>
      <c r="L53" s="149" t="s">
        <v>279</v>
      </c>
      <c r="M53" s="149" t="s">
        <v>279</v>
      </c>
      <c r="N53" s="149" t="s">
        <v>279</v>
      </c>
      <c r="O53" s="149" t="s">
        <v>279</v>
      </c>
      <c r="P53" s="149" t="s">
        <v>279</v>
      </c>
      <c r="Q53" s="149" t="s">
        <v>279</v>
      </c>
      <c r="R53" s="149" t="s">
        <v>279</v>
      </c>
      <c r="S53" s="149" t="s">
        <v>279</v>
      </c>
      <c r="T53" s="149" t="s">
        <v>279</v>
      </c>
      <c r="U53" s="149" t="s">
        <v>279</v>
      </c>
      <c r="V53" s="149" t="s">
        <v>279</v>
      </c>
      <c r="W53" s="149" t="s">
        <v>279</v>
      </c>
      <c r="X53" s="149" t="s">
        <v>279</v>
      </c>
      <c r="Y53" s="149" t="s">
        <v>279</v>
      </c>
      <c r="Z53" s="149" t="s">
        <v>279</v>
      </c>
      <c r="AA53" s="149" t="s">
        <v>279</v>
      </c>
      <c r="AB53" s="149" t="s">
        <v>279</v>
      </c>
      <c r="AC53" s="149" t="s">
        <v>279</v>
      </c>
      <c r="AD53" s="149" t="s">
        <v>279</v>
      </c>
      <c r="AE53" s="149" t="s">
        <v>279</v>
      </c>
      <c r="AF53" s="149" t="s">
        <v>279</v>
      </c>
      <c r="AG53" s="149" t="s">
        <v>279</v>
      </c>
      <c r="AH53" s="149" t="s">
        <v>279</v>
      </c>
      <c r="AI53" s="149" t="s">
        <v>279</v>
      </c>
      <c r="AJ53" s="149" t="s">
        <v>279</v>
      </c>
      <c r="AK53" s="149" t="s">
        <v>279</v>
      </c>
      <c r="AL53" s="149" t="s">
        <v>279</v>
      </c>
      <c r="AM53" s="149" t="s">
        <v>279</v>
      </c>
      <c r="AN53" s="149" t="s">
        <v>279</v>
      </c>
      <c r="AO53" s="149" t="s">
        <v>279</v>
      </c>
      <c r="AP53" s="149" t="s">
        <v>279</v>
      </c>
      <c r="AQ53" s="149" t="s">
        <v>279</v>
      </c>
      <c r="AR53" s="149" t="s">
        <v>279</v>
      </c>
      <c r="AS53" s="156" t="s">
        <v>306</v>
      </c>
      <c r="AT53" s="140"/>
      <c r="AU53" s="121"/>
      <c r="AV53" s="121"/>
      <c r="AW53" s="155"/>
    </row>
    <row r="54" spans="1:49" s="100" customFormat="1" ht="72">
      <c r="A54" s="133" t="s">
        <v>377</v>
      </c>
      <c r="B54" s="165" t="s">
        <v>378</v>
      </c>
      <c r="C54" s="162" t="s">
        <v>276</v>
      </c>
      <c r="D54" s="171" t="s">
        <v>379</v>
      </c>
      <c r="E54" s="143" t="s">
        <v>275</v>
      </c>
      <c r="F54" s="149" t="s">
        <v>279</v>
      </c>
      <c r="G54" s="149" t="s">
        <v>279</v>
      </c>
      <c r="H54" s="149" t="s">
        <v>279</v>
      </c>
      <c r="I54" s="149" t="s">
        <v>279</v>
      </c>
      <c r="J54" s="149" t="s">
        <v>279</v>
      </c>
      <c r="K54" s="149" t="s">
        <v>279</v>
      </c>
      <c r="L54" s="149" t="s">
        <v>279</v>
      </c>
      <c r="M54" s="149" t="s">
        <v>279</v>
      </c>
      <c r="N54" s="149" t="s">
        <v>279</v>
      </c>
      <c r="O54" s="149" t="s">
        <v>279</v>
      </c>
      <c r="P54" s="149" t="s">
        <v>279</v>
      </c>
      <c r="Q54" s="149" t="s">
        <v>279</v>
      </c>
      <c r="R54" s="149" t="s">
        <v>279</v>
      </c>
      <c r="S54" s="149" t="s">
        <v>279</v>
      </c>
      <c r="T54" s="149" t="s">
        <v>279</v>
      </c>
      <c r="U54" s="149" t="s">
        <v>279</v>
      </c>
      <c r="V54" s="149" t="s">
        <v>279</v>
      </c>
      <c r="W54" s="149" t="s">
        <v>279</v>
      </c>
      <c r="X54" s="149" t="s">
        <v>279</v>
      </c>
      <c r="Y54" s="149" t="s">
        <v>279</v>
      </c>
      <c r="Z54" s="149" t="s">
        <v>279</v>
      </c>
      <c r="AA54" s="149" t="s">
        <v>279</v>
      </c>
      <c r="AB54" s="149" t="s">
        <v>279</v>
      </c>
      <c r="AC54" s="149" t="s">
        <v>279</v>
      </c>
      <c r="AD54" s="149" t="s">
        <v>279</v>
      </c>
      <c r="AE54" s="149" t="s">
        <v>279</v>
      </c>
      <c r="AF54" s="149" t="s">
        <v>279</v>
      </c>
      <c r="AG54" s="149" t="s">
        <v>279</v>
      </c>
      <c r="AH54" s="149" t="s">
        <v>279</v>
      </c>
      <c r="AI54" s="149" t="s">
        <v>279</v>
      </c>
      <c r="AJ54" s="149" t="s">
        <v>279</v>
      </c>
      <c r="AK54" s="149" t="s">
        <v>279</v>
      </c>
      <c r="AL54" s="149" t="s">
        <v>279</v>
      </c>
      <c r="AM54" s="149" t="s">
        <v>279</v>
      </c>
      <c r="AN54" s="149" t="s">
        <v>279</v>
      </c>
      <c r="AO54" s="149" t="s">
        <v>279</v>
      </c>
      <c r="AP54" s="149" t="s">
        <v>279</v>
      </c>
      <c r="AQ54" s="149"/>
      <c r="AR54" s="149"/>
      <c r="AS54" s="144" t="s">
        <v>312</v>
      </c>
      <c r="AT54" s="140"/>
      <c r="AU54" s="121"/>
      <c r="AV54" s="121"/>
      <c r="AW54" s="155"/>
    </row>
    <row r="55" spans="1:49" s="100" customFormat="1" ht="84">
      <c r="A55" s="136" t="s">
        <v>380</v>
      </c>
      <c r="B55" s="137" t="s">
        <v>278</v>
      </c>
      <c r="C55" s="135" t="s">
        <v>276</v>
      </c>
      <c r="D55" s="171" t="s">
        <v>381</v>
      </c>
      <c r="E55" s="143" t="s">
        <v>275</v>
      </c>
      <c r="F55" s="149" t="s">
        <v>279</v>
      </c>
      <c r="G55" s="149" t="s">
        <v>279</v>
      </c>
      <c r="H55" s="149" t="s">
        <v>279</v>
      </c>
      <c r="I55" s="149" t="s">
        <v>279</v>
      </c>
      <c r="J55" s="149" t="s">
        <v>279</v>
      </c>
      <c r="K55" s="149" t="s">
        <v>279</v>
      </c>
      <c r="L55" s="149" t="s">
        <v>279</v>
      </c>
      <c r="M55" s="149" t="s">
        <v>279</v>
      </c>
      <c r="N55" s="149" t="s">
        <v>279</v>
      </c>
      <c r="O55" s="149" t="s">
        <v>279</v>
      </c>
      <c r="P55" s="149" t="s">
        <v>279</v>
      </c>
      <c r="Q55" s="149" t="s">
        <v>279</v>
      </c>
      <c r="R55" s="149" t="s">
        <v>279</v>
      </c>
      <c r="S55" s="149" t="s">
        <v>279</v>
      </c>
      <c r="T55" s="149" t="s">
        <v>279</v>
      </c>
      <c r="U55" s="149" t="s">
        <v>279</v>
      </c>
      <c r="V55" s="149" t="s">
        <v>279</v>
      </c>
      <c r="W55" s="149" t="s">
        <v>279</v>
      </c>
      <c r="X55" s="149" t="s">
        <v>279</v>
      </c>
      <c r="Y55" s="149" t="s">
        <v>279</v>
      </c>
      <c r="Z55" s="149" t="s">
        <v>279</v>
      </c>
      <c r="AA55" s="149" t="s">
        <v>279</v>
      </c>
      <c r="AB55" s="149" t="s">
        <v>279</v>
      </c>
      <c r="AC55" s="149" t="s">
        <v>279</v>
      </c>
      <c r="AD55" s="149" t="s">
        <v>279</v>
      </c>
      <c r="AE55" s="149" t="s">
        <v>279</v>
      </c>
      <c r="AF55" s="149" t="s">
        <v>279</v>
      </c>
      <c r="AG55" s="149" t="s">
        <v>279</v>
      </c>
      <c r="AH55" s="149" t="s">
        <v>279</v>
      </c>
      <c r="AI55" s="149" t="s">
        <v>279</v>
      </c>
      <c r="AJ55" s="149" t="s">
        <v>279</v>
      </c>
      <c r="AK55" s="149" t="s">
        <v>279</v>
      </c>
      <c r="AL55" s="149" t="s">
        <v>279</v>
      </c>
      <c r="AM55" s="149" t="s">
        <v>279</v>
      </c>
      <c r="AN55" s="149" t="s">
        <v>279</v>
      </c>
      <c r="AO55" s="149" t="s">
        <v>279</v>
      </c>
      <c r="AP55" s="149" t="s">
        <v>279</v>
      </c>
      <c r="AQ55" s="149"/>
      <c r="AR55" s="149"/>
      <c r="AS55" s="144" t="s">
        <v>313</v>
      </c>
      <c r="AT55" s="140"/>
      <c r="AU55" s="121"/>
      <c r="AV55" s="121"/>
      <c r="AW55" s="155"/>
    </row>
    <row r="56" spans="1:49" s="31" customFormat="1" ht="12.75">
      <c r="A56" s="365" t="s">
        <v>382</v>
      </c>
      <c r="B56" s="329" t="s">
        <v>259</v>
      </c>
      <c r="C56" s="332" t="s">
        <v>271</v>
      </c>
      <c r="D56" s="335" t="s">
        <v>383</v>
      </c>
      <c r="E56" s="107" t="s">
        <v>42</v>
      </c>
      <c r="F56" s="123">
        <f>SUM(F57:F59)</f>
        <v>599.4</v>
      </c>
      <c r="G56" s="123">
        <f t="shared" ref="G56" si="66">SUM(G57:G59)</f>
        <v>0</v>
      </c>
      <c r="H56" s="123">
        <f>G56/F56*100</f>
        <v>0</v>
      </c>
      <c r="I56" s="132">
        <f t="shared" ref="I56:AP56" si="67">I57+I58+I59</f>
        <v>0</v>
      </c>
      <c r="J56" s="132">
        <f t="shared" si="67"/>
        <v>0</v>
      </c>
      <c r="K56" s="123">
        <v>0</v>
      </c>
      <c r="L56" s="132">
        <f t="shared" si="67"/>
        <v>0</v>
      </c>
      <c r="M56" s="132">
        <f t="shared" si="67"/>
        <v>0</v>
      </c>
      <c r="N56" s="132">
        <v>0</v>
      </c>
      <c r="O56" s="132">
        <f t="shared" si="67"/>
        <v>119.8</v>
      </c>
      <c r="P56" s="132">
        <f t="shared" si="67"/>
        <v>0</v>
      </c>
      <c r="Q56" s="123">
        <f t="shared" ref="Q56:Q58" si="68">P56/O56*100</f>
        <v>0</v>
      </c>
      <c r="R56" s="132">
        <f t="shared" si="67"/>
        <v>0</v>
      </c>
      <c r="S56" s="132">
        <f t="shared" si="67"/>
        <v>0</v>
      </c>
      <c r="T56" s="132">
        <f t="shared" si="67"/>
        <v>0</v>
      </c>
      <c r="U56" s="132">
        <f t="shared" si="67"/>
        <v>0</v>
      </c>
      <c r="V56" s="132">
        <f t="shared" si="67"/>
        <v>0</v>
      </c>
      <c r="W56" s="123">
        <v>0</v>
      </c>
      <c r="X56" s="132">
        <f t="shared" si="67"/>
        <v>179.7</v>
      </c>
      <c r="Y56" s="132">
        <f t="shared" si="67"/>
        <v>0</v>
      </c>
      <c r="Z56" s="132">
        <f t="shared" si="67"/>
        <v>0</v>
      </c>
      <c r="AA56" s="132">
        <f t="shared" si="67"/>
        <v>0</v>
      </c>
      <c r="AB56" s="132">
        <f t="shared" si="67"/>
        <v>0</v>
      </c>
      <c r="AC56" s="132">
        <f t="shared" si="67"/>
        <v>0</v>
      </c>
      <c r="AD56" s="132">
        <f t="shared" si="67"/>
        <v>0</v>
      </c>
      <c r="AE56" s="132">
        <f t="shared" si="67"/>
        <v>0</v>
      </c>
      <c r="AF56" s="132">
        <f t="shared" si="67"/>
        <v>0</v>
      </c>
      <c r="AG56" s="132">
        <f t="shared" si="67"/>
        <v>179.7</v>
      </c>
      <c r="AH56" s="132">
        <f t="shared" si="67"/>
        <v>0</v>
      </c>
      <c r="AI56" s="117">
        <f>AH56/AG56*100</f>
        <v>0</v>
      </c>
      <c r="AJ56" s="132">
        <f t="shared" si="67"/>
        <v>0</v>
      </c>
      <c r="AK56" s="132">
        <f t="shared" si="67"/>
        <v>0</v>
      </c>
      <c r="AL56" s="132">
        <f t="shared" si="67"/>
        <v>0</v>
      </c>
      <c r="AM56" s="132">
        <f t="shared" si="67"/>
        <v>120.2</v>
      </c>
      <c r="AN56" s="132">
        <f t="shared" si="67"/>
        <v>0</v>
      </c>
      <c r="AO56" s="132">
        <f t="shared" si="67"/>
        <v>0</v>
      </c>
      <c r="AP56" s="132">
        <f t="shared" si="67"/>
        <v>0</v>
      </c>
      <c r="AQ56" s="104"/>
      <c r="AR56" s="104"/>
      <c r="AS56" s="338" t="s">
        <v>314</v>
      </c>
      <c r="AT56" s="341"/>
      <c r="AU56" s="121">
        <f t="shared" si="46"/>
        <v>479.2</v>
      </c>
      <c r="AV56" s="121">
        <f t="shared" si="47"/>
        <v>0</v>
      </c>
      <c r="AW56" s="155">
        <f t="shared" si="48"/>
        <v>0</v>
      </c>
    </row>
    <row r="57" spans="1:49" s="31" customFormat="1" ht="36">
      <c r="A57" s="366"/>
      <c r="B57" s="330"/>
      <c r="C57" s="333"/>
      <c r="D57" s="336"/>
      <c r="E57" s="108" t="s">
        <v>3</v>
      </c>
      <c r="F57" s="123">
        <f>I57+L57+O57+R57+U57+X57+AA57+AD57+AG57+AJ57+AM57+AP57</f>
        <v>0</v>
      </c>
      <c r="G57" s="123">
        <f>J57+M57+P57+S57+V57+Y57+AB57+AE57+AH57+AK57+AN57+AQ57</f>
        <v>0</v>
      </c>
      <c r="H57" s="123">
        <v>0</v>
      </c>
      <c r="I57" s="123">
        <v>0</v>
      </c>
      <c r="J57" s="123">
        <v>0</v>
      </c>
      <c r="K57" s="123">
        <v>0</v>
      </c>
      <c r="L57" s="150">
        <v>0</v>
      </c>
      <c r="M57" s="123">
        <v>0</v>
      </c>
      <c r="N57" s="138">
        <v>0</v>
      </c>
      <c r="O57" s="123">
        <v>0</v>
      </c>
      <c r="P57" s="123">
        <v>0</v>
      </c>
      <c r="Q57" s="123">
        <v>0</v>
      </c>
      <c r="R57" s="123">
        <v>0</v>
      </c>
      <c r="S57" s="123">
        <v>0</v>
      </c>
      <c r="T57" s="123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23">
        <v>0</v>
      </c>
      <c r="AK57" s="123">
        <v>0</v>
      </c>
      <c r="AL57" s="123">
        <v>0</v>
      </c>
      <c r="AM57" s="117">
        <v>0</v>
      </c>
      <c r="AN57" s="117">
        <v>0</v>
      </c>
      <c r="AO57" s="117">
        <v>0</v>
      </c>
      <c r="AP57" s="123">
        <v>0</v>
      </c>
      <c r="AQ57" s="104"/>
      <c r="AR57" s="104"/>
      <c r="AS57" s="339"/>
      <c r="AT57" s="342"/>
      <c r="AU57" s="121"/>
      <c r="AV57" s="121"/>
      <c r="AW57" s="155"/>
    </row>
    <row r="58" spans="1:49" s="31" customFormat="1" ht="12.75">
      <c r="A58" s="366"/>
      <c r="B58" s="330"/>
      <c r="C58" s="333"/>
      <c r="D58" s="336"/>
      <c r="E58" s="108" t="s">
        <v>44</v>
      </c>
      <c r="F58" s="123">
        <f t="shared" ref="F58:F59" si="69">I58+L58+O58+R58+U58+X58+AA58+AD58+AG58+AJ58+AM58+AP58</f>
        <v>599.4</v>
      </c>
      <c r="G58" s="123">
        <f t="shared" ref="G58:G59" si="70">J58+M58+P58+S58+V58+Y58+AB58+AE58+AH58+AK58+AN58+AQ58</f>
        <v>0</v>
      </c>
      <c r="H58" s="123">
        <f>G58/F58*100</f>
        <v>0</v>
      </c>
      <c r="I58" s="123">
        <v>0</v>
      </c>
      <c r="J58" s="123">
        <v>0</v>
      </c>
      <c r="K58" s="123">
        <v>0</v>
      </c>
      <c r="L58" s="150">
        <v>0</v>
      </c>
      <c r="M58" s="123">
        <v>0</v>
      </c>
      <c r="N58" s="138">
        <v>0</v>
      </c>
      <c r="O58" s="123">
        <v>119.8</v>
      </c>
      <c r="P58" s="123">
        <v>0</v>
      </c>
      <c r="Q58" s="123">
        <f t="shared" si="68"/>
        <v>0</v>
      </c>
      <c r="R58" s="123">
        <v>0</v>
      </c>
      <c r="S58" s="123">
        <v>0</v>
      </c>
      <c r="T58" s="123">
        <v>0</v>
      </c>
      <c r="U58" s="117">
        <v>0</v>
      </c>
      <c r="V58" s="117">
        <v>0</v>
      </c>
      <c r="W58" s="123">
        <v>0</v>
      </c>
      <c r="X58" s="117">
        <v>179.7</v>
      </c>
      <c r="Y58" s="117">
        <v>0</v>
      </c>
      <c r="Z58" s="117">
        <f>Y58/X58*100</f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179.7</v>
      </c>
      <c r="AH58" s="117">
        <v>0</v>
      </c>
      <c r="AI58" s="117">
        <f>AH58/AG58*100</f>
        <v>0</v>
      </c>
      <c r="AJ58" s="123">
        <v>0</v>
      </c>
      <c r="AK58" s="123">
        <v>0</v>
      </c>
      <c r="AL58" s="123">
        <v>0</v>
      </c>
      <c r="AM58" s="117">
        <v>120.2</v>
      </c>
      <c r="AN58" s="117">
        <v>0</v>
      </c>
      <c r="AO58" s="117">
        <v>0</v>
      </c>
      <c r="AP58" s="123">
        <v>0</v>
      </c>
      <c r="AQ58" s="104"/>
      <c r="AR58" s="104"/>
      <c r="AS58" s="339"/>
      <c r="AT58" s="342"/>
      <c r="AU58" s="121">
        <f t="shared" si="46"/>
        <v>479.2</v>
      </c>
      <c r="AV58" s="121">
        <f t="shared" si="47"/>
        <v>0</v>
      </c>
      <c r="AW58" s="155">
        <f t="shared" si="48"/>
        <v>0</v>
      </c>
    </row>
    <row r="59" spans="1:49" s="31" customFormat="1" ht="24">
      <c r="A59" s="367"/>
      <c r="B59" s="331"/>
      <c r="C59" s="334"/>
      <c r="D59" s="337"/>
      <c r="E59" s="109" t="s">
        <v>257</v>
      </c>
      <c r="F59" s="123">
        <f t="shared" si="69"/>
        <v>0</v>
      </c>
      <c r="G59" s="123">
        <f t="shared" si="70"/>
        <v>0</v>
      </c>
      <c r="H59" s="123">
        <v>0</v>
      </c>
      <c r="I59" s="123">
        <v>0</v>
      </c>
      <c r="J59" s="123">
        <v>0</v>
      </c>
      <c r="K59" s="123">
        <v>0</v>
      </c>
      <c r="L59" s="150">
        <v>0</v>
      </c>
      <c r="M59" s="123">
        <v>0</v>
      </c>
      <c r="N59" s="123">
        <v>0</v>
      </c>
      <c r="O59" s="123">
        <v>0</v>
      </c>
      <c r="P59" s="123">
        <v>0</v>
      </c>
      <c r="Q59" s="123">
        <v>0</v>
      </c>
      <c r="R59" s="123">
        <v>0</v>
      </c>
      <c r="S59" s="123">
        <v>0</v>
      </c>
      <c r="T59" s="123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23">
        <v>0</v>
      </c>
      <c r="AK59" s="123">
        <v>0</v>
      </c>
      <c r="AL59" s="123">
        <v>0</v>
      </c>
      <c r="AM59" s="117">
        <v>0</v>
      </c>
      <c r="AN59" s="117">
        <v>0</v>
      </c>
      <c r="AO59" s="117">
        <v>0</v>
      </c>
      <c r="AP59" s="123">
        <v>0</v>
      </c>
      <c r="AQ59" s="104"/>
      <c r="AR59" s="104"/>
      <c r="AS59" s="340"/>
      <c r="AT59" s="343"/>
      <c r="AU59" s="121"/>
      <c r="AV59" s="121"/>
      <c r="AW59" s="155"/>
    </row>
    <row r="60" spans="1:49" s="31" customFormat="1" ht="15.75">
      <c r="A60" s="350" t="s">
        <v>384</v>
      </c>
      <c r="B60" s="351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2"/>
      <c r="AU60" s="121"/>
      <c r="AV60" s="121"/>
      <c r="AW60" s="155"/>
    </row>
    <row r="61" spans="1:49" s="31" customFormat="1" ht="15.75">
      <c r="A61" s="350" t="s">
        <v>385</v>
      </c>
      <c r="B61" s="351"/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2"/>
      <c r="AU61" s="121"/>
      <c r="AV61" s="121"/>
      <c r="AW61" s="155"/>
    </row>
    <row r="62" spans="1:49" s="100" customFormat="1" ht="12.75">
      <c r="A62" s="353" t="s">
        <v>272</v>
      </c>
      <c r="B62" s="354"/>
      <c r="C62" s="354"/>
      <c r="D62" s="355"/>
      <c r="E62" s="129" t="s">
        <v>42</v>
      </c>
      <c r="F62" s="106">
        <f>F63+F64+F65</f>
        <v>10628.100000000002</v>
      </c>
      <c r="G62" s="106">
        <f t="shared" ref="G62:AP62" si="71">G63+G64+G65</f>
        <v>0</v>
      </c>
      <c r="H62" s="106">
        <f>G62/F62*100</f>
        <v>0</v>
      </c>
      <c r="I62" s="106">
        <f t="shared" si="71"/>
        <v>0</v>
      </c>
      <c r="J62" s="106">
        <f t="shared" si="71"/>
        <v>0</v>
      </c>
      <c r="K62" s="106">
        <v>0</v>
      </c>
      <c r="L62" s="106">
        <f t="shared" si="71"/>
        <v>2337.5</v>
      </c>
      <c r="M62" s="106">
        <f t="shared" si="71"/>
        <v>0</v>
      </c>
      <c r="N62" s="106">
        <f t="shared" si="71"/>
        <v>0</v>
      </c>
      <c r="O62" s="106">
        <f t="shared" si="71"/>
        <v>2141.4</v>
      </c>
      <c r="P62" s="106">
        <f t="shared" si="71"/>
        <v>0</v>
      </c>
      <c r="Q62" s="106">
        <f>P62/O62*100</f>
        <v>0</v>
      </c>
      <c r="R62" s="106">
        <f t="shared" si="71"/>
        <v>328.59999999999997</v>
      </c>
      <c r="S62" s="106">
        <f t="shared" si="71"/>
        <v>0</v>
      </c>
      <c r="T62" s="106">
        <f>S62/R62*100</f>
        <v>0</v>
      </c>
      <c r="U62" s="106">
        <f t="shared" si="71"/>
        <v>1220.6000000000001</v>
      </c>
      <c r="V62" s="106">
        <f t="shared" si="71"/>
        <v>0</v>
      </c>
      <c r="W62" s="106">
        <f t="shared" si="71"/>
        <v>0</v>
      </c>
      <c r="X62" s="106">
        <f t="shared" si="71"/>
        <v>1288.6000000000001</v>
      </c>
      <c r="Y62" s="106">
        <f t="shared" si="71"/>
        <v>0</v>
      </c>
      <c r="Z62" s="106">
        <f t="shared" si="71"/>
        <v>0</v>
      </c>
      <c r="AA62" s="106">
        <f t="shared" si="71"/>
        <v>1075.6000000000001</v>
      </c>
      <c r="AB62" s="106">
        <f t="shared" si="71"/>
        <v>0</v>
      </c>
      <c r="AC62" s="106">
        <f t="shared" si="71"/>
        <v>0</v>
      </c>
      <c r="AD62" s="106">
        <f t="shared" si="71"/>
        <v>150.6</v>
      </c>
      <c r="AE62" s="106">
        <f t="shared" si="71"/>
        <v>0</v>
      </c>
      <c r="AF62" s="106">
        <f t="shared" ref="AF62" si="72">AE62/AD62*100</f>
        <v>0</v>
      </c>
      <c r="AG62" s="106">
        <f t="shared" si="71"/>
        <v>200.6</v>
      </c>
      <c r="AH62" s="106">
        <f t="shared" si="71"/>
        <v>0</v>
      </c>
      <c r="AI62" s="106">
        <f t="shared" si="71"/>
        <v>0</v>
      </c>
      <c r="AJ62" s="106">
        <f t="shared" si="71"/>
        <v>162.6</v>
      </c>
      <c r="AK62" s="106">
        <f t="shared" si="71"/>
        <v>0</v>
      </c>
      <c r="AL62" s="106">
        <f t="shared" si="71"/>
        <v>0</v>
      </c>
      <c r="AM62" s="106">
        <f t="shared" si="71"/>
        <v>1350.0000000000002</v>
      </c>
      <c r="AN62" s="106">
        <f t="shared" si="71"/>
        <v>0</v>
      </c>
      <c r="AO62" s="106">
        <f t="shared" si="71"/>
        <v>0</v>
      </c>
      <c r="AP62" s="106">
        <f t="shared" si="71"/>
        <v>372</v>
      </c>
      <c r="AQ62" s="106">
        <f>AQ92+AQ100</f>
        <v>0</v>
      </c>
      <c r="AR62" s="106">
        <f>AR92+AR100</f>
        <v>0</v>
      </c>
      <c r="AS62" s="317"/>
      <c r="AT62" s="362"/>
      <c r="AU62" s="121">
        <f t="shared" si="46"/>
        <v>8743.5000000000018</v>
      </c>
      <c r="AV62" s="121">
        <f t="shared" si="47"/>
        <v>0</v>
      </c>
      <c r="AW62" s="155">
        <f t="shared" si="48"/>
        <v>0</v>
      </c>
    </row>
    <row r="63" spans="1:49" s="100" customFormat="1" ht="36">
      <c r="A63" s="356"/>
      <c r="B63" s="357"/>
      <c r="C63" s="357"/>
      <c r="D63" s="358"/>
      <c r="E63" s="111" t="s">
        <v>3</v>
      </c>
      <c r="F63" s="106">
        <f>F70+F74+F78</f>
        <v>0</v>
      </c>
      <c r="G63" s="106">
        <f t="shared" ref="G63:AR65" si="73">G70+G74+G78</f>
        <v>0</v>
      </c>
      <c r="H63" s="106">
        <v>0</v>
      </c>
      <c r="I63" s="106">
        <f t="shared" si="73"/>
        <v>0</v>
      </c>
      <c r="J63" s="106">
        <f t="shared" si="73"/>
        <v>0</v>
      </c>
      <c r="K63" s="106">
        <v>0</v>
      </c>
      <c r="L63" s="106">
        <f t="shared" si="73"/>
        <v>0</v>
      </c>
      <c r="M63" s="106">
        <f t="shared" si="73"/>
        <v>0</v>
      </c>
      <c r="N63" s="106">
        <f t="shared" si="73"/>
        <v>0</v>
      </c>
      <c r="O63" s="106">
        <f t="shared" si="73"/>
        <v>0</v>
      </c>
      <c r="P63" s="106">
        <f t="shared" si="73"/>
        <v>0</v>
      </c>
      <c r="Q63" s="106">
        <v>0</v>
      </c>
      <c r="R63" s="106">
        <f t="shared" si="73"/>
        <v>0</v>
      </c>
      <c r="S63" s="106">
        <f t="shared" si="73"/>
        <v>0</v>
      </c>
      <c r="T63" s="106">
        <v>0</v>
      </c>
      <c r="U63" s="106">
        <f t="shared" si="73"/>
        <v>0</v>
      </c>
      <c r="V63" s="106">
        <f t="shared" si="73"/>
        <v>0</v>
      </c>
      <c r="W63" s="106">
        <f t="shared" si="73"/>
        <v>0</v>
      </c>
      <c r="X63" s="106">
        <f t="shared" si="73"/>
        <v>0</v>
      </c>
      <c r="Y63" s="106">
        <f t="shared" si="73"/>
        <v>0</v>
      </c>
      <c r="Z63" s="106">
        <f t="shared" si="73"/>
        <v>0</v>
      </c>
      <c r="AA63" s="106">
        <f t="shared" si="73"/>
        <v>0</v>
      </c>
      <c r="AB63" s="106">
        <f t="shared" si="73"/>
        <v>0</v>
      </c>
      <c r="AC63" s="106">
        <f t="shared" si="73"/>
        <v>0</v>
      </c>
      <c r="AD63" s="106">
        <f t="shared" si="73"/>
        <v>0</v>
      </c>
      <c r="AE63" s="106">
        <f t="shared" si="73"/>
        <v>0</v>
      </c>
      <c r="AF63" s="106">
        <f t="shared" si="73"/>
        <v>0</v>
      </c>
      <c r="AG63" s="106">
        <f t="shared" si="73"/>
        <v>0</v>
      </c>
      <c r="AH63" s="106">
        <f t="shared" si="73"/>
        <v>0</v>
      </c>
      <c r="AI63" s="106">
        <f t="shared" si="73"/>
        <v>0</v>
      </c>
      <c r="AJ63" s="106">
        <f t="shared" si="73"/>
        <v>0</v>
      </c>
      <c r="AK63" s="106">
        <f t="shared" si="73"/>
        <v>0</v>
      </c>
      <c r="AL63" s="106">
        <f t="shared" si="73"/>
        <v>0</v>
      </c>
      <c r="AM63" s="106">
        <f t="shared" si="73"/>
        <v>0</v>
      </c>
      <c r="AN63" s="106">
        <f t="shared" si="73"/>
        <v>0</v>
      </c>
      <c r="AO63" s="106">
        <f t="shared" si="73"/>
        <v>0</v>
      </c>
      <c r="AP63" s="106">
        <f t="shared" si="73"/>
        <v>0</v>
      </c>
      <c r="AQ63" s="106">
        <f t="shared" si="73"/>
        <v>0</v>
      </c>
      <c r="AR63" s="106">
        <f t="shared" si="73"/>
        <v>0</v>
      </c>
      <c r="AS63" s="318"/>
      <c r="AT63" s="363"/>
      <c r="AU63" s="121"/>
      <c r="AV63" s="121"/>
      <c r="AW63" s="155"/>
    </row>
    <row r="64" spans="1:49" s="100" customFormat="1" ht="24">
      <c r="A64" s="356"/>
      <c r="B64" s="357"/>
      <c r="C64" s="357"/>
      <c r="D64" s="358"/>
      <c r="E64" s="111" t="s">
        <v>44</v>
      </c>
      <c r="F64" s="106">
        <f>F71+F75+F79</f>
        <v>10628.100000000002</v>
      </c>
      <c r="G64" s="106">
        <f t="shared" si="73"/>
        <v>0</v>
      </c>
      <c r="H64" s="106">
        <f>G64/F64*100</f>
        <v>0</v>
      </c>
      <c r="I64" s="106">
        <f t="shared" si="73"/>
        <v>0</v>
      </c>
      <c r="J64" s="106">
        <f t="shared" si="73"/>
        <v>0</v>
      </c>
      <c r="K64" s="106">
        <v>0</v>
      </c>
      <c r="L64" s="106">
        <f t="shared" si="73"/>
        <v>2337.5</v>
      </c>
      <c r="M64" s="106">
        <f t="shared" si="73"/>
        <v>0</v>
      </c>
      <c r="N64" s="106">
        <f t="shared" si="73"/>
        <v>0</v>
      </c>
      <c r="O64" s="106">
        <f t="shared" si="73"/>
        <v>2141.4</v>
      </c>
      <c r="P64" s="106">
        <f t="shared" si="73"/>
        <v>0</v>
      </c>
      <c r="Q64" s="106">
        <f t="shared" ref="Q64" si="74">P64/O64*100</f>
        <v>0</v>
      </c>
      <c r="R64" s="106">
        <f t="shared" si="73"/>
        <v>328.59999999999997</v>
      </c>
      <c r="S64" s="106">
        <f t="shared" si="73"/>
        <v>0</v>
      </c>
      <c r="T64" s="106">
        <f t="shared" ref="T64" si="75">S64/R64*100</f>
        <v>0</v>
      </c>
      <c r="U64" s="106">
        <f t="shared" si="73"/>
        <v>1220.6000000000001</v>
      </c>
      <c r="V64" s="106">
        <f t="shared" si="73"/>
        <v>0</v>
      </c>
      <c r="W64" s="106">
        <f t="shared" si="73"/>
        <v>0</v>
      </c>
      <c r="X64" s="106">
        <f t="shared" si="73"/>
        <v>1288.6000000000001</v>
      </c>
      <c r="Y64" s="106">
        <f t="shared" si="73"/>
        <v>0</v>
      </c>
      <c r="Z64" s="106">
        <f t="shared" si="73"/>
        <v>0</v>
      </c>
      <c r="AA64" s="106">
        <f t="shared" si="73"/>
        <v>1075.6000000000001</v>
      </c>
      <c r="AB64" s="106">
        <f t="shared" si="73"/>
        <v>0</v>
      </c>
      <c r="AC64" s="106">
        <f t="shared" si="73"/>
        <v>0</v>
      </c>
      <c r="AD64" s="106">
        <f t="shared" si="73"/>
        <v>150.6</v>
      </c>
      <c r="AE64" s="106">
        <f t="shared" si="73"/>
        <v>0</v>
      </c>
      <c r="AF64" s="106">
        <f t="shared" ref="AF64" si="76">AE64/AD64*100</f>
        <v>0</v>
      </c>
      <c r="AG64" s="106">
        <f t="shared" si="73"/>
        <v>200.6</v>
      </c>
      <c r="AH64" s="106">
        <f t="shared" si="73"/>
        <v>0</v>
      </c>
      <c r="AI64" s="106">
        <f t="shared" si="73"/>
        <v>0</v>
      </c>
      <c r="AJ64" s="106">
        <f t="shared" si="73"/>
        <v>162.6</v>
      </c>
      <c r="AK64" s="106">
        <f t="shared" si="73"/>
        <v>0</v>
      </c>
      <c r="AL64" s="106">
        <f t="shared" si="73"/>
        <v>0</v>
      </c>
      <c r="AM64" s="106">
        <f t="shared" si="73"/>
        <v>1350.0000000000002</v>
      </c>
      <c r="AN64" s="106">
        <f t="shared" si="73"/>
        <v>0</v>
      </c>
      <c r="AO64" s="106">
        <f t="shared" si="73"/>
        <v>0</v>
      </c>
      <c r="AP64" s="106">
        <f t="shared" si="73"/>
        <v>372</v>
      </c>
      <c r="AQ64" s="106">
        <f t="shared" si="73"/>
        <v>0</v>
      </c>
      <c r="AR64" s="106">
        <f t="shared" si="73"/>
        <v>0</v>
      </c>
      <c r="AS64" s="318"/>
      <c r="AT64" s="363"/>
      <c r="AU64" s="121">
        <f t="shared" si="46"/>
        <v>8743.5000000000018</v>
      </c>
      <c r="AV64" s="121">
        <f t="shared" si="47"/>
        <v>0</v>
      </c>
      <c r="AW64" s="155">
        <f t="shared" si="48"/>
        <v>0</v>
      </c>
    </row>
    <row r="65" spans="1:49" s="100" customFormat="1" ht="24">
      <c r="A65" s="359"/>
      <c r="B65" s="360"/>
      <c r="C65" s="360"/>
      <c r="D65" s="361"/>
      <c r="E65" s="110" t="s">
        <v>257</v>
      </c>
      <c r="F65" s="106">
        <f>F72+F76+F80</f>
        <v>0</v>
      </c>
      <c r="G65" s="106">
        <f t="shared" si="73"/>
        <v>0</v>
      </c>
      <c r="H65" s="106">
        <v>0</v>
      </c>
      <c r="I65" s="106">
        <f t="shared" si="73"/>
        <v>0</v>
      </c>
      <c r="J65" s="106">
        <f t="shared" si="73"/>
        <v>0</v>
      </c>
      <c r="K65" s="106">
        <v>0</v>
      </c>
      <c r="L65" s="106">
        <f t="shared" si="73"/>
        <v>0</v>
      </c>
      <c r="M65" s="106">
        <f t="shared" si="73"/>
        <v>0</v>
      </c>
      <c r="N65" s="106">
        <f t="shared" si="73"/>
        <v>0</v>
      </c>
      <c r="O65" s="106">
        <f t="shared" si="73"/>
        <v>0</v>
      </c>
      <c r="P65" s="106">
        <f t="shared" si="73"/>
        <v>0</v>
      </c>
      <c r="Q65" s="106">
        <v>0</v>
      </c>
      <c r="R65" s="106">
        <f t="shared" si="73"/>
        <v>0</v>
      </c>
      <c r="S65" s="106">
        <f t="shared" si="73"/>
        <v>0</v>
      </c>
      <c r="T65" s="106">
        <v>0</v>
      </c>
      <c r="U65" s="106">
        <f t="shared" si="73"/>
        <v>0</v>
      </c>
      <c r="V65" s="106">
        <f t="shared" si="73"/>
        <v>0</v>
      </c>
      <c r="W65" s="106">
        <f t="shared" si="73"/>
        <v>0</v>
      </c>
      <c r="X65" s="106">
        <f t="shared" si="73"/>
        <v>0</v>
      </c>
      <c r="Y65" s="106">
        <f t="shared" si="73"/>
        <v>0</v>
      </c>
      <c r="Z65" s="106">
        <f t="shared" si="73"/>
        <v>0</v>
      </c>
      <c r="AA65" s="106">
        <f t="shared" si="73"/>
        <v>0</v>
      </c>
      <c r="AB65" s="106">
        <f t="shared" si="73"/>
        <v>0</v>
      </c>
      <c r="AC65" s="106">
        <f t="shared" si="73"/>
        <v>0</v>
      </c>
      <c r="AD65" s="106">
        <f t="shared" si="73"/>
        <v>0</v>
      </c>
      <c r="AE65" s="106">
        <f t="shared" si="73"/>
        <v>0</v>
      </c>
      <c r="AF65" s="106">
        <f t="shared" si="73"/>
        <v>0</v>
      </c>
      <c r="AG65" s="106">
        <f t="shared" si="73"/>
        <v>0</v>
      </c>
      <c r="AH65" s="106">
        <f t="shared" si="73"/>
        <v>0</v>
      </c>
      <c r="AI65" s="106">
        <f t="shared" si="73"/>
        <v>0</v>
      </c>
      <c r="AJ65" s="106">
        <f t="shared" si="73"/>
        <v>0</v>
      </c>
      <c r="AK65" s="106">
        <f t="shared" si="73"/>
        <v>0</v>
      </c>
      <c r="AL65" s="106">
        <f t="shared" si="73"/>
        <v>0</v>
      </c>
      <c r="AM65" s="106">
        <f t="shared" si="73"/>
        <v>0</v>
      </c>
      <c r="AN65" s="106">
        <f t="shared" si="73"/>
        <v>0</v>
      </c>
      <c r="AO65" s="106">
        <f t="shared" si="73"/>
        <v>0</v>
      </c>
      <c r="AP65" s="106">
        <f t="shared" si="73"/>
        <v>0</v>
      </c>
      <c r="AQ65" s="106">
        <f t="shared" si="73"/>
        <v>0</v>
      </c>
      <c r="AR65" s="106">
        <f t="shared" si="73"/>
        <v>0</v>
      </c>
      <c r="AS65" s="319"/>
      <c r="AT65" s="364"/>
      <c r="AU65" s="121"/>
      <c r="AV65" s="121"/>
      <c r="AW65" s="155"/>
    </row>
    <row r="66" spans="1:49" s="100" customFormat="1" ht="138.75" customHeight="1">
      <c r="A66" s="133" t="s">
        <v>386</v>
      </c>
      <c r="B66" s="161" t="s">
        <v>280</v>
      </c>
      <c r="C66" s="162" t="s">
        <v>387</v>
      </c>
      <c r="D66" s="172" t="s">
        <v>388</v>
      </c>
      <c r="E66" s="143" t="s">
        <v>275</v>
      </c>
      <c r="F66" s="149" t="s">
        <v>279</v>
      </c>
      <c r="G66" s="149" t="s">
        <v>279</v>
      </c>
      <c r="H66" s="149" t="s">
        <v>279</v>
      </c>
      <c r="I66" s="149" t="s">
        <v>279</v>
      </c>
      <c r="J66" s="149" t="s">
        <v>279</v>
      </c>
      <c r="K66" s="149" t="s">
        <v>279</v>
      </c>
      <c r="L66" s="149" t="s">
        <v>279</v>
      </c>
      <c r="M66" s="149" t="s">
        <v>279</v>
      </c>
      <c r="N66" s="149" t="s">
        <v>279</v>
      </c>
      <c r="O66" s="149" t="s">
        <v>279</v>
      </c>
      <c r="P66" s="149" t="s">
        <v>279</v>
      </c>
      <c r="Q66" s="149" t="s">
        <v>279</v>
      </c>
      <c r="R66" s="149" t="s">
        <v>279</v>
      </c>
      <c r="S66" s="149" t="s">
        <v>279</v>
      </c>
      <c r="T66" s="149" t="s">
        <v>279</v>
      </c>
      <c r="U66" s="149" t="s">
        <v>279</v>
      </c>
      <c r="V66" s="149" t="s">
        <v>279</v>
      </c>
      <c r="W66" s="149" t="s">
        <v>279</v>
      </c>
      <c r="X66" s="149" t="s">
        <v>279</v>
      </c>
      <c r="Y66" s="149" t="s">
        <v>279</v>
      </c>
      <c r="Z66" s="149" t="s">
        <v>279</v>
      </c>
      <c r="AA66" s="149" t="s">
        <v>279</v>
      </c>
      <c r="AB66" s="149" t="s">
        <v>279</v>
      </c>
      <c r="AC66" s="149" t="s">
        <v>279</v>
      </c>
      <c r="AD66" s="149" t="s">
        <v>279</v>
      </c>
      <c r="AE66" s="149" t="s">
        <v>279</v>
      </c>
      <c r="AF66" s="149" t="s">
        <v>279</v>
      </c>
      <c r="AG66" s="149" t="s">
        <v>279</v>
      </c>
      <c r="AH66" s="149" t="s">
        <v>279</v>
      </c>
      <c r="AI66" s="149" t="s">
        <v>279</v>
      </c>
      <c r="AJ66" s="149" t="s">
        <v>279</v>
      </c>
      <c r="AK66" s="149" t="s">
        <v>279</v>
      </c>
      <c r="AL66" s="149" t="s">
        <v>279</v>
      </c>
      <c r="AM66" s="149" t="s">
        <v>279</v>
      </c>
      <c r="AN66" s="149" t="s">
        <v>279</v>
      </c>
      <c r="AO66" s="149" t="s">
        <v>279</v>
      </c>
      <c r="AP66" s="149" t="s">
        <v>279</v>
      </c>
      <c r="AQ66" s="149" t="s">
        <v>279</v>
      </c>
      <c r="AR66" s="149" t="s">
        <v>279</v>
      </c>
      <c r="AS66" s="145" t="s">
        <v>315</v>
      </c>
      <c r="AT66" s="134"/>
      <c r="AU66" s="121"/>
      <c r="AV66" s="121"/>
      <c r="AW66" s="155"/>
    </row>
    <row r="67" spans="1:49" s="100" customFormat="1" ht="72">
      <c r="A67" s="133" t="s">
        <v>389</v>
      </c>
      <c r="B67" s="161" t="s">
        <v>390</v>
      </c>
      <c r="C67" s="162" t="s">
        <v>387</v>
      </c>
      <c r="D67" s="171" t="s">
        <v>391</v>
      </c>
      <c r="E67" s="143" t="s">
        <v>275</v>
      </c>
      <c r="F67" s="149" t="s">
        <v>279</v>
      </c>
      <c r="G67" s="149" t="s">
        <v>279</v>
      </c>
      <c r="H67" s="149" t="s">
        <v>279</v>
      </c>
      <c r="I67" s="149" t="s">
        <v>279</v>
      </c>
      <c r="J67" s="149" t="s">
        <v>279</v>
      </c>
      <c r="K67" s="149" t="s">
        <v>279</v>
      </c>
      <c r="L67" s="149" t="s">
        <v>279</v>
      </c>
      <c r="M67" s="149" t="s">
        <v>279</v>
      </c>
      <c r="N67" s="149" t="s">
        <v>279</v>
      </c>
      <c r="O67" s="149" t="s">
        <v>279</v>
      </c>
      <c r="P67" s="149" t="s">
        <v>279</v>
      </c>
      <c r="Q67" s="149" t="s">
        <v>279</v>
      </c>
      <c r="R67" s="149" t="s">
        <v>279</v>
      </c>
      <c r="S67" s="149" t="s">
        <v>279</v>
      </c>
      <c r="T67" s="149" t="s">
        <v>279</v>
      </c>
      <c r="U67" s="149" t="s">
        <v>279</v>
      </c>
      <c r="V67" s="149" t="s">
        <v>279</v>
      </c>
      <c r="W67" s="149" t="s">
        <v>279</v>
      </c>
      <c r="X67" s="149" t="s">
        <v>279</v>
      </c>
      <c r="Y67" s="149" t="s">
        <v>279</v>
      </c>
      <c r="Z67" s="149" t="s">
        <v>279</v>
      </c>
      <c r="AA67" s="149" t="s">
        <v>279</v>
      </c>
      <c r="AB67" s="149" t="s">
        <v>279</v>
      </c>
      <c r="AC67" s="149" t="s">
        <v>279</v>
      </c>
      <c r="AD67" s="149" t="s">
        <v>279</v>
      </c>
      <c r="AE67" s="149" t="s">
        <v>279</v>
      </c>
      <c r="AF67" s="149" t="s">
        <v>279</v>
      </c>
      <c r="AG67" s="149" t="s">
        <v>279</v>
      </c>
      <c r="AH67" s="149" t="s">
        <v>279</v>
      </c>
      <c r="AI67" s="149" t="s">
        <v>279</v>
      </c>
      <c r="AJ67" s="149" t="s">
        <v>279</v>
      </c>
      <c r="AK67" s="149" t="s">
        <v>279</v>
      </c>
      <c r="AL67" s="149" t="s">
        <v>279</v>
      </c>
      <c r="AM67" s="149" t="s">
        <v>279</v>
      </c>
      <c r="AN67" s="149" t="s">
        <v>279</v>
      </c>
      <c r="AO67" s="149" t="s">
        <v>279</v>
      </c>
      <c r="AP67" s="149" t="s">
        <v>279</v>
      </c>
      <c r="AQ67" s="149" t="s">
        <v>279</v>
      </c>
      <c r="AR67" s="149" t="s">
        <v>279</v>
      </c>
      <c r="AS67" s="145" t="s">
        <v>307</v>
      </c>
      <c r="AT67" s="134"/>
      <c r="AU67" s="121"/>
      <c r="AV67" s="121"/>
      <c r="AW67" s="155"/>
    </row>
    <row r="68" spans="1:49" s="100" customFormat="1" ht="123" customHeight="1">
      <c r="A68" s="133" t="s">
        <v>392</v>
      </c>
      <c r="B68" s="161" t="s">
        <v>393</v>
      </c>
      <c r="C68" s="162" t="s">
        <v>387</v>
      </c>
      <c r="D68" s="171" t="s">
        <v>394</v>
      </c>
      <c r="E68" s="143" t="s">
        <v>275</v>
      </c>
      <c r="F68" s="149" t="s">
        <v>279</v>
      </c>
      <c r="G68" s="149" t="s">
        <v>279</v>
      </c>
      <c r="H68" s="149" t="s">
        <v>279</v>
      </c>
      <c r="I68" s="149" t="s">
        <v>279</v>
      </c>
      <c r="J68" s="149" t="s">
        <v>279</v>
      </c>
      <c r="K68" s="149" t="s">
        <v>279</v>
      </c>
      <c r="L68" s="149" t="s">
        <v>279</v>
      </c>
      <c r="M68" s="149" t="s">
        <v>279</v>
      </c>
      <c r="N68" s="149" t="s">
        <v>279</v>
      </c>
      <c r="O68" s="149" t="s">
        <v>279</v>
      </c>
      <c r="P68" s="149" t="s">
        <v>279</v>
      </c>
      <c r="Q68" s="149" t="s">
        <v>279</v>
      </c>
      <c r="R68" s="149" t="s">
        <v>279</v>
      </c>
      <c r="S68" s="149" t="s">
        <v>279</v>
      </c>
      <c r="T68" s="149" t="s">
        <v>279</v>
      </c>
      <c r="U68" s="149" t="s">
        <v>279</v>
      </c>
      <c r="V68" s="149" t="s">
        <v>279</v>
      </c>
      <c r="W68" s="149" t="s">
        <v>279</v>
      </c>
      <c r="X68" s="149" t="s">
        <v>279</v>
      </c>
      <c r="Y68" s="149" t="s">
        <v>279</v>
      </c>
      <c r="Z68" s="149" t="s">
        <v>279</v>
      </c>
      <c r="AA68" s="149" t="s">
        <v>279</v>
      </c>
      <c r="AB68" s="149" t="s">
        <v>279</v>
      </c>
      <c r="AC68" s="149" t="s">
        <v>279</v>
      </c>
      <c r="AD68" s="149" t="s">
        <v>279</v>
      </c>
      <c r="AE68" s="149" t="s">
        <v>279</v>
      </c>
      <c r="AF68" s="149" t="s">
        <v>279</v>
      </c>
      <c r="AG68" s="149" t="s">
        <v>279</v>
      </c>
      <c r="AH68" s="149" t="s">
        <v>279</v>
      </c>
      <c r="AI68" s="149" t="s">
        <v>279</v>
      </c>
      <c r="AJ68" s="149" t="s">
        <v>279</v>
      </c>
      <c r="AK68" s="149" t="s">
        <v>279</v>
      </c>
      <c r="AL68" s="149" t="s">
        <v>279</v>
      </c>
      <c r="AM68" s="149" t="s">
        <v>279</v>
      </c>
      <c r="AN68" s="149" t="s">
        <v>279</v>
      </c>
      <c r="AO68" s="149" t="s">
        <v>279</v>
      </c>
      <c r="AP68" s="149" t="s">
        <v>279</v>
      </c>
      <c r="AQ68" s="149" t="s">
        <v>279</v>
      </c>
      <c r="AR68" s="149" t="s">
        <v>279</v>
      </c>
      <c r="AS68" s="145" t="s">
        <v>316</v>
      </c>
      <c r="AT68" s="134"/>
      <c r="AU68" s="121"/>
      <c r="AV68" s="121"/>
      <c r="AW68" s="155"/>
    </row>
    <row r="69" spans="1:49" s="31" customFormat="1" ht="12.75">
      <c r="A69" s="326" t="s">
        <v>395</v>
      </c>
      <c r="B69" s="329" t="s">
        <v>396</v>
      </c>
      <c r="C69" s="332" t="s">
        <v>277</v>
      </c>
      <c r="D69" s="335" t="s">
        <v>397</v>
      </c>
      <c r="E69" s="107" t="s">
        <v>42</v>
      </c>
      <c r="F69" s="123">
        <f>SUM(F70:F72)</f>
        <v>1612.1</v>
      </c>
      <c r="G69" s="123">
        <f t="shared" ref="G69" si="77">SUM(G70:G72)</f>
        <v>0</v>
      </c>
      <c r="H69" s="123">
        <f>G69/F69*100</f>
        <v>0</v>
      </c>
      <c r="I69" s="138">
        <f t="shared" ref="I69:AP69" si="78">I70+I71+I72</f>
        <v>0</v>
      </c>
      <c r="J69" s="138">
        <f t="shared" si="78"/>
        <v>0</v>
      </c>
      <c r="K69" s="123">
        <v>0</v>
      </c>
      <c r="L69" s="138">
        <f t="shared" si="78"/>
        <v>61.4</v>
      </c>
      <c r="M69" s="132">
        <f t="shared" si="78"/>
        <v>0</v>
      </c>
      <c r="N69" s="132">
        <f>M69/L69*100</f>
        <v>0</v>
      </c>
      <c r="O69" s="132">
        <f t="shared" si="78"/>
        <v>207.4</v>
      </c>
      <c r="P69" s="132">
        <f t="shared" si="78"/>
        <v>0</v>
      </c>
      <c r="Q69" s="123">
        <f t="shared" ref="Q69:Q79" si="79">P69/O69*100</f>
        <v>0</v>
      </c>
      <c r="R69" s="132">
        <f t="shared" si="78"/>
        <v>61.4</v>
      </c>
      <c r="S69" s="132">
        <f t="shared" si="78"/>
        <v>0</v>
      </c>
      <c r="T69" s="132">
        <f>S69/R69*100</f>
        <v>0</v>
      </c>
      <c r="U69" s="138">
        <f t="shared" si="78"/>
        <v>61.4</v>
      </c>
      <c r="V69" s="138">
        <f t="shared" si="78"/>
        <v>0</v>
      </c>
      <c r="W69" s="132">
        <f t="shared" ref="W69" si="80">V69/U69*100</f>
        <v>0</v>
      </c>
      <c r="X69" s="132">
        <f t="shared" si="78"/>
        <v>61.4</v>
      </c>
      <c r="Y69" s="132">
        <f t="shared" si="78"/>
        <v>0</v>
      </c>
      <c r="Z69" s="132">
        <f t="shared" ref="Z69" si="81">Y69/X69*100</f>
        <v>0</v>
      </c>
      <c r="AA69" s="132">
        <f t="shared" si="78"/>
        <v>61.4</v>
      </c>
      <c r="AB69" s="132">
        <f t="shared" si="78"/>
        <v>0</v>
      </c>
      <c r="AC69" s="132">
        <f t="shared" ref="AC69" si="82">AB69/AA69*100</f>
        <v>0</v>
      </c>
      <c r="AD69" s="132">
        <f t="shared" si="78"/>
        <v>61.4</v>
      </c>
      <c r="AE69" s="138">
        <f t="shared" si="78"/>
        <v>0</v>
      </c>
      <c r="AF69" s="104">
        <f t="shared" ref="AF69" si="83">AE69/AD69*100</f>
        <v>0</v>
      </c>
      <c r="AG69" s="138">
        <f t="shared" si="78"/>
        <v>61.4</v>
      </c>
      <c r="AH69" s="138">
        <f t="shared" si="78"/>
        <v>0</v>
      </c>
      <c r="AI69" s="132">
        <f t="shared" ref="AI69" si="84">AH69/AG69*100</f>
        <v>0</v>
      </c>
      <c r="AJ69" s="138">
        <f t="shared" si="78"/>
        <v>61.4</v>
      </c>
      <c r="AK69" s="138">
        <f t="shared" si="78"/>
        <v>0</v>
      </c>
      <c r="AL69" s="138">
        <f t="shared" si="78"/>
        <v>0</v>
      </c>
      <c r="AM69" s="138">
        <f t="shared" si="78"/>
        <v>790.7</v>
      </c>
      <c r="AN69" s="138">
        <f t="shared" si="78"/>
        <v>0</v>
      </c>
      <c r="AO69" s="138">
        <f t="shared" si="78"/>
        <v>0</v>
      </c>
      <c r="AP69" s="138">
        <f t="shared" si="78"/>
        <v>122.8</v>
      </c>
      <c r="AQ69" s="104"/>
      <c r="AR69" s="104"/>
      <c r="AS69" s="338" t="s">
        <v>317</v>
      </c>
      <c r="AT69" s="341"/>
      <c r="AU69" s="121">
        <f t="shared" si="46"/>
        <v>637.19999999999993</v>
      </c>
      <c r="AV69" s="121">
        <f t="shared" si="47"/>
        <v>0</v>
      </c>
      <c r="AW69" s="155">
        <f t="shared" si="48"/>
        <v>0</v>
      </c>
    </row>
    <row r="70" spans="1:49" s="31" customFormat="1" ht="36">
      <c r="A70" s="327"/>
      <c r="B70" s="330"/>
      <c r="C70" s="333"/>
      <c r="D70" s="336"/>
      <c r="E70" s="108" t="s">
        <v>3</v>
      </c>
      <c r="F70" s="123">
        <f>I70+L70+O70+R70+U70+X70+AA70+AD70+AG70+AJ70+AM70+AP70</f>
        <v>0</v>
      </c>
      <c r="G70" s="123">
        <f>J70+M70+P70+S70+V70+Y70+AB70+AE70+AH70+AK70+AN70+AQ70</f>
        <v>0</v>
      </c>
      <c r="H70" s="123">
        <v>0</v>
      </c>
      <c r="I70" s="123">
        <v>0</v>
      </c>
      <c r="J70" s="123">
        <v>0</v>
      </c>
      <c r="K70" s="123">
        <v>0</v>
      </c>
      <c r="L70" s="150">
        <v>0</v>
      </c>
      <c r="M70" s="123">
        <v>0</v>
      </c>
      <c r="N70" s="138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32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23">
        <v>0</v>
      </c>
      <c r="AK70" s="123">
        <v>0</v>
      </c>
      <c r="AL70" s="123">
        <v>0</v>
      </c>
      <c r="AM70" s="117">
        <v>0</v>
      </c>
      <c r="AN70" s="117">
        <v>0</v>
      </c>
      <c r="AO70" s="117">
        <v>0</v>
      </c>
      <c r="AP70" s="123">
        <v>0</v>
      </c>
      <c r="AQ70" s="104"/>
      <c r="AR70" s="104"/>
      <c r="AS70" s="339"/>
      <c r="AT70" s="342"/>
      <c r="AU70" s="121"/>
      <c r="AV70" s="121"/>
      <c r="AW70" s="155"/>
    </row>
    <row r="71" spans="1:49" s="31" customFormat="1" ht="12.75">
      <c r="A71" s="327"/>
      <c r="B71" s="330"/>
      <c r="C71" s="333"/>
      <c r="D71" s="336"/>
      <c r="E71" s="108" t="s">
        <v>44</v>
      </c>
      <c r="F71" s="123">
        <f t="shared" ref="F71:F72" si="85">I71+L71+O71+R71+U71+X71+AA71+AD71+AG71+AJ71+AM71+AP71</f>
        <v>1612.1</v>
      </c>
      <c r="G71" s="123">
        <f t="shared" ref="G71:G72" si="86">J71+M71+P71+S71+V71+Y71+AB71+AE71+AH71+AK71+AN71+AQ71</f>
        <v>0</v>
      </c>
      <c r="H71" s="123">
        <f>G71/F71*100</f>
        <v>0</v>
      </c>
      <c r="I71" s="123">
        <v>0</v>
      </c>
      <c r="J71" s="123">
        <v>0</v>
      </c>
      <c r="K71" s="123">
        <v>0</v>
      </c>
      <c r="L71" s="150">
        <v>61.4</v>
      </c>
      <c r="M71" s="123">
        <v>0</v>
      </c>
      <c r="N71" s="138">
        <f t="shared" ref="N71" si="87">M71/L71*100</f>
        <v>0</v>
      </c>
      <c r="O71" s="123">
        <v>207.4</v>
      </c>
      <c r="P71" s="123">
        <v>0</v>
      </c>
      <c r="Q71" s="123">
        <f t="shared" si="79"/>
        <v>0</v>
      </c>
      <c r="R71" s="123">
        <v>61.4</v>
      </c>
      <c r="S71" s="123">
        <v>0</v>
      </c>
      <c r="T71" s="132">
        <f t="shared" ref="T71:T79" si="88">S71/R71*100</f>
        <v>0</v>
      </c>
      <c r="U71" s="117">
        <v>61.4</v>
      </c>
      <c r="V71" s="117">
        <v>0</v>
      </c>
      <c r="W71" s="132">
        <f t="shared" ref="W71" si="89">V71/U71*100</f>
        <v>0</v>
      </c>
      <c r="X71" s="117">
        <v>61.4</v>
      </c>
      <c r="Y71" s="117">
        <v>0</v>
      </c>
      <c r="Z71" s="132">
        <f t="shared" ref="Z71" si="90">Y71/X71*100</f>
        <v>0</v>
      </c>
      <c r="AA71" s="117">
        <v>61.4</v>
      </c>
      <c r="AB71" s="117">
        <v>0</v>
      </c>
      <c r="AC71" s="132">
        <f t="shared" ref="AC71" si="91">AB71/AA71*100</f>
        <v>0</v>
      </c>
      <c r="AD71" s="117">
        <v>61.4</v>
      </c>
      <c r="AE71" s="117">
        <v>0</v>
      </c>
      <c r="AF71" s="132">
        <f t="shared" ref="AF71" si="92">AE71/AD71*100</f>
        <v>0</v>
      </c>
      <c r="AG71" s="117">
        <v>61.4</v>
      </c>
      <c r="AH71" s="117">
        <v>0</v>
      </c>
      <c r="AI71" s="132">
        <f t="shared" ref="AI71" si="93">AH71/AG71*100</f>
        <v>0</v>
      </c>
      <c r="AJ71" s="123">
        <v>61.4</v>
      </c>
      <c r="AK71" s="123">
        <v>0</v>
      </c>
      <c r="AL71" s="123">
        <v>0</v>
      </c>
      <c r="AM71" s="117">
        <v>790.7</v>
      </c>
      <c r="AN71" s="117">
        <v>0</v>
      </c>
      <c r="AO71" s="117">
        <v>0</v>
      </c>
      <c r="AP71" s="123">
        <v>122.8</v>
      </c>
      <c r="AQ71" s="104"/>
      <c r="AR71" s="104"/>
      <c r="AS71" s="339"/>
      <c r="AT71" s="342"/>
      <c r="AU71" s="121">
        <f t="shared" si="46"/>
        <v>637.19999999999993</v>
      </c>
      <c r="AV71" s="121">
        <f t="shared" si="47"/>
        <v>0</v>
      </c>
      <c r="AW71" s="155">
        <f t="shared" si="48"/>
        <v>0</v>
      </c>
    </row>
    <row r="72" spans="1:49" s="31" customFormat="1" ht="24">
      <c r="A72" s="328"/>
      <c r="B72" s="331"/>
      <c r="C72" s="334"/>
      <c r="D72" s="337"/>
      <c r="E72" s="109" t="s">
        <v>257</v>
      </c>
      <c r="F72" s="123">
        <f t="shared" si="85"/>
        <v>0</v>
      </c>
      <c r="G72" s="123">
        <f t="shared" si="86"/>
        <v>0</v>
      </c>
      <c r="H72" s="123">
        <v>0</v>
      </c>
      <c r="I72" s="123">
        <v>0</v>
      </c>
      <c r="J72" s="123">
        <v>0</v>
      </c>
      <c r="K72" s="123">
        <v>0</v>
      </c>
      <c r="L72" s="150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0</v>
      </c>
      <c r="T72" s="132">
        <v>0</v>
      </c>
      <c r="U72" s="117">
        <v>0</v>
      </c>
      <c r="V72" s="117">
        <v>0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23">
        <v>0</v>
      </c>
      <c r="AK72" s="123">
        <v>0</v>
      </c>
      <c r="AL72" s="123">
        <v>0</v>
      </c>
      <c r="AM72" s="117">
        <v>0</v>
      </c>
      <c r="AN72" s="117">
        <v>0</v>
      </c>
      <c r="AO72" s="117">
        <v>0</v>
      </c>
      <c r="AP72" s="123">
        <v>0</v>
      </c>
      <c r="AQ72" s="104"/>
      <c r="AR72" s="104"/>
      <c r="AS72" s="340"/>
      <c r="AT72" s="343"/>
      <c r="AU72" s="121"/>
      <c r="AV72" s="121"/>
      <c r="AW72" s="155"/>
    </row>
    <row r="73" spans="1:49" s="31" customFormat="1" ht="12.75" customHeight="1">
      <c r="A73" s="326" t="s">
        <v>398</v>
      </c>
      <c r="B73" s="329" t="s">
        <v>258</v>
      </c>
      <c r="C73" s="332" t="s">
        <v>277</v>
      </c>
      <c r="D73" s="335" t="s">
        <v>400</v>
      </c>
      <c r="E73" s="107" t="s">
        <v>42</v>
      </c>
      <c r="F73" s="123">
        <f>SUM(F74:F76)</f>
        <v>455.1</v>
      </c>
      <c r="G73" s="123">
        <f t="shared" ref="G73" si="94">SUM(G74:G76)</f>
        <v>0</v>
      </c>
      <c r="H73" s="123">
        <f>G73/F73*100</f>
        <v>0</v>
      </c>
      <c r="I73" s="138">
        <f t="shared" ref="I73:AP73" si="95">I74+I75+I76</f>
        <v>0</v>
      </c>
      <c r="J73" s="138">
        <f t="shared" si="95"/>
        <v>0</v>
      </c>
      <c r="K73" s="123">
        <v>0</v>
      </c>
      <c r="L73" s="138">
        <f t="shared" si="95"/>
        <v>0</v>
      </c>
      <c r="M73" s="132">
        <f t="shared" si="95"/>
        <v>0</v>
      </c>
      <c r="N73" s="132">
        <v>0</v>
      </c>
      <c r="O73" s="132">
        <f t="shared" si="95"/>
        <v>0</v>
      </c>
      <c r="P73" s="132">
        <f t="shared" si="95"/>
        <v>0</v>
      </c>
      <c r="Q73" s="123">
        <v>0</v>
      </c>
      <c r="R73" s="132">
        <f t="shared" si="95"/>
        <v>0</v>
      </c>
      <c r="S73" s="132">
        <f t="shared" si="95"/>
        <v>0</v>
      </c>
      <c r="T73" s="132">
        <v>0</v>
      </c>
      <c r="U73" s="132">
        <f t="shared" si="95"/>
        <v>0</v>
      </c>
      <c r="V73" s="132">
        <f t="shared" si="95"/>
        <v>0</v>
      </c>
      <c r="W73" s="132">
        <f t="shared" si="95"/>
        <v>0</v>
      </c>
      <c r="X73" s="132">
        <f t="shared" si="95"/>
        <v>0</v>
      </c>
      <c r="Y73" s="132">
        <f t="shared" si="95"/>
        <v>0</v>
      </c>
      <c r="Z73" s="138">
        <f t="shared" si="95"/>
        <v>0</v>
      </c>
      <c r="AA73" s="138">
        <f t="shared" si="95"/>
        <v>0</v>
      </c>
      <c r="AB73" s="138">
        <f t="shared" si="95"/>
        <v>0</v>
      </c>
      <c r="AC73" s="138">
        <f t="shared" si="95"/>
        <v>0</v>
      </c>
      <c r="AD73" s="132">
        <f t="shared" si="95"/>
        <v>0</v>
      </c>
      <c r="AE73" s="132">
        <f t="shared" si="95"/>
        <v>0</v>
      </c>
      <c r="AF73" s="132">
        <f t="shared" si="95"/>
        <v>0</v>
      </c>
      <c r="AG73" s="132">
        <f t="shared" si="95"/>
        <v>0</v>
      </c>
      <c r="AH73" s="132">
        <f t="shared" si="95"/>
        <v>0</v>
      </c>
      <c r="AI73" s="132">
        <f t="shared" si="95"/>
        <v>0</v>
      </c>
      <c r="AJ73" s="132">
        <f t="shared" si="95"/>
        <v>0</v>
      </c>
      <c r="AK73" s="132">
        <f t="shared" si="95"/>
        <v>0</v>
      </c>
      <c r="AL73" s="132">
        <f t="shared" si="95"/>
        <v>0</v>
      </c>
      <c r="AM73" s="132">
        <f t="shared" si="95"/>
        <v>455.1</v>
      </c>
      <c r="AN73" s="132">
        <f t="shared" si="95"/>
        <v>0</v>
      </c>
      <c r="AO73" s="132">
        <f t="shared" si="95"/>
        <v>0</v>
      </c>
      <c r="AP73" s="132">
        <f t="shared" si="95"/>
        <v>0</v>
      </c>
      <c r="AQ73" s="104"/>
      <c r="AR73" s="104"/>
      <c r="AS73" s="344" t="s">
        <v>281</v>
      </c>
      <c r="AT73" s="347" t="s">
        <v>300</v>
      </c>
      <c r="AU73" s="121"/>
      <c r="AV73" s="121"/>
      <c r="AW73" s="155"/>
    </row>
    <row r="74" spans="1:49" s="31" customFormat="1" ht="39" customHeight="1">
      <c r="A74" s="327"/>
      <c r="B74" s="330"/>
      <c r="C74" s="333"/>
      <c r="D74" s="336"/>
      <c r="E74" s="108" t="s">
        <v>3</v>
      </c>
      <c r="F74" s="123">
        <f>I74+L74+O74+R74+U74+X74+AA74+AD74+AG74+AJ74+AM74+AP74</f>
        <v>0</v>
      </c>
      <c r="G74" s="123">
        <f>J74+M74+P74+S74+V74+Y74+AB74+AE74+AH74+AK74+AN74+AQ74</f>
        <v>0</v>
      </c>
      <c r="H74" s="123">
        <v>0</v>
      </c>
      <c r="I74" s="123">
        <v>0</v>
      </c>
      <c r="J74" s="123">
        <v>0</v>
      </c>
      <c r="K74" s="123">
        <v>0</v>
      </c>
      <c r="L74" s="150">
        <v>0</v>
      </c>
      <c r="M74" s="123">
        <v>0</v>
      </c>
      <c r="N74" s="138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38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23">
        <v>0</v>
      </c>
      <c r="AK74" s="123">
        <v>0</v>
      </c>
      <c r="AL74" s="123">
        <v>0</v>
      </c>
      <c r="AM74" s="117">
        <v>0</v>
      </c>
      <c r="AN74" s="117">
        <v>0</v>
      </c>
      <c r="AO74" s="117">
        <v>0</v>
      </c>
      <c r="AP74" s="123">
        <v>0</v>
      </c>
      <c r="AQ74" s="104"/>
      <c r="AR74" s="104"/>
      <c r="AS74" s="345"/>
      <c r="AT74" s="348"/>
      <c r="AU74" s="121"/>
      <c r="AV74" s="121"/>
      <c r="AW74" s="155"/>
    </row>
    <row r="75" spans="1:49" s="31" customFormat="1" ht="13.5" customHeight="1">
      <c r="A75" s="327"/>
      <c r="B75" s="330"/>
      <c r="C75" s="333"/>
      <c r="D75" s="336"/>
      <c r="E75" s="108" t="s">
        <v>44</v>
      </c>
      <c r="F75" s="123">
        <f t="shared" ref="F75:F76" si="96">I75+L75+O75+R75+U75+X75+AA75+AD75+AG75+AJ75+AM75+AP75</f>
        <v>455.1</v>
      </c>
      <c r="G75" s="123">
        <f t="shared" ref="G75:G76" si="97">J75+M75+P75+S75+V75+Y75+AB75+AE75+AH75+AK75+AN75+AQ75</f>
        <v>0</v>
      </c>
      <c r="H75" s="123">
        <f>G75/F75*100</f>
        <v>0</v>
      </c>
      <c r="I75" s="123">
        <v>0</v>
      </c>
      <c r="J75" s="123">
        <v>0</v>
      </c>
      <c r="K75" s="123">
        <v>0</v>
      </c>
      <c r="L75" s="150">
        <v>0</v>
      </c>
      <c r="M75" s="123">
        <v>0</v>
      </c>
      <c r="N75" s="138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38">
        <v>0</v>
      </c>
      <c r="U75" s="117">
        <v>0</v>
      </c>
      <c r="V75" s="117">
        <v>0</v>
      </c>
      <c r="W75" s="117">
        <v>0</v>
      </c>
      <c r="X75" s="117">
        <v>0</v>
      </c>
      <c r="Y75" s="117">
        <v>0</v>
      </c>
      <c r="Z75" s="117">
        <v>0</v>
      </c>
      <c r="AA75" s="117">
        <v>0</v>
      </c>
      <c r="AB75" s="117">
        <v>0</v>
      </c>
      <c r="AC75" s="117">
        <v>0</v>
      </c>
      <c r="AD75" s="117">
        <v>0</v>
      </c>
      <c r="AE75" s="117">
        <v>0</v>
      </c>
      <c r="AF75" s="117">
        <v>0</v>
      </c>
      <c r="AG75" s="117">
        <v>0</v>
      </c>
      <c r="AH75" s="117">
        <v>0</v>
      </c>
      <c r="AI75" s="117">
        <v>0</v>
      </c>
      <c r="AJ75" s="123">
        <v>0</v>
      </c>
      <c r="AK75" s="123">
        <v>0</v>
      </c>
      <c r="AL75" s="123">
        <v>0</v>
      </c>
      <c r="AM75" s="117">
        <v>455.1</v>
      </c>
      <c r="AN75" s="117">
        <v>0</v>
      </c>
      <c r="AO75" s="117">
        <v>0</v>
      </c>
      <c r="AP75" s="123">
        <v>0</v>
      </c>
      <c r="AQ75" s="104"/>
      <c r="AR75" s="104"/>
      <c r="AS75" s="345"/>
      <c r="AT75" s="348"/>
      <c r="AU75" s="121"/>
      <c r="AV75" s="121"/>
      <c r="AW75" s="155"/>
    </row>
    <row r="76" spans="1:49" s="31" customFormat="1" ht="31.5" customHeight="1">
      <c r="A76" s="328"/>
      <c r="B76" s="331"/>
      <c r="C76" s="334"/>
      <c r="D76" s="337"/>
      <c r="E76" s="109" t="s">
        <v>257</v>
      </c>
      <c r="F76" s="123">
        <f t="shared" si="96"/>
        <v>0</v>
      </c>
      <c r="G76" s="123">
        <f t="shared" si="97"/>
        <v>0</v>
      </c>
      <c r="H76" s="123">
        <v>0</v>
      </c>
      <c r="I76" s="123">
        <v>0</v>
      </c>
      <c r="J76" s="123">
        <v>0</v>
      </c>
      <c r="K76" s="123">
        <v>0</v>
      </c>
      <c r="L76" s="150">
        <v>0</v>
      </c>
      <c r="M76" s="123">
        <v>0</v>
      </c>
      <c r="N76" s="123">
        <v>0</v>
      </c>
      <c r="O76" s="123">
        <v>0</v>
      </c>
      <c r="P76" s="123">
        <v>0</v>
      </c>
      <c r="Q76" s="123">
        <v>0</v>
      </c>
      <c r="R76" s="123">
        <v>0</v>
      </c>
      <c r="S76" s="123">
        <v>0</v>
      </c>
      <c r="T76" s="138">
        <v>0</v>
      </c>
      <c r="U76" s="117">
        <v>0</v>
      </c>
      <c r="V76" s="117">
        <v>0</v>
      </c>
      <c r="W76" s="117">
        <v>0</v>
      </c>
      <c r="X76" s="117">
        <v>0</v>
      </c>
      <c r="Y76" s="117">
        <v>0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17">
        <v>0</v>
      </c>
      <c r="AJ76" s="123">
        <v>0</v>
      </c>
      <c r="AK76" s="123">
        <v>0</v>
      </c>
      <c r="AL76" s="123">
        <v>0</v>
      </c>
      <c r="AM76" s="117">
        <v>0</v>
      </c>
      <c r="AN76" s="117">
        <v>0</v>
      </c>
      <c r="AO76" s="117">
        <v>0</v>
      </c>
      <c r="AP76" s="123">
        <v>0</v>
      </c>
      <c r="AQ76" s="104"/>
      <c r="AR76" s="104"/>
      <c r="AS76" s="346"/>
      <c r="AT76" s="349"/>
      <c r="AU76" s="121"/>
      <c r="AV76" s="121"/>
      <c r="AW76" s="155"/>
    </row>
    <row r="77" spans="1:49" s="31" customFormat="1" ht="12.75" customHeight="1">
      <c r="A77" s="326" t="s">
        <v>399</v>
      </c>
      <c r="B77" s="329" t="s">
        <v>295</v>
      </c>
      <c r="C77" s="332" t="s">
        <v>401</v>
      </c>
      <c r="D77" s="335" t="s">
        <v>402</v>
      </c>
      <c r="E77" s="107" t="s">
        <v>42</v>
      </c>
      <c r="F77" s="123">
        <f>SUM(F78:F80)</f>
        <v>8560.9000000000015</v>
      </c>
      <c r="G77" s="123">
        <f t="shared" ref="G77" si="98">SUM(G78:G80)</f>
        <v>0</v>
      </c>
      <c r="H77" s="123">
        <f>G77/F77*100</f>
        <v>0</v>
      </c>
      <c r="I77" s="132">
        <f t="shared" ref="I77:AP77" si="99">I78+I79+I80</f>
        <v>0</v>
      </c>
      <c r="J77" s="132">
        <f t="shared" si="99"/>
        <v>0</v>
      </c>
      <c r="K77" s="123">
        <v>0</v>
      </c>
      <c r="L77" s="132">
        <f t="shared" si="99"/>
        <v>2276.1</v>
      </c>
      <c r="M77" s="132">
        <f t="shared" si="99"/>
        <v>0</v>
      </c>
      <c r="N77" s="132">
        <f>M77/L77*100</f>
        <v>0</v>
      </c>
      <c r="O77" s="132">
        <f t="shared" si="99"/>
        <v>1934</v>
      </c>
      <c r="P77" s="132">
        <f t="shared" si="99"/>
        <v>0</v>
      </c>
      <c r="Q77" s="123">
        <f t="shared" si="79"/>
        <v>0</v>
      </c>
      <c r="R77" s="132">
        <f t="shared" si="99"/>
        <v>267.2</v>
      </c>
      <c r="S77" s="132">
        <f t="shared" si="99"/>
        <v>0</v>
      </c>
      <c r="T77" s="132">
        <f t="shared" si="88"/>
        <v>0</v>
      </c>
      <c r="U77" s="132">
        <f t="shared" si="99"/>
        <v>1159.2</v>
      </c>
      <c r="V77" s="132">
        <f t="shared" si="99"/>
        <v>0</v>
      </c>
      <c r="W77" s="138">
        <f t="shared" ref="W77" si="100">V77/U77*100</f>
        <v>0</v>
      </c>
      <c r="X77" s="132">
        <f t="shared" si="99"/>
        <v>1227.2</v>
      </c>
      <c r="Y77" s="132">
        <f t="shared" si="99"/>
        <v>0</v>
      </c>
      <c r="Z77" s="132">
        <f t="shared" si="99"/>
        <v>0</v>
      </c>
      <c r="AA77" s="132">
        <f t="shared" si="99"/>
        <v>1014.2</v>
      </c>
      <c r="AB77" s="132">
        <f t="shared" si="99"/>
        <v>0</v>
      </c>
      <c r="AC77" s="117">
        <f>AB77/AA77*100</f>
        <v>0</v>
      </c>
      <c r="AD77" s="132">
        <f t="shared" si="99"/>
        <v>89.2</v>
      </c>
      <c r="AE77" s="132">
        <f t="shared" si="99"/>
        <v>0</v>
      </c>
      <c r="AF77" s="104">
        <f t="shared" ref="AF77" si="101">AE77/AD77*100</f>
        <v>0</v>
      </c>
      <c r="AG77" s="132">
        <f t="shared" si="99"/>
        <v>139.19999999999999</v>
      </c>
      <c r="AH77" s="132">
        <f t="shared" si="99"/>
        <v>0</v>
      </c>
      <c r="AI77" s="104">
        <f t="shared" ref="AI77" si="102">AH77/AG77*100</f>
        <v>0</v>
      </c>
      <c r="AJ77" s="132">
        <f t="shared" si="99"/>
        <v>101.2</v>
      </c>
      <c r="AK77" s="132">
        <f t="shared" si="99"/>
        <v>0</v>
      </c>
      <c r="AL77" s="132">
        <f t="shared" si="99"/>
        <v>0</v>
      </c>
      <c r="AM77" s="132">
        <f t="shared" si="99"/>
        <v>104.2</v>
      </c>
      <c r="AN77" s="132">
        <f t="shared" si="99"/>
        <v>0</v>
      </c>
      <c r="AO77" s="132">
        <f t="shared" si="99"/>
        <v>0</v>
      </c>
      <c r="AP77" s="132">
        <f t="shared" si="99"/>
        <v>249.20000000000002</v>
      </c>
      <c r="AQ77" s="104"/>
      <c r="AR77" s="104"/>
      <c r="AS77" s="338" t="s">
        <v>320</v>
      </c>
      <c r="AT77" s="341"/>
      <c r="AU77" s="121">
        <f t="shared" si="46"/>
        <v>8106.2999999999993</v>
      </c>
      <c r="AV77" s="121">
        <f t="shared" si="47"/>
        <v>0</v>
      </c>
      <c r="AW77" s="155">
        <f t="shared" si="48"/>
        <v>0</v>
      </c>
    </row>
    <row r="78" spans="1:49" s="31" customFormat="1" ht="36">
      <c r="A78" s="327"/>
      <c r="B78" s="330"/>
      <c r="C78" s="333"/>
      <c r="D78" s="336"/>
      <c r="E78" s="108" t="s">
        <v>3</v>
      </c>
      <c r="F78" s="123">
        <f>I78+L78+O78+R78+U78+X78+AA78+AD78+AG78+AJ78+AM78+AP78</f>
        <v>0</v>
      </c>
      <c r="G78" s="123">
        <f>J78+M78+P78+S78+V78+Y78+AB78+AE78+AH78+AK78+AN78+AQ78</f>
        <v>0</v>
      </c>
      <c r="H78" s="123">
        <v>0</v>
      </c>
      <c r="I78" s="123">
        <v>0</v>
      </c>
      <c r="J78" s="123">
        <v>0</v>
      </c>
      <c r="K78" s="123">
        <v>0</v>
      </c>
      <c r="L78" s="150">
        <v>0</v>
      </c>
      <c r="M78" s="123">
        <v>0</v>
      </c>
      <c r="N78" s="138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38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23">
        <v>0</v>
      </c>
      <c r="AK78" s="123">
        <v>0</v>
      </c>
      <c r="AL78" s="123">
        <v>0</v>
      </c>
      <c r="AM78" s="117">
        <v>0</v>
      </c>
      <c r="AN78" s="117">
        <v>0</v>
      </c>
      <c r="AO78" s="117">
        <v>0</v>
      </c>
      <c r="AP78" s="123">
        <v>0</v>
      </c>
      <c r="AQ78" s="104"/>
      <c r="AR78" s="104"/>
      <c r="AS78" s="339"/>
      <c r="AT78" s="342"/>
      <c r="AU78" s="121"/>
      <c r="AV78" s="121"/>
      <c r="AW78" s="155"/>
    </row>
    <row r="79" spans="1:49" s="31" customFormat="1" ht="12.75">
      <c r="A79" s="327"/>
      <c r="B79" s="330"/>
      <c r="C79" s="333"/>
      <c r="D79" s="336"/>
      <c r="E79" s="108" t="s">
        <v>44</v>
      </c>
      <c r="F79" s="123">
        <f t="shared" ref="F79:F80" si="103">I79+L79+O79+R79+U79+X79+AA79+AD79+AG79+AJ79+AM79+AP79</f>
        <v>8560.9000000000015</v>
      </c>
      <c r="G79" s="123">
        <f t="shared" ref="G79:G80" si="104">J79+M79+P79+S79+V79+Y79+AB79+AE79+AH79+AK79+AN79+AQ79</f>
        <v>0</v>
      </c>
      <c r="H79" s="123">
        <f>G79/F79*100</f>
        <v>0</v>
      </c>
      <c r="I79" s="123">
        <v>0</v>
      </c>
      <c r="J79" s="123">
        <v>0</v>
      </c>
      <c r="K79" s="123">
        <v>0</v>
      </c>
      <c r="L79" s="150">
        <f>2231.1+45</f>
        <v>2276.1</v>
      </c>
      <c r="M79" s="123">
        <v>0</v>
      </c>
      <c r="N79" s="138">
        <f t="shared" ref="N79" si="105">M79/L79*100</f>
        <v>0</v>
      </c>
      <c r="O79" s="123">
        <f>1844+40+50</f>
        <v>1934</v>
      </c>
      <c r="P79" s="123">
        <v>0</v>
      </c>
      <c r="Q79" s="123">
        <f t="shared" si="79"/>
        <v>0</v>
      </c>
      <c r="R79" s="123">
        <f>229.2+38</f>
        <v>267.2</v>
      </c>
      <c r="S79" s="123">
        <v>0</v>
      </c>
      <c r="T79" s="138">
        <f t="shared" si="88"/>
        <v>0</v>
      </c>
      <c r="U79" s="117">
        <f>1129.2+30</f>
        <v>1159.2</v>
      </c>
      <c r="V79" s="117">
        <v>0</v>
      </c>
      <c r="W79" s="138">
        <f t="shared" ref="W79" si="106">V79/U79*100</f>
        <v>0</v>
      </c>
      <c r="X79" s="117">
        <f>1149.2+28+50</f>
        <v>1227.2</v>
      </c>
      <c r="Y79" s="117">
        <v>0</v>
      </c>
      <c r="Z79" s="117">
        <f>Y79/X79*100</f>
        <v>0</v>
      </c>
      <c r="AA79" s="117">
        <f>994.2+20</f>
        <v>1014.2</v>
      </c>
      <c r="AB79" s="117">
        <v>0</v>
      </c>
      <c r="AC79" s="117">
        <f>AB79/AA79*100</f>
        <v>0</v>
      </c>
      <c r="AD79" s="117">
        <f>69.2+20</f>
        <v>89.2</v>
      </c>
      <c r="AE79" s="117">
        <v>0</v>
      </c>
      <c r="AF79" s="117">
        <f>AE79/AD79*100</f>
        <v>0</v>
      </c>
      <c r="AG79" s="117">
        <f>69.2+20+50</f>
        <v>139.19999999999999</v>
      </c>
      <c r="AH79" s="117">
        <v>0</v>
      </c>
      <c r="AI79" s="104">
        <f t="shared" ref="AI79" si="107">AH79/AG79*100</f>
        <v>0</v>
      </c>
      <c r="AJ79" s="123">
        <f>69.2+32</f>
        <v>101.2</v>
      </c>
      <c r="AK79" s="123">
        <v>0</v>
      </c>
      <c r="AL79" s="123">
        <v>0</v>
      </c>
      <c r="AM79" s="117">
        <f>69.2+35</f>
        <v>104.2</v>
      </c>
      <c r="AN79" s="117">
        <v>0</v>
      </c>
      <c r="AO79" s="117">
        <v>0</v>
      </c>
      <c r="AP79" s="123">
        <f>187.8+61.4+24.7*2-49.4</f>
        <v>249.20000000000002</v>
      </c>
      <c r="AQ79" s="104"/>
      <c r="AR79" s="104"/>
      <c r="AS79" s="339"/>
      <c r="AT79" s="342"/>
      <c r="AU79" s="121">
        <f t="shared" si="46"/>
        <v>8106.2999999999993</v>
      </c>
      <c r="AV79" s="121">
        <f t="shared" si="47"/>
        <v>0</v>
      </c>
      <c r="AW79" s="155">
        <f t="shared" si="48"/>
        <v>0</v>
      </c>
    </row>
    <row r="80" spans="1:49" s="31" customFormat="1" ht="24">
      <c r="A80" s="328"/>
      <c r="B80" s="331"/>
      <c r="C80" s="334"/>
      <c r="D80" s="337"/>
      <c r="E80" s="109" t="s">
        <v>257</v>
      </c>
      <c r="F80" s="123">
        <f t="shared" si="103"/>
        <v>0</v>
      </c>
      <c r="G80" s="123">
        <f t="shared" si="104"/>
        <v>0</v>
      </c>
      <c r="H80" s="123">
        <v>0</v>
      </c>
      <c r="I80" s="123">
        <v>0</v>
      </c>
      <c r="J80" s="123">
        <v>0</v>
      </c>
      <c r="K80" s="123">
        <v>0</v>
      </c>
      <c r="L80" s="150">
        <v>0</v>
      </c>
      <c r="M80" s="123">
        <v>0</v>
      </c>
      <c r="N80" s="123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38">
        <v>0</v>
      </c>
      <c r="U80" s="117">
        <v>0</v>
      </c>
      <c r="V80" s="117">
        <v>0</v>
      </c>
      <c r="W80" s="117">
        <v>0</v>
      </c>
      <c r="X80" s="117">
        <v>0</v>
      </c>
      <c r="Y80" s="117">
        <v>0</v>
      </c>
      <c r="Z80" s="117">
        <v>0</v>
      </c>
      <c r="AA80" s="117">
        <v>0</v>
      </c>
      <c r="AB80" s="117">
        <v>0</v>
      </c>
      <c r="AC80" s="117">
        <v>0</v>
      </c>
      <c r="AD80" s="117">
        <v>0</v>
      </c>
      <c r="AE80" s="117">
        <v>0</v>
      </c>
      <c r="AF80" s="117">
        <v>0</v>
      </c>
      <c r="AG80" s="117">
        <v>0</v>
      </c>
      <c r="AH80" s="117">
        <v>0</v>
      </c>
      <c r="AI80" s="117">
        <v>0</v>
      </c>
      <c r="AJ80" s="123">
        <v>0</v>
      </c>
      <c r="AK80" s="123">
        <v>0</v>
      </c>
      <c r="AL80" s="123">
        <v>0</v>
      </c>
      <c r="AM80" s="117">
        <v>0</v>
      </c>
      <c r="AN80" s="117">
        <v>0</v>
      </c>
      <c r="AO80" s="117">
        <v>0</v>
      </c>
      <c r="AP80" s="123">
        <v>0</v>
      </c>
      <c r="AQ80" s="104"/>
      <c r="AR80" s="104"/>
      <c r="AS80" s="340"/>
      <c r="AT80" s="343"/>
      <c r="AU80" s="121"/>
      <c r="AV80" s="121"/>
      <c r="AW80" s="155"/>
    </row>
    <row r="81" spans="1:48" s="100" customFormat="1" ht="12.75" customHeight="1">
      <c r="A81" s="308" t="s">
        <v>256</v>
      </c>
      <c r="B81" s="309"/>
      <c r="C81" s="309"/>
      <c r="D81" s="310"/>
      <c r="E81" s="110" t="s">
        <v>42</v>
      </c>
      <c r="F81" s="106">
        <f>F82+F83+F84</f>
        <v>433024.19999999995</v>
      </c>
      <c r="G81" s="106">
        <f t="shared" ref="G81:AP81" si="108">G82+G83+G84</f>
        <v>0</v>
      </c>
      <c r="H81" s="106">
        <f>G81/F81*100</f>
        <v>0</v>
      </c>
      <c r="I81" s="106">
        <f t="shared" si="108"/>
        <v>14819.3</v>
      </c>
      <c r="J81" s="106">
        <f t="shared" si="108"/>
        <v>0</v>
      </c>
      <c r="K81" s="106">
        <f>J81/I81*100</f>
        <v>0</v>
      </c>
      <c r="L81" s="106">
        <f t="shared" si="108"/>
        <v>45743.000000000007</v>
      </c>
      <c r="M81" s="106">
        <f t="shared" si="108"/>
        <v>0</v>
      </c>
      <c r="N81" s="106">
        <f>M81/L81*100</f>
        <v>0</v>
      </c>
      <c r="O81" s="106">
        <f t="shared" si="108"/>
        <v>37909.200000000004</v>
      </c>
      <c r="P81" s="106">
        <f t="shared" si="108"/>
        <v>0</v>
      </c>
      <c r="Q81" s="106">
        <f>P81/O81*100</f>
        <v>0</v>
      </c>
      <c r="R81" s="106">
        <f t="shared" si="108"/>
        <v>43738.3</v>
      </c>
      <c r="S81" s="106">
        <f t="shared" si="108"/>
        <v>0</v>
      </c>
      <c r="T81" s="106">
        <f>S81/R81*100</f>
        <v>0</v>
      </c>
      <c r="U81" s="106">
        <f t="shared" si="108"/>
        <v>35345.399999999994</v>
      </c>
      <c r="V81" s="106">
        <f t="shared" si="108"/>
        <v>0</v>
      </c>
      <c r="W81" s="106">
        <f t="shared" si="108"/>
        <v>0</v>
      </c>
      <c r="X81" s="106">
        <f t="shared" si="108"/>
        <v>38689.799999999996</v>
      </c>
      <c r="Y81" s="106">
        <f t="shared" si="108"/>
        <v>0</v>
      </c>
      <c r="Z81" s="106" t="e">
        <f t="shared" si="108"/>
        <v>#REF!</v>
      </c>
      <c r="AA81" s="106">
        <f t="shared" si="108"/>
        <v>50633.4</v>
      </c>
      <c r="AB81" s="106">
        <f t="shared" si="108"/>
        <v>0</v>
      </c>
      <c r="AC81" s="106" t="e">
        <f t="shared" si="108"/>
        <v>#REF!</v>
      </c>
      <c r="AD81" s="106">
        <f t="shared" si="108"/>
        <v>36461.199999999997</v>
      </c>
      <c r="AE81" s="106">
        <f t="shared" si="108"/>
        <v>0</v>
      </c>
      <c r="AF81" s="103">
        <f t="shared" ref="AF81:AF84" si="109">AE81/AD81*100</f>
        <v>0</v>
      </c>
      <c r="AG81" s="106">
        <f t="shared" si="108"/>
        <v>28451.69999999999</v>
      </c>
      <c r="AH81" s="106">
        <f t="shared" si="108"/>
        <v>0</v>
      </c>
      <c r="AI81" s="106" t="e">
        <f t="shared" si="108"/>
        <v>#REF!</v>
      </c>
      <c r="AJ81" s="106">
        <f t="shared" si="108"/>
        <v>24958.799999999999</v>
      </c>
      <c r="AK81" s="106">
        <f t="shared" si="108"/>
        <v>0</v>
      </c>
      <c r="AL81" s="106" t="e">
        <f t="shared" si="108"/>
        <v>#REF!</v>
      </c>
      <c r="AM81" s="106">
        <f t="shared" si="108"/>
        <v>25565.599999999995</v>
      </c>
      <c r="AN81" s="106">
        <f t="shared" si="108"/>
        <v>0</v>
      </c>
      <c r="AO81" s="106" t="e">
        <f t="shared" si="108"/>
        <v>#REF!</v>
      </c>
      <c r="AP81" s="106">
        <f t="shared" si="108"/>
        <v>50708.5</v>
      </c>
      <c r="AQ81" s="103">
        <f t="shared" ref="AQ81:AR81" si="110">SUM(AQ82:AQ84)</f>
        <v>0</v>
      </c>
      <c r="AR81" s="103" t="e">
        <f t="shared" si="110"/>
        <v>#REF!</v>
      </c>
      <c r="AS81" s="317"/>
      <c r="AT81" s="320"/>
      <c r="AU81" s="121"/>
      <c r="AV81" s="127"/>
    </row>
    <row r="82" spans="1:48" s="100" customFormat="1" ht="36">
      <c r="A82" s="311"/>
      <c r="B82" s="312"/>
      <c r="C82" s="312"/>
      <c r="D82" s="313"/>
      <c r="E82" s="111" t="s">
        <v>3</v>
      </c>
      <c r="F82" s="106">
        <f t="shared" ref="F82:G84" si="111">F10+F34+F49+F63</f>
        <v>124591.59999999998</v>
      </c>
      <c r="G82" s="106">
        <f t="shared" si="111"/>
        <v>0</v>
      </c>
      <c r="H82" s="106">
        <f>G82/F82*100</f>
        <v>0</v>
      </c>
      <c r="I82" s="106">
        <f t="shared" ref="I82:J84" si="112">I10+I34+I49+I63</f>
        <v>949.6</v>
      </c>
      <c r="J82" s="106">
        <f t="shared" si="112"/>
        <v>0</v>
      </c>
      <c r="K82" s="106">
        <f t="shared" ref="K82:K84" si="113">J82/I82*100</f>
        <v>0</v>
      </c>
      <c r="L82" s="106">
        <f t="shared" ref="L82:M84" si="114">L10+L34+L49+L63</f>
        <v>8876.4</v>
      </c>
      <c r="M82" s="106">
        <f t="shared" si="114"/>
        <v>0</v>
      </c>
      <c r="N82" s="106">
        <f t="shared" ref="N82:N84" si="115">M82/L82*100</f>
        <v>0</v>
      </c>
      <c r="O82" s="106">
        <f t="shared" ref="O82:P84" si="116">O10+O34+O49+O63</f>
        <v>9349.1999999999989</v>
      </c>
      <c r="P82" s="106">
        <f t="shared" si="116"/>
        <v>0</v>
      </c>
      <c r="Q82" s="106">
        <f t="shared" ref="Q82:Q84" si="117">P82/O82*100</f>
        <v>0</v>
      </c>
      <c r="R82" s="106">
        <f t="shared" ref="R82:S84" si="118">R10+R34+R49+R63</f>
        <v>10145.4</v>
      </c>
      <c r="S82" s="106">
        <f t="shared" si="118"/>
        <v>0</v>
      </c>
      <c r="T82" s="106">
        <f t="shared" ref="T82:T84" si="119">S82/R82*100</f>
        <v>0</v>
      </c>
      <c r="U82" s="106">
        <f t="shared" ref="U82:AE82" si="120">U10+U34+U49+U63</f>
        <v>8496.3999999999978</v>
      </c>
      <c r="V82" s="106">
        <f t="shared" si="120"/>
        <v>0</v>
      </c>
      <c r="W82" s="106">
        <f t="shared" si="120"/>
        <v>0</v>
      </c>
      <c r="X82" s="106">
        <f t="shared" si="120"/>
        <v>10177.699999999999</v>
      </c>
      <c r="Y82" s="106">
        <f t="shared" si="120"/>
        <v>0</v>
      </c>
      <c r="Z82" s="106" t="e">
        <f t="shared" si="120"/>
        <v>#REF!</v>
      </c>
      <c r="AA82" s="106">
        <f t="shared" si="120"/>
        <v>11495.900000000001</v>
      </c>
      <c r="AB82" s="106">
        <f t="shared" si="120"/>
        <v>0</v>
      </c>
      <c r="AC82" s="106" t="e">
        <f t="shared" si="120"/>
        <v>#REF!</v>
      </c>
      <c r="AD82" s="106">
        <f t="shared" si="120"/>
        <v>11156.3</v>
      </c>
      <c r="AE82" s="106">
        <f t="shared" si="120"/>
        <v>0</v>
      </c>
      <c r="AF82" s="103">
        <f t="shared" si="109"/>
        <v>0</v>
      </c>
      <c r="AG82" s="106">
        <f t="shared" ref="AG82:AR82" si="121">AG10+AG34+AG49+AG63</f>
        <v>9422.9</v>
      </c>
      <c r="AH82" s="106">
        <f t="shared" si="121"/>
        <v>0</v>
      </c>
      <c r="AI82" s="106" t="e">
        <f t="shared" si="121"/>
        <v>#REF!</v>
      </c>
      <c r="AJ82" s="106">
        <f t="shared" si="121"/>
        <v>9978.1999999999989</v>
      </c>
      <c r="AK82" s="106">
        <f t="shared" si="121"/>
        <v>0</v>
      </c>
      <c r="AL82" s="106" t="e">
        <f t="shared" si="121"/>
        <v>#REF!</v>
      </c>
      <c r="AM82" s="106">
        <f t="shared" si="121"/>
        <v>8872.0999999999985</v>
      </c>
      <c r="AN82" s="106">
        <f t="shared" si="121"/>
        <v>0</v>
      </c>
      <c r="AO82" s="106" t="e">
        <f t="shared" si="121"/>
        <v>#REF!</v>
      </c>
      <c r="AP82" s="106">
        <f t="shared" si="121"/>
        <v>25671.5</v>
      </c>
      <c r="AQ82" s="106">
        <f t="shared" si="121"/>
        <v>0</v>
      </c>
      <c r="AR82" s="106" t="e">
        <f t="shared" si="121"/>
        <v>#REF!</v>
      </c>
      <c r="AS82" s="318"/>
      <c r="AT82" s="321"/>
      <c r="AU82" s="121"/>
      <c r="AV82" s="127"/>
    </row>
    <row r="83" spans="1:48" s="100" customFormat="1" ht="24">
      <c r="A83" s="311"/>
      <c r="B83" s="312"/>
      <c r="C83" s="312"/>
      <c r="D83" s="313"/>
      <c r="E83" s="111" t="s">
        <v>44</v>
      </c>
      <c r="F83" s="106">
        <f t="shared" si="111"/>
        <v>302600.5</v>
      </c>
      <c r="G83" s="106">
        <f t="shared" si="111"/>
        <v>0</v>
      </c>
      <c r="H83" s="106">
        <f>G83/F83*100</f>
        <v>0</v>
      </c>
      <c r="I83" s="106">
        <f t="shared" si="112"/>
        <v>13607.9</v>
      </c>
      <c r="J83" s="106">
        <f t="shared" si="112"/>
        <v>0</v>
      </c>
      <c r="K83" s="106">
        <f t="shared" si="113"/>
        <v>0</v>
      </c>
      <c r="L83" s="106">
        <f t="shared" si="114"/>
        <v>36530.100000000006</v>
      </c>
      <c r="M83" s="106">
        <f t="shared" si="114"/>
        <v>0</v>
      </c>
      <c r="N83" s="106">
        <f t="shared" si="115"/>
        <v>0</v>
      </c>
      <c r="O83" s="106">
        <f t="shared" si="116"/>
        <v>27748.7</v>
      </c>
      <c r="P83" s="106">
        <f t="shared" si="116"/>
        <v>0</v>
      </c>
      <c r="Q83" s="106">
        <f t="shared" si="117"/>
        <v>0</v>
      </c>
      <c r="R83" s="106">
        <f t="shared" si="118"/>
        <v>32852.300000000003</v>
      </c>
      <c r="S83" s="106">
        <f t="shared" si="118"/>
        <v>0</v>
      </c>
      <c r="T83" s="106">
        <f t="shared" si="119"/>
        <v>0</v>
      </c>
      <c r="U83" s="106">
        <f t="shared" ref="U83:AE83" si="122">U11+U35+U50+U64</f>
        <v>26369.299999999996</v>
      </c>
      <c r="V83" s="106">
        <f t="shared" si="122"/>
        <v>0</v>
      </c>
      <c r="W83" s="106">
        <f t="shared" si="122"/>
        <v>0</v>
      </c>
      <c r="X83" s="106">
        <f t="shared" si="122"/>
        <v>28159.299999999992</v>
      </c>
      <c r="Y83" s="106">
        <f t="shared" si="122"/>
        <v>0</v>
      </c>
      <c r="Z83" s="106" t="e">
        <f t="shared" si="122"/>
        <v>#REF!</v>
      </c>
      <c r="AA83" s="106">
        <f t="shared" si="122"/>
        <v>38312</v>
      </c>
      <c r="AB83" s="106">
        <f t="shared" si="122"/>
        <v>0</v>
      </c>
      <c r="AC83" s="106" t="e">
        <f t="shared" si="122"/>
        <v>#REF!</v>
      </c>
      <c r="AD83" s="106">
        <f t="shared" si="122"/>
        <v>24785.899999999998</v>
      </c>
      <c r="AE83" s="106">
        <f t="shared" si="122"/>
        <v>0</v>
      </c>
      <c r="AF83" s="106">
        <f t="shared" si="109"/>
        <v>0</v>
      </c>
      <c r="AG83" s="106">
        <f t="shared" ref="AG83:AR83" si="123">AG11+AG35+AG50+AG64</f>
        <v>18727.199999999993</v>
      </c>
      <c r="AH83" s="106">
        <f t="shared" si="123"/>
        <v>0</v>
      </c>
      <c r="AI83" s="106" t="e">
        <f t="shared" si="123"/>
        <v>#REF!</v>
      </c>
      <c r="AJ83" s="106">
        <f t="shared" si="123"/>
        <v>14416.000000000002</v>
      </c>
      <c r="AK83" s="106">
        <f t="shared" si="123"/>
        <v>0</v>
      </c>
      <c r="AL83" s="106" t="e">
        <f t="shared" si="123"/>
        <v>#REF!</v>
      </c>
      <c r="AM83" s="106">
        <f t="shared" si="123"/>
        <v>16251.799999999997</v>
      </c>
      <c r="AN83" s="106">
        <f t="shared" si="123"/>
        <v>0</v>
      </c>
      <c r="AO83" s="106" t="e">
        <f t="shared" si="123"/>
        <v>#REF!</v>
      </c>
      <c r="AP83" s="106">
        <f t="shared" si="123"/>
        <v>24839.999999999996</v>
      </c>
      <c r="AQ83" s="106">
        <f t="shared" si="123"/>
        <v>0</v>
      </c>
      <c r="AR83" s="106" t="e">
        <f t="shared" si="123"/>
        <v>#REF!</v>
      </c>
      <c r="AS83" s="318"/>
      <c r="AT83" s="321"/>
      <c r="AU83" s="121"/>
      <c r="AV83" s="127"/>
    </row>
    <row r="84" spans="1:48" s="100" customFormat="1" ht="24">
      <c r="A84" s="314"/>
      <c r="B84" s="315"/>
      <c r="C84" s="315"/>
      <c r="D84" s="316"/>
      <c r="E84" s="110" t="s">
        <v>257</v>
      </c>
      <c r="F84" s="106">
        <f t="shared" si="111"/>
        <v>5832.1</v>
      </c>
      <c r="G84" s="106">
        <f t="shared" si="111"/>
        <v>0</v>
      </c>
      <c r="H84" s="106">
        <f>G84/F84*100</f>
        <v>0</v>
      </c>
      <c r="I84" s="106">
        <f t="shared" si="112"/>
        <v>261.8</v>
      </c>
      <c r="J84" s="106">
        <f t="shared" si="112"/>
        <v>0</v>
      </c>
      <c r="K84" s="106">
        <f t="shared" si="113"/>
        <v>0</v>
      </c>
      <c r="L84" s="106">
        <f t="shared" si="114"/>
        <v>336.5</v>
      </c>
      <c r="M84" s="106">
        <f t="shared" si="114"/>
        <v>0</v>
      </c>
      <c r="N84" s="106">
        <f t="shared" si="115"/>
        <v>0</v>
      </c>
      <c r="O84" s="106">
        <f t="shared" si="116"/>
        <v>811.3</v>
      </c>
      <c r="P84" s="106">
        <f t="shared" si="116"/>
        <v>0</v>
      </c>
      <c r="Q84" s="106">
        <f t="shared" si="117"/>
        <v>0</v>
      </c>
      <c r="R84" s="106">
        <f t="shared" si="118"/>
        <v>740.6</v>
      </c>
      <c r="S84" s="106">
        <f t="shared" si="118"/>
        <v>0</v>
      </c>
      <c r="T84" s="106">
        <f t="shared" si="119"/>
        <v>0</v>
      </c>
      <c r="U84" s="106">
        <f t="shared" ref="U84:AE84" si="124">U12+U36+U51+U65</f>
        <v>479.7</v>
      </c>
      <c r="V84" s="106">
        <f t="shared" si="124"/>
        <v>0</v>
      </c>
      <c r="W84" s="106">
        <f t="shared" si="124"/>
        <v>0</v>
      </c>
      <c r="X84" s="106">
        <f t="shared" si="124"/>
        <v>352.8</v>
      </c>
      <c r="Y84" s="106">
        <f t="shared" si="124"/>
        <v>0</v>
      </c>
      <c r="Z84" s="106" t="e">
        <f t="shared" si="124"/>
        <v>#REF!</v>
      </c>
      <c r="AA84" s="106">
        <f t="shared" si="124"/>
        <v>825.5</v>
      </c>
      <c r="AB84" s="106">
        <f t="shared" si="124"/>
        <v>0</v>
      </c>
      <c r="AC84" s="106" t="e">
        <f t="shared" si="124"/>
        <v>#REF!</v>
      </c>
      <c r="AD84" s="106">
        <f t="shared" si="124"/>
        <v>519</v>
      </c>
      <c r="AE84" s="106">
        <f t="shared" si="124"/>
        <v>0</v>
      </c>
      <c r="AF84" s="106">
        <f t="shared" si="109"/>
        <v>0</v>
      </c>
      <c r="AG84" s="106">
        <f t="shared" ref="AG84:AR84" si="125">AG12+AG36+AG51+AG65</f>
        <v>301.60000000000002</v>
      </c>
      <c r="AH84" s="106">
        <f t="shared" si="125"/>
        <v>0</v>
      </c>
      <c r="AI84" s="106" t="e">
        <f t="shared" si="125"/>
        <v>#REF!</v>
      </c>
      <c r="AJ84" s="106">
        <f t="shared" si="125"/>
        <v>564.6</v>
      </c>
      <c r="AK84" s="106">
        <f t="shared" si="125"/>
        <v>0</v>
      </c>
      <c r="AL84" s="106" t="e">
        <f t="shared" si="125"/>
        <v>#REF!</v>
      </c>
      <c r="AM84" s="106">
        <f t="shared" si="125"/>
        <v>441.7</v>
      </c>
      <c r="AN84" s="106">
        <f t="shared" si="125"/>
        <v>0</v>
      </c>
      <c r="AO84" s="106" t="e">
        <f t="shared" si="125"/>
        <v>#REF!</v>
      </c>
      <c r="AP84" s="106">
        <f t="shared" si="125"/>
        <v>197</v>
      </c>
      <c r="AQ84" s="106">
        <f t="shared" si="125"/>
        <v>0</v>
      </c>
      <c r="AR84" s="106" t="e">
        <f t="shared" si="125"/>
        <v>#REF!</v>
      </c>
      <c r="AS84" s="319"/>
      <c r="AT84" s="322"/>
      <c r="AU84" s="121"/>
      <c r="AV84" s="127"/>
    </row>
    <row r="85" spans="1:48" s="31" customFormat="1" ht="12.75">
      <c r="A85" s="32"/>
      <c r="B85" s="151"/>
      <c r="C85" s="151"/>
      <c r="D85" s="151"/>
      <c r="E85" s="29"/>
      <c r="F85" s="101"/>
      <c r="G85" s="101"/>
      <c r="H85" s="4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151"/>
      <c r="AK85" s="151"/>
      <c r="AL85" s="151"/>
      <c r="AM85" s="99"/>
      <c r="AN85" s="99"/>
      <c r="AO85" s="99"/>
      <c r="AS85" s="131"/>
    </row>
    <row r="86" spans="1:48" s="31" customFormat="1">
      <c r="A86" s="32"/>
      <c r="B86" s="323"/>
      <c r="C86" s="323"/>
      <c r="D86" s="323"/>
      <c r="E86" s="324"/>
      <c r="F86" s="325"/>
      <c r="G86" s="142"/>
      <c r="H86" s="4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151"/>
      <c r="AK86" s="151"/>
      <c r="AL86" s="151"/>
      <c r="AM86" s="99"/>
      <c r="AN86" s="99"/>
      <c r="AO86" s="99"/>
      <c r="AS86" s="131"/>
    </row>
    <row r="87" spans="1:48" s="31" customFormat="1" ht="12.75">
      <c r="A87" s="32"/>
      <c r="E87" s="119"/>
      <c r="F87" s="120"/>
      <c r="G87" s="120"/>
      <c r="H87" s="121"/>
      <c r="P87" s="151"/>
      <c r="Q87" s="151"/>
      <c r="R87" s="151"/>
      <c r="S87" s="151"/>
      <c r="T87" s="151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51"/>
      <c r="AK87" s="151"/>
      <c r="AL87" s="151"/>
      <c r="AM87" s="99"/>
      <c r="AN87" s="99"/>
      <c r="AO87" s="99"/>
      <c r="AS87" s="131"/>
    </row>
    <row r="88" spans="1:48" s="31" customFormat="1" ht="12.75">
      <c r="A88" s="307" t="s">
        <v>282</v>
      </c>
      <c r="B88" s="307"/>
      <c r="C88" s="307"/>
      <c r="D88" s="151"/>
      <c r="E88" s="29"/>
      <c r="F88" s="101"/>
      <c r="G88" s="101"/>
      <c r="H88" s="41"/>
      <c r="I88" s="151"/>
      <c r="J88" s="146" t="s">
        <v>284</v>
      </c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51"/>
      <c r="AK88" s="151"/>
      <c r="AL88" s="151"/>
      <c r="AM88" s="99"/>
      <c r="AN88" s="99"/>
      <c r="AO88" s="99"/>
      <c r="AS88" s="131"/>
    </row>
    <row r="89" spans="1:48" s="31" customFormat="1" ht="12.75">
      <c r="A89" s="307" t="s">
        <v>283</v>
      </c>
      <c r="B89" s="307"/>
      <c r="C89" s="307"/>
      <c r="D89" s="307"/>
      <c r="E89" s="307"/>
      <c r="F89" s="307"/>
      <c r="G89" s="101"/>
      <c r="H89" s="41"/>
      <c r="I89" s="151"/>
      <c r="J89" s="146" t="s">
        <v>285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151"/>
      <c r="AK89" s="151"/>
      <c r="AL89" s="151"/>
      <c r="AM89" s="99"/>
      <c r="AN89" s="99"/>
      <c r="AO89" s="99"/>
      <c r="AS89" s="131"/>
    </row>
    <row r="90" spans="1:48" s="31" customFormat="1" ht="12.75">
      <c r="A90" s="307"/>
      <c r="B90" s="307"/>
      <c r="C90" s="307"/>
      <c r="D90" s="307"/>
      <c r="E90" s="151"/>
      <c r="F90" s="101"/>
      <c r="G90" s="101"/>
      <c r="H90" s="41"/>
      <c r="I90" s="151"/>
      <c r="J90" s="146" t="s">
        <v>286</v>
      </c>
      <c r="K90" s="151"/>
      <c r="L90" s="115"/>
      <c r="M90" s="151"/>
      <c r="N90" s="151"/>
      <c r="O90" s="151"/>
      <c r="P90" s="151"/>
      <c r="Q90" s="151"/>
      <c r="R90" s="151"/>
      <c r="S90" s="151"/>
      <c r="T90" s="151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51"/>
      <c r="AK90" s="151"/>
      <c r="AL90" s="151"/>
      <c r="AM90" s="99"/>
      <c r="AN90" s="99"/>
      <c r="AO90" s="99"/>
      <c r="AS90" s="131"/>
    </row>
    <row r="91" spans="1:48" s="31" customFormat="1" ht="12.75">
      <c r="A91" s="147" t="s">
        <v>288</v>
      </c>
      <c r="B91" s="147"/>
      <c r="C91" s="147"/>
      <c r="D91" s="148"/>
      <c r="E91" s="112" t="s">
        <v>260</v>
      </c>
      <c r="F91" s="113"/>
      <c r="G91" s="113"/>
      <c r="H91" s="114"/>
      <c r="I91" s="115"/>
      <c r="J91" s="146"/>
      <c r="K91" s="115"/>
      <c r="M91" s="115" t="s">
        <v>292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6"/>
      <c r="AQ91" s="116"/>
      <c r="AR91" s="116"/>
      <c r="AS91" s="131"/>
    </row>
    <row r="92" spans="1:48">
      <c r="A92" s="307"/>
      <c r="B92" s="307"/>
      <c r="C92" s="307"/>
      <c r="D92" s="307"/>
      <c r="E92" s="131"/>
      <c r="F92" s="131"/>
      <c r="J92" s="146" t="s">
        <v>287</v>
      </c>
      <c r="AS92" s="131"/>
    </row>
    <row r="93" spans="1:48">
      <c r="A93" s="147" t="s">
        <v>289</v>
      </c>
      <c r="B93" s="147"/>
      <c r="C93" s="147"/>
      <c r="D93" s="148"/>
      <c r="E93" s="131" t="s">
        <v>293</v>
      </c>
      <c r="F93" s="131"/>
      <c r="AS93" s="131"/>
    </row>
    <row r="94" spans="1:48">
      <c r="AS94" s="131"/>
    </row>
    <row r="95" spans="1:48">
      <c r="AS95" s="131"/>
    </row>
    <row r="96" spans="1:48">
      <c r="A96" s="307" t="s">
        <v>290</v>
      </c>
      <c r="B96" s="307"/>
      <c r="C96" s="307"/>
      <c r="D96" s="307"/>
      <c r="AS96" s="131"/>
    </row>
    <row r="97" spans="1:45">
      <c r="A97" s="307" t="s">
        <v>291</v>
      </c>
      <c r="B97" s="307"/>
      <c r="C97" s="307"/>
      <c r="AS97" s="131"/>
    </row>
    <row r="98" spans="1:45">
      <c r="AS98" s="131"/>
    </row>
    <row r="99" spans="1:45">
      <c r="AS99" s="131"/>
    </row>
    <row r="100" spans="1:45">
      <c r="AS100" s="131"/>
    </row>
    <row r="101" spans="1:45">
      <c r="AS101" s="131"/>
    </row>
    <row r="102" spans="1:45">
      <c r="AS102" s="131"/>
    </row>
    <row r="103" spans="1:45">
      <c r="AS103" s="131"/>
    </row>
    <row r="104" spans="1:45">
      <c r="AS104" s="131"/>
    </row>
    <row r="105" spans="1:45">
      <c r="AS105" s="131"/>
    </row>
    <row r="106" spans="1:45">
      <c r="AS106" s="131"/>
    </row>
    <row r="107" spans="1:45">
      <c r="AS107" s="131"/>
    </row>
    <row r="108" spans="1:45">
      <c r="AS108" s="131"/>
    </row>
    <row r="109" spans="1:45">
      <c r="AS109" s="131"/>
    </row>
    <row r="110" spans="1:45">
      <c r="AS110" s="131"/>
    </row>
    <row r="111" spans="1:45">
      <c r="AS111" s="131"/>
    </row>
    <row r="112" spans="1:45">
      <c r="AS112" s="131"/>
    </row>
    <row r="113" spans="45:45">
      <c r="AS113" s="131"/>
    </row>
    <row r="114" spans="45:45">
      <c r="AS114" s="131"/>
    </row>
    <row r="115" spans="45:45">
      <c r="AS115" s="131"/>
    </row>
    <row r="116" spans="45:45">
      <c r="AS116" s="131"/>
    </row>
    <row r="117" spans="45:45">
      <c r="AS117" s="131"/>
    </row>
    <row r="118" spans="45:45">
      <c r="AS118" s="131"/>
    </row>
    <row r="119" spans="45:45">
      <c r="AS119" s="131"/>
    </row>
    <row r="120" spans="45:45">
      <c r="AS120" s="131"/>
    </row>
    <row r="121" spans="45:45">
      <c r="AS121" s="131"/>
    </row>
    <row r="122" spans="45:45">
      <c r="AS122" s="131"/>
    </row>
    <row r="123" spans="45:45">
      <c r="AS123" s="131"/>
    </row>
    <row r="124" spans="45:45">
      <c r="AS124" s="131"/>
    </row>
    <row r="125" spans="45:45">
      <c r="AS125" s="131"/>
    </row>
    <row r="126" spans="45:45">
      <c r="AS126" s="131"/>
    </row>
    <row r="127" spans="45:45">
      <c r="AS127" s="131"/>
    </row>
    <row r="128" spans="45:45">
      <c r="AS128" s="131"/>
    </row>
    <row r="129" spans="45:45">
      <c r="AS129" s="131"/>
    </row>
    <row r="130" spans="45:45">
      <c r="AS130" s="131"/>
    </row>
    <row r="131" spans="45:45">
      <c r="AS131" s="131"/>
    </row>
    <row r="132" spans="45:45">
      <c r="AS132" s="131"/>
    </row>
    <row r="133" spans="45:45">
      <c r="AS133" s="131"/>
    </row>
    <row r="134" spans="45:45">
      <c r="AS134" s="131"/>
    </row>
    <row r="135" spans="45:45">
      <c r="AS135" s="131"/>
    </row>
    <row r="136" spans="45:45">
      <c r="AS136" s="131"/>
    </row>
    <row r="137" spans="45:45">
      <c r="AS137" s="131"/>
    </row>
    <row r="138" spans="45:45">
      <c r="AS138" s="131"/>
    </row>
    <row r="139" spans="45:45">
      <c r="AS139" s="131"/>
    </row>
    <row r="140" spans="45:45">
      <c r="AS140" s="131"/>
    </row>
    <row r="141" spans="45:45">
      <c r="AS141" s="131"/>
    </row>
    <row r="142" spans="45:45">
      <c r="AS142" s="131"/>
    </row>
    <row r="143" spans="45:45">
      <c r="AS143" s="131"/>
    </row>
    <row r="144" spans="45:45">
      <c r="AS144" s="131"/>
    </row>
    <row r="145" spans="45:45">
      <c r="AS145" s="131"/>
    </row>
    <row r="146" spans="45:45">
      <c r="AS146" s="131"/>
    </row>
    <row r="147" spans="45:45">
      <c r="AS147" s="131"/>
    </row>
    <row r="148" spans="45:45">
      <c r="AS148" s="131"/>
    </row>
    <row r="149" spans="45:45">
      <c r="AS149" s="131"/>
    </row>
    <row r="150" spans="45:45">
      <c r="AS150" s="131"/>
    </row>
    <row r="151" spans="45:45">
      <c r="AS151" s="131"/>
    </row>
    <row r="152" spans="45:45">
      <c r="AS152" s="131"/>
    </row>
    <row r="153" spans="45:45">
      <c r="AS153" s="131"/>
    </row>
    <row r="154" spans="45:45">
      <c r="AS154" s="131"/>
    </row>
    <row r="155" spans="45:45">
      <c r="AS155" s="131"/>
    </row>
    <row r="156" spans="45:45">
      <c r="AS156" s="131"/>
    </row>
    <row r="157" spans="45:45">
      <c r="AS157" s="131"/>
    </row>
    <row r="158" spans="45:45">
      <c r="AS158" s="131"/>
    </row>
    <row r="159" spans="45:45">
      <c r="AS159" s="131"/>
    </row>
    <row r="160" spans="45:45">
      <c r="AS160" s="131"/>
    </row>
    <row r="161" spans="45:45">
      <c r="AS161" s="131"/>
    </row>
    <row r="162" spans="45:45">
      <c r="AS162" s="131"/>
    </row>
    <row r="163" spans="45:45">
      <c r="AS163" s="131"/>
    </row>
    <row r="164" spans="45:45">
      <c r="AS164" s="131"/>
    </row>
    <row r="165" spans="45:45">
      <c r="AS165" s="131"/>
    </row>
    <row r="166" spans="45:45">
      <c r="AS166" s="131"/>
    </row>
    <row r="167" spans="45:45">
      <c r="AS167" s="131"/>
    </row>
    <row r="168" spans="45:45">
      <c r="AS168" s="131"/>
    </row>
    <row r="169" spans="45:45">
      <c r="AS169" s="131"/>
    </row>
    <row r="170" spans="45:45">
      <c r="AS170" s="131"/>
    </row>
    <row r="171" spans="45:45">
      <c r="AS171" s="131"/>
    </row>
    <row r="172" spans="45:45">
      <c r="AS172" s="131"/>
    </row>
    <row r="173" spans="45:45">
      <c r="AS173" s="131"/>
    </row>
    <row r="174" spans="45:45">
      <c r="AS174" s="131"/>
    </row>
    <row r="175" spans="45:45">
      <c r="AS175" s="131"/>
    </row>
    <row r="176" spans="45:45">
      <c r="AS176" s="131"/>
    </row>
    <row r="177" spans="45:45">
      <c r="AS177" s="131"/>
    </row>
    <row r="178" spans="45:45">
      <c r="AS178" s="131"/>
    </row>
    <row r="179" spans="45:45">
      <c r="AS179" s="131"/>
    </row>
    <row r="180" spans="45:45">
      <c r="AS180" s="131"/>
    </row>
  </sheetData>
  <mergeCells count="111">
    <mergeCell ref="A2:AR2"/>
    <mergeCell ref="A3:AR3"/>
    <mergeCell ref="A5:A6"/>
    <mergeCell ref="B5:B6"/>
    <mergeCell ref="C5:C6"/>
    <mergeCell ref="D5:D6"/>
    <mergeCell ref="E5:E6"/>
    <mergeCell ref="F5:H5"/>
    <mergeCell ref="I5:K5"/>
    <mergeCell ref="L5:N5"/>
    <mergeCell ref="AG5:AI5"/>
    <mergeCell ref="AJ5:AL5"/>
    <mergeCell ref="AM5:AO5"/>
    <mergeCell ref="AP5:AR5"/>
    <mergeCell ref="AS5:AS6"/>
    <mergeCell ref="AT5:AT6"/>
    <mergeCell ref="O5:Q5"/>
    <mergeCell ref="R5:T5"/>
    <mergeCell ref="U5:W5"/>
    <mergeCell ref="X5:Z5"/>
    <mergeCell ref="AA5:AC5"/>
    <mergeCell ref="AD5:AF5"/>
    <mergeCell ref="A7:AT7"/>
    <mergeCell ref="A8:AT8"/>
    <mergeCell ref="A9:D12"/>
    <mergeCell ref="AS9:AS12"/>
    <mergeCell ref="AT9:AT12"/>
    <mergeCell ref="A13:A16"/>
    <mergeCell ref="B13:B16"/>
    <mergeCell ref="C13:C16"/>
    <mergeCell ref="D13:D16"/>
    <mergeCell ref="AS13:AS16"/>
    <mergeCell ref="A22:A24"/>
    <mergeCell ref="B22:B24"/>
    <mergeCell ref="C22:C24"/>
    <mergeCell ref="D22:D24"/>
    <mergeCell ref="AS22:AS24"/>
    <mergeCell ref="AT22:AT24"/>
    <mergeCell ref="AT13:AT16"/>
    <mergeCell ref="A17:A20"/>
    <mergeCell ref="B17:B20"/>
    <mergeCell ref="C17:C20"/>
    <mergeCell ref="D17:D20"/>
    <mergeCell ref="AS17:AS20"/>
    <mergeCell ref="AT17:AT20"/>
    <mergeCell ref="A29:A31"/>
    <mergeCell ref="B29:B31"/>
    <mergeCell ref="C29:C31"/>
    <mergeCell ref="D29:D31"/>
    <mergeCell ref="AS29:AS31"/>
    <mergeCell ref="AT29:AT31"/>
    <mergeCell ref="A25:A28"/>
    <mergeCell ref="B25:B28"/>
    <mergeCell ref="C25:C28"/>
    <mergeCell ref="D25:D28"/>
    <mergeCell ref="AS25:AS28"/>
    <mergeCell ref="AT25:AT28"/>
    <mergeCell ref="A32:AT32"/>
    <mergeCell ref="A33:D36"/>
    <mergeCell ref="AS33:AS36"/>
    <mergeCell ref="AT33:AT36"/>
    <mergeCell ref="A42:A45"/>
    <mergeCell ref="B42:B45"/>
    <mergeCell ref="C42:C45"/>
    <mergeCell ref="D42:D45"/>
    <mergeCell ref="AS42:AS45"/>
    <mergeCell ref="AT42:AT45"/>
    <mergeCell ref="A46:AT46"/>
    <mergeCell ref="A47:AT47"/>
    <mergeCell ref="A48:D51"/>
    <mergeCell ref="AS48:AS51"/>
    <mergeCell ref="AT48:AT51"/>
    <mergeCell ref="A56:A59"/>
    <mergeCell ref="B56:B59"/>
    <mergeCell ref="C56:C59"/>
    <mergeCell ref="D56:D59"/>
    <mergeCell ref="AS56:AS59"/>
    <mergeCell ref="A69:A72"/>
    <mergeCell ref="B69:B72"/>
    <mergeCell ref="C69:C72"/>
    <mergeCell ref="D69:D72"/>
    <mergeCell ref="AS69:AS72"/>
    <mergeCell ref="AT69:AT72"/>
    <mergeCell ref="AT56:AT59"/>
    <mergeCell ref="A60:AT60"/>
    <mergeCell ref="A61:AT61"/>
    <mergeCell ref="A62:D65"/>
    <mergeCell ref="AS62:AS65"/>
    <mergeCell ref="AT62:AT65"/>
    <mergeCell ref="A77:A80"/>
    <mergeCell ref="B77:B80"/>
    <mergeCell ref="C77:C80"/>
    <mergeCell ref="D77:D80"/>
    <mergeCell ref="AS77:AS80"/>
    <mergeCell ref="AT77:AT80"/>
    <mergeCell ref="A73:A76"/>
    <mergeCell ref="B73:B76"/>
    <mergeCell ref="C73:C76"/>
    <mergeCell ref="D73:D76"/>
    <mergeCell ref="AS73:AS76"/>
    <mergeCell ref="AT73:AT76"/>
    <mergeCell ref="A90:D90"/>
    <mergeCell ref="A92:D92"/>
    <mergeCell ref="A96:D96"/>
    <mergeCell ref="A97:C97"/>
    <mergeCell ref="A81:D84"/>
    <mergeCell ref="AS81:AS84"/>
    <mergeCell ref="AT81:AT84"/>
    <mergeCell ref="B86:F86"/>
    <mergeCell ref="A88:C88"/>
    <mergeCell ref="A89:F89"/>
  </mergeCells>
  <conditionalFormatting sqref="H91 H69:H80 H56:H59 H48:H51 H42:H45 H30:H31 H27:H28 H24 H14 H19">
    <cfRule type="cellIs" dxfId="3" priority="2" stopIfTrue="1" operator="notEqual">
      <formula>#REF!</formula>
    </cfRule>
  </conditionalFormatting>
  <pageMargins left="0.70866141732283472" right="0.11811023622047245" top="0.31496062992125984" bottom="0.23622047244094491" header="0.31496062992125984" footer="0.31496062992125984"/>
  <pageSetup paperSize="9" scale="58" fitToHeight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80"/>
  <sheetViews>
    <sheetView workbookViewId="0">
      <pane xSplit="4" ySplit="8" topLeftCell="U9" activePane="bottomRight" state="frozen"/>
      <selection pane="topRight" activeCell="E1" sqref="E1"/>
      <selection pane="bottomLeft" activeCell="A9" sqref="A9"/>
      <selection pane="bottomRight" activeCell="R80" sqref="R80"/>
    </sheetView>
  </sheetViews>
  <sheetFormatPr defaultRowHeight="15"/>
  <cols>
    <col min="2" max="4" width="23.7109375" customWidth="1"/>
    <col min="5" max="5" width="13.28515625" customWidth="1"/>
    <col min="6" max="6" width="10.85546875" customWidth="1"/>
    <col min="7" max="7" width="10.7109375" customWidth="1"/>
    <col min="10" max="11" width="9.140625" customWidth="1"/>
    <col min="12" max="12" width="8.85546875" customWidth="1"/>
    <col min="13" max="13" width="9.140625" style="122" hidden="1" customWidth="1"/>
    <col min="14" max="14" width="9.140625" hidden="1" customWidth="1"/>
    <col min="16" max="16" width="9.140625" hidden="1" customWidth="1"/>
    <col min="17" max="17" width="10.7109375" hidden="1" customWidth="1"/>
    <col min="19" max="20" width="9.140625" hidden="1" customWidth="1"/>
    <col min="22" max="23" width="9.140625" hidden="1" customWidth="1"/>
    <col min="25" max="26" width="9.140625" hidden="1" customWidth="1"/>
    <col min="27" max="27" width="9.28515625" style="122" customWidth="1"/>
    <col min="28" max="29" width="9.140625" hidden="1" customWidth="1"/>
    <col min="30" max="30" width="9.140625" style="122"/>
    <col min="31" max="32" width="9.140625" style="122" hidden="1" customWidth="1"/>
    <col min="33" max="33" width="9.140625" style="122"/>
    <col min="34" max="35" width="9.140625" hidden="1" customWidth="1"/>
    <col min="37" max="38" width="9.140625" hidden="1" customWidth="1"/>
    <col min="39" max="39" width="9.140625" style="122"/>
    <col min="40" max="41" width="9.140625" hidden="1" customWidth="1"/>
    <col min="42" max="42" width="9.140625" style="125"/>
    <col min="43" max="43" width="10.42578125" hidden="1" customWidth="1"/>
    <col min="44" max="44" width="9.140625" hidden="1" customWidth="1"/>
    <col min="45" max="45" width="48.7109375" style="130" customWidth="1"/>
    <col min="46" max="46" width="44.7109375" customWidth="1"/>
    <col min="47" max="50" width="9.140625" customWidth="1"/>
  </cols>
  <sheetData>
    <row r="1" spans="1:49" s="31" customFormat="1" ht="12.75">
      <c r="A1" s="151"/>
      <c r="B1" s="151"/>
      <c r="C1" s="151"/>
      <c r="D1" s="151"/>
      <c r="E1" s="29"/>
      <c r="F1" s="29"/>
      <c r="G1" s="29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Q1" s="151"/>
      <c r="AR1" s="151"/>
      <c r="AS1" s="151"/>
    </row>
    <row r="2" spans="1:49" s="118" customFormat="1" ht="15.75">
      <c r="A2" s="401" t="s">
        <v>403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173"/>
    </row>
    <row r="3" spans="1:49" s="118" customFormat="1" ht="15.75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174"/>
    </row>
    <row r="4" spans="1:49" s="31" customFormat="1" ht="12.75">
      <c r="A4" s="30"/>
      <c r="B4" s="151"/>
      <c r="C4" s="151"/>
      <c r="D4" s="151"/>
      <c r="E4" s="29"/>
      <c r="F4" s="29"/>
      <c r="G4" s="29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02"/>
      <c r="AQ4" s="102"/>
      <c r="AR4" s="102"/>
      <c r="AS4" s="102"/>
    </row>
    <row r="5" spans="1:49" s="31" customFormat="1" ht="25.5" customHeight="1">
      <c r="A5" s="400" t="s">
        <v>0</v>
      </c>
      <c r="B5" s="400" t="s">
        <v>261</v>
      </c>
      <c r="C5" s="403" t="s">
        <v>47</v>
      </c>
      <c r="D5" s="403" t="s">
        <v>262</v>
      </c>
      <c r="E5" s="400" t="s">
        <v>1</v>
      </c>
      <c r="F5" s="400" t="s">
        <v>263</v>
      </c>
      <c r="G5" s="400"/>
      <c r="H5" s="400"/>
      <c r="I5" s="400" t="s">
        <v>18</v>
      </c>
      <c r="J5" s="400"/>
      <c r="K5" s="400"/>
      <c r="L5" s="400" t="s">
        <v>19</v>
      </c>
      <c r="M5" s="400"/>
      <c r="N5" s="400"/>
      <c r="O5" s="400" t="s">
        <v>23</v>
      </c>
      <c r="P5" s="400"/>
      <c r="Q5" s="400"/>
      <c r="R5" s="400" t="s">
        <v>25</v>
      </c>
      <c r="S5" s="400"/>
      <c r="T5" s="400"/>
      <c r="U5" s="400" t="s">
        <v>26</v>
      </c>
      <c r="V5" s="400"/>
      <c r="W5" s="400"/>
      <c r="X5" s="400" t="s">
        <v>27</v>
      </c>
      <c r="Y5" s="400"/>
      <c r="Z5" s="400"/>
      <c r="AA5" s="400" t="s">
        <v>29</v>
      </c>
      <c r="AB5" s="400"/>
      <c r="AC5" s="400"/>
      <c r="AD5" s="400" t="s">
        <v>30</v>
      </c>
      <c r="AE5" s="400"/>
      <c r="AF5" s="400"/>
      <c r="AG5" s="400" t="s">
        <v>31</v>
      </c>
      <c r="AH5" s="400"/>
      <c r="AI5" s="400"/>
      <c r="AJ5" s="400" t="s">
        <v>33</v>
      </c>
      <c r="AK5" s="400"/>
      <c r="AL5" s="400"/>
      <c r="AM5" s="400" t="s">
        <v>34</v>
      </c>
      <c r="AN5" s="400"/>
      <c r="AO5" s="400"/>
      <c r="AP5" s="400" t="s">
        <v>35</v>
      </c>
      <c r="AQ5" s="400"/>
      <c r="AR5" s="400"/>
      <c r="AS5" s="398" t="s">
        <v>273</v>
      </c>
      <c r="AT5" s="399" t="s">
        <v>274</v>
      </c>
      <c r="AU5" s="32"/>
      <c r="AV5" s="32"/>
    </row>
    <row r="6" spans="1:49" s="31" customFormat="1" ht="25.5">
      <c r="A6" s="400"/>
      <c r="B6" s="400"/>
      <c r="C6" s="404"/>
      <c r="D6" s="404"/>
      <c r="E6" s="400"/>
      <c r="F6" s="175" t="s">
        <v>264</v>
      </c>
      <c r="G6" s="175" t="s">
        <v>265</v>
      </c>
      <c r="H6" s="128" t="s">
        <v>266</v>
      </c>
      <c r="I6" s="175" t="s">
        <v>264</v>
      </c>
      <c r="J6" s="175" t="s">
        <v>265</v>
      </c>
      <c r="K6" s="128" t="s">
        <v>266</v>
      </c>
      <c r="L6" s="175" t="s">
        <v>264</v>
      </c>
      <c r="M6" s="175" t="s">
        <v>265</v>
      </c>
      <c r="N6" s="128" t="s">
        <v>266</v>
      </c>
      <c r="O6" s="175" t="s">
        <v>264</v>
      </c>
      <c r="P6" s="175" t="s">
        <v>265</v>
      </c>
      <c r="Q6" s="128" t="s">
        <v>266</v>
      </c>
      <c r="R6" s="175" t="s">
        <v>264</v>
      </c>
      <c r="S6" s="175" t="s">
        <v>265</v>
      </c>
      <c r="T6" s="128" t="s">
        <v>266</v>
      </c>
      <c r="U6" s="175" t="s">
        <v>264</v>
      </c>
      <c r="V6" s="175" t="s">
        <v>265</v>
      </c>
      <c r="W6" s="128" t="s">
        <v>266</v>
      </c>
      <c r="X6" s="175" t="s">
        <v>264</v>
      </c>
      <c r="Y6" s="175" t="s">
        <v>265</v>
      </c>
      <c r="Z6" s="128" t="s">
        <v>266</v>
      </c>
      <c r="AA6" s="175" t="s">
        <v>264</v>
      </c>
      <c r="AB6" s="175" t="s">
        <v>265</v>
      </c>
      <c r="AC6" s="128" t="s">
        <v>266</v>
      </c>
      <c r="AD6" s="175" t="s">
        <v>264</v>
      </c>
      <c r="AE6" s="175" t="s">
        <v>265</v>
      </c>
      <c r="AF6" s="128" t="s">
        <v>266</v>
      </c>
      <c r="AG6" s="175" t="s">
        <v>264</v>
      </c>
      <c r="AH6" s="175" t="s">
        <v>265</v>
      </c>
      <c r="AI6" s="128" t="s">
        <v>266</v>
      </c>
      <c r="AJ6" s="175" t="s">
        <v>264</v>
      </c>
      <c r="AK6" s="175" t="s">
        <v>265</v>
      </c>
      <c r="AL6" s="128" t="s">
        <v>266</v>
      </c>
      <c r="AM6" s="175" t="s">
        <v>264</v>
      </c>
      <c r="AN6" s="175" t="s">
        <v>265</v>
      </c>
      <c r="AO6" s="128" t="s">
        <v>266</v>
      </c>
      <c r="AP6" s="175" t="s">
        <v>264</v>
      </c>
      <c r="AQ6" s="175" t="s">
        <v>265</v>
      </c>
      <c r="AR6" s="128" t="s">
        <v>266</v>
      </c>
      <c r="AS6" s="398"/>
      <c r="AT6" s="399"/>
    </row>
    <row r="7" spans="1:49" s="31" customFormat="1" ht="15.75">
      <c r="A7" s="350" t="s">
        <v>322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2"/>
    </row>
    <row r="8" spans="1:49" s="31" customFormat="1" ht="15.75">
      <c r="A8" s="350" t="s">
        <v>294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2"/>
    </row>
    <row r="9" spans="1:49" s="100" customFormat="1" ht="12.75">
      <c r="A9" s="386" t="s">
        <v>267</v>
      </c>
      <c r="B9" s="387"/>
      <c r="C9" s="387"/>
      <c r="D9" s="388"/>
      <c r="E9" s="129" t="s">
        <v>42</v>
      </c>
      <c r="F9" s="106">
        <f>F10+F11+F12</f>
        <v>387855.89999999991</v>
      </c>
      <c r="G9" s="106">
        <f t="shared" ref="G9:AP9" si="0">G10+G11+G12</f>
        <v>24711</v>
      </c>
      <c r="H9" s="106">
        <f>G9/F9*100</f>
        <v>6.3711806369324293</v>
      </c>
      <c r="I9" s="106">
        <f t="shared" si="0"/>
        <v>14386.5</v>
      </c>
      <c r="J9" s="106">
        <f t="shared" si="0"/>
        <v>24711</v>
      </c>
      <c r="K9" s="106">
        <f>J9/I9*100</f>
        <v>171.76519653842143</v>
      </c>
      <c r="L9" s="106">
        <f t="shared" si="0"/>
        <v>40977.500000000007</v>
      </c>
      <c r="M9" s="106">
        <f t="shared" si="0"/>
        <v>0</v>
      </c>
      <c r="N9" s="106">
        <f>M9/L9*100</f>
        <v>0</v>
      </c>
      <c r="O9" s="106">
        <f t="shared" si="0"/>
        <v>33490.6</v>
      </c>
      <c r="P9" s="106">
        <f t="shared" si="0"/>
        <v>0</v>
      </c>
      <c r="Q9" s="106">
        <f>P9/O9*100</f>
        <v>0</v>
      </c>
      <c r="R9" s="106">
        <f t="shared" si="0"/>
        <v>40349.699999999997</v>
      </c>
      <c r="S9" s="106">
        <f t="shared" si="0"/>
        <v>0</v>
      </c>
      <c r="T9" s="106">
        <f>S9/R9*100</f>
        <v>0</v>
      </c>
      <c r="U9" s="106">
        <f t="shared" si="0"/>
        <v>31635.799999999996</v>
      </c>
      <c r="V9" s="106">
        <f t="shared" si="0"/>
        <v>0</v>
      </c>
      <c r="W9" s="106">
        <f>V9/U9*100</f>
        <v>0</v>
      </c>
      <c r="X9" s="106">
        <f t="shared" si="0"/>
        <v>34470.699999999997</v>
      </c>
      <c r="Y9" s="106">
        <f t="shared" si="0"/>
        <v>0</v>
      </c>
      <c r="Z9" s="106" t="e">
        <f t="shared" si="0"/>
        <v>#REF!</v>
      </c>
      <c r="AA9" s="106">
        <f t="shared" si="0"/>
        <v>45981.8</v>
      </c>
      <c r="AB9" s="106">
        <f t="shared" si="0"/>
        <v>0</v>
      </c>
      <c r="AC9" s="106" t="e">
        <f t="shared" si="0"/>
        <v>#REF!</v>
      </c>
      <c r="AD9" s="106">
        <f t="shared" si="0"/>
        <v>33741.599999999999</v>
      </c>
      <c r="AE9" s="106">
        <f t="shared" si="0"/>
        <v>0</v>
      </c>
      <c r="AF9" s="106">
        <f>AE9/AD9*100</f>
        <v>0</v>
      </c>
      <c r="AG9" s="106">
        <f t="shared" si="0"/>
        <v>25527.399999999994</v>
      </c>
      <c r="AH9" s="106">
        <f t="shared" si="0"/>
        <v>0</v>
      </c>
      <c r="AI9" s="106" t="e">
        <f t="shared" si="0"/>
        <v>#REF!</v>
      </c>
      <c r="AJ9" s="106">
        <f t="shared" si="0"/>
        <v>21812.199999999997</v>
      </c>
      <c r="AK9" s="106">
        <f t="shared" si="0"/>
        <v>0</v>
      </c>
      <c r="AL9" s="106" t="e">
        <f t="shared" si="0"/>
        <v>#REF!</v>
      </c>
      <c r="AM9" s="106">
        <f t="shared" si="0"/>
        <v>21829.799999999996</v>
      </c>
      <c r="AN9" s="106">
        <f t="shared" si="0"/>
        <v>0</v>
      </c>
      <c r="AO9" s="106" t="e">
        <f t="shared" si="0"/>
        <v>#REF!</v>
      </c>
      <c r="AP9" s="106">
        <f t="shared" si="0"/>
        <v>43652.299999999996</v>
      </c>
      <c r="AQ9" s="106" t="e">
        <f>#REF!+#REF!</f>
        <v>#REF!</v>
      </c>
      <c r="AR9" s="106" t="e">
        <f>#REF!+#REF!</f>
        <v>#REF!</v>
      </c>
      <c r="AS9" s="317"/>
      <c r="AT9" s="395"/>
      <c r="AU9" s="127"/>
    </row>
    <row r="10" spans="1:49" s="100" customFormat="1" ht="36">
      <c r="A10" s="389"/>
      <c r="B10" s="390"/>
      <c r="C10" s="390"/>
      <c r="D10" s="391"/>
      <c r="E10" s="111" t="s">
        <v>3</v>
      </c>
      <c r="F10" s="106">
        <f>F14+F18+F23+F26+F30</f>
        <v>93990.699999999983</v>
      </c>
      <c r="G10" s="106">
        <f>G14+G18+G23+G26+G30</f>
        <v>924.5</v>
      </c>
      <c r="H10" s="106">
        <f>G10/F10*100</f>
        <v>0.98360795270170365</v>
      </c>
      <c r="I10" s="106">
        <f>I14+I18+I23+I26+I30</f>
        <v>949.99999999999989</v>
      </c>
      <c r="J10" s="106">
        <f>J14+J18+J23+J26+J30</f>
        <v>924.5</v>
      </c>
      <c r="K10" s="106">
        <f t="shared" ref="K10:K12" si="1">J10/I10*100</f>
        <v>97.31578947368422</v>
      </c>
      <c r="L10" s="106">
        <f>L14+L18+L23+L26+L30</f>
        <v>6698.4</v>
      </c>
      <c r="M10" s="106">
        <f>M14+M18+M23+M26+M30</f>
        <v>0</v>
      </c>
      <c r="N10" s="106">
        <f t="shared" ref="N10:N12" si="2">M10/L10*100</f>
        <v>0</v>
      </c>
      <c r="O10" s="106">
        <f>O14+O18+O23+O26+O30</f>
        <v>7444.7999999999993</v>
      </c>
      <c r="P10" s="106">
        <f>P14+P18+P23+P26+P30</f>
        <v>0</v>
      </c>
      <c r="Q10" s="106">
        <f t="shared" ref="Q10:Q12" si="3">P10/O10*100</f>
        <v>0</v>
      </c>
      <c r="R10" s="106">
        <f>R14+R18+R23+R26+R30</f>
        <v>7135.4</v>
      </c>
      <c r="S10" s="106">
        <f>S14+S18+S23+S26+S30</f>
        <v>0</v>
      </c>
      <c r="T10" s="106">
        <f t="shared" ref="T10:T12" si="4">S10/R10*100</f>
        <v>0</v>
      </c>
      <c r="U10" s="106">
        <f>U14+U18+U23+U26+U30</f>
        <v>6459.3999999999987</v>
      </c>
      <c r="V10" s="106">
        <f>V14+V18+V23+V26+V30</f>
        <v>0</v>
      </c>
      <c r="W10" s="106">
        <f t="shared" ref="W10:W12" si="5">V10/U10*100</f>
        <v>0</v>
      </c>
      <c r="X10" s="106">
        <f>X14+X18+X23+X26+X30</f>
        <v>7599.6999999999989</v>
      </c>
      <c r="Y10" s="106">
        <f>Y14+Y18+Y23+Y26+Y30</f>
        <v>0</v>
      </c>
      <c r="Z10" s="106" t="e">
        <f>Z14+Z18+Z23+Z26+#REF!+#REF!+#REF!+#REF!+#REF!+#REF!+#REF!+#REF!+#REF!+#REF!</f>
        <v>#REF!</v>
      </c>
      <c r="AA10" s="106">
        <f>AA14+AA18+AA23+AA26+AA30</f>
        <v>7969.9000000000005</v>
      </c>
      <c r="AB10" s="106">
        <f>AB14+AB18+AB23+AB26+AB30</f>
        <v>0</v>
      </c>
      <c r="AC10" s="106" t="e">
        <f>AC14+AC18+AC23+AC26+#REF!+#REF!+#REF!+#REF!+#REF!+#REF!+#REF!+#REF!+#REF!+#REF!</f>
        <v>#REF!</v>
      </c>
      <c r="AD10" s="106">
        <f>AD14+AD18+AD23+AD26+AD30</f>
        <v>9039.2999999999993</v>
      </c>
      <c r="AE10" s="106">
        <f>AE14+AE18+AE23+AE26+AE30</f>
        <v>0</v>
      </c>
      <c r="AF10" s="106">
        <f t="shared" ref="AF10:AF25" si="6">AE10/AD10*100</f>
        <v>0</v>
      </c>
      <c r="AG10" s="106">
        <f>AG14+AG18+AG23+AG26+AG30</f>
        <v>6928.9</v>
      </c>
      <c r="AH10" s="106">
        <f>AH14+AH18+AH23+AH26+AH30</f>
        <v>0</v>
      </c>
      <c r="AI10" s="106" t="e">
        <f>AI14+AI18+AI23+AI26+#REF!+#REF!+#REF!+#REF!+#REF!+#REF!+#REF!+#REF!+#REF!+#REF!</f>
        <v>#REF!</v>
      </c>
      <c r="AJ10" s="106">
        <f>AJ14+AJ18+AJ23+AJ26+AJ30</f>
        <v>7044.1999999999989</v>
      </c>
      <c r="AK10" s="106">
        <f>AK14+AK18+AK23+AK26+AK30</f>
        <v>0</v>
      </c>
      <c r="AL10" s="106" t="e">
        <f>AL14+AL18+AL23+AL26+#REF!+#REF!+#REF!+#REF!+#REF!+#REF!+#REF!+#REF!+#REF!+#REF!</f>
        <v>#REF!</v>
      </c>
      <c r="AM10" s="106">
        <f>AM14+AM18+AM23+AM26+AM30</f>
        <v>7060.0999999999995</v>
      </c>
      <c r="AN10" s="106">
        <f>AN14+AN18+AN23+AN26+AN30</f>
        <v>0</v>
      </c>
      <c r="AO10" s="106" t="e">
        <f>AO14+AO18+AO23+AO26+#REF!+#REF!+#REF!+#REF!+#REF!+#REF!+#REF!+#REF!+#REF!+#REF!</f>
        <v>#REF!</v>
      </c>
      <c r="AP10" s="106">
        <f>AP14+AP18+AP23+AP26+AP30</f>
        <v>19660.599999999999</v>
      </c>
      <c r="AQ10" s="106">
        <f>AQ14+AQ18+AQ23+AQ26+AQ30</f>
        <v>0</v>
      </c>
      <c r="AR10" s="106" t="e">
        <f>AR14+AR18+AR23+AR26+#REF!+#REF!+#REF!+#REF!+#REF!+#REF!+#REF!+#REF!+#REF!+#REF!</f>
        <v>#REF!</v>
      </c>
      <c r="AS10" s="318"/>
      <c r="AT10" s="396"/>
      <c r="AU10" s="127"/>
    </row>
    <row r="11" spans="1:49" s="100" customFormat="1" ht="24">
      <c r="A11" s="389"/>
      <c r="B11" s="390"/>
      <c r="C11" s="390"/>
      <c r="D11" s="391"/>
      <c r="E11" s="111" t="s">
        <v>44</v>
      </c>
      <c r="F11" s="106">
        <f>F15+F19+F24+F27+F31</f>
        <v>288033.09999999998</v>
      </c>
      <c r="G11" s="106">
        <f>G15+G19+G24+G27+G31</f>
        <v>23786.5</v>
      </c>
      <c r="H11" s="106">
        <f>G11/F11*100</f>
        <v>8.2582522633683428</v>
      </c>
      <c r="I11" s="106">
        <f>I15+I19+I24+I27+I31</f>
        <v>13174.7</v>
      </c>
      <c r="J11" s="106">
        <f>J15+J19+J24+J27+J31</f>
        <v>23786.5</v>
      </c>
      <c r="K11" s="106">
        <f t="shared" si="1"/>
        <v>180.54680561986228</v>
      </c>
      <c r="L11" s="106">
        <f>L15+L19+L24+L27+L31</f>
        <v>33942.600000000006</v>
      </c>
      <c r="M11" s="106">
        <f>M15+M19+M24+M27+M31</f>
        <v>0</v>
      </c>
      <c r="N11" s="106">
        <f t="shared" si="2"/>
        <v>0</v>
      </c>
      <c r="O11" s="106">
        <f>O15+O19+O24+O27+O31</f>
        <v>25234.5</v>
      </c>
      <c r="P11" s="106">
        <f>P15+P19+P24+P27+P31</f>
        <v>0</v>
      </c>
      <c r="Q11" s="106">
        <f t="shared" si="3"/>
        <v>0</v>
      </c>
      <c r="R11" s="106">
        <f>R15+R19+R24+R27+R31</f>
        <v>32473.7</v>
      </c>
      <c r="S11" s="106">
        <f>S15+S19+S24+S27+S31</f>
        <v>0</v>
      </c>
      <c r="T11" s="106">
        <f t="shared" si="4"/>
        <v>0</v>
      </c>
      <c r="U11" s="106">
        <f>U15+U19+U24+U27+U31</f>
        <v>24696.699999999997</v>
      </c>
      <c r="V11" s="106">
        <f>V15+V19+V24+V27+V31</f>
        <v>0</v>
      </c>
      <c r="W11" s="106">
        <f t="shared" si="5"/>
        <v>0</v>
      </c>
      <c r="X11" s="106">
        <f>X15+X19+X24+X27+X31</f>
        <v>26518.199999999997</v>
      </c>
      <c r="Y11" s="106">
        <f>Y15+Y19+Y24+Y27+Y31</f>
        <v>0</v>
      </c>
      <c r="Z11" s="106" t="e">
        <f>Z15+Z19+Z24+Z27+#REF!+#REF!+#REF!+#REF!+#REF!+#REF!+#REF!+#REF!+#REF!+#REF!</f>
        <v>#REF!</v>
      </c>
      <c r="AA11" s="106">
        <f>AA15+AA19+AA24+AA27+AA31</f>
        <v>37186.400000000001</v>
      </c>
      <c r="AB11" s="106">
        <f>AB15+AB19+AB24+AB27+AB31</f>
        <v>0</v>
      </c>
      <c r="AC11" s="106" t="e">
        <f>AC15+AC19+AC24+AC27+#REF!+#REF!+#REF!+#REF!+#REF!+#REF!+#REF!+#REF!+#REF!+#REF!</f>
        <v>#REF!</v>
      </c>
      <c r="AD11" s="106">
        <f>AD15+AD19+AD24+AD27+AD31</f>
        <v>24183.3</v>
      </c>
      <c r="AE11" s="106">
        <f>AE15+AE19+AE24+AE27+AE31</f>
        <v>0</v>
      </c>
      <c r="AF11" s="106">
        <f t="shared" si="6"/>
        <v>0</v>
      </c>
      <c r="AG11" s="106">
        <f>AG15+AG19+AG24+AG27+AG31</f>
        <v>18296.899999999994</v>
      </c>
      <c r="AH11" s="106">
        <f>AH15+AH19+AH24+AH27+AH31</f>
        <v>0</v>
      </c>
      <c r="AI11" s="106" t="e">
        <f>AI15+AI19+AI24+AI27+#REF!+#REF!+#REF!+#REF!+#REF!+#REF!+#REF!+#REF!+#REF!+#REF!</f>
        <v>#REF!</v>
      </c>
      <c r="AJ11" s="106">
        <f>AJ15+AJ19+AJ24+AJ27+AJ31</f>
        <v>14203.400000000001</v>
      </c>
      <c r="AK11" s="106">
        <f>AK15+AK19+AK24+AK27+AK31</f>
        <v>0</v>
      </c>
      <c r="AL11" s="106" t="e">
        <f>AL15+AL19+AL24+AL27+#REF!+#REF!+#REF!+#REF!+#REF!+#REF!+#REF!+#REF!+#REF!+#REF!</f>
        <v>#REF!</v>
      </c>
      <c r="AM11" s="106">
        <f>AM15+AM19+AM24+AM27+AM31</f>
        <v>14327.999999999996</v>
      </c>
      <c r="AN11" s="106">
        <f>AN15+AN19+AN24+AN27+AN31</f>
        <v>0</v>
      </c>
      <c r="AO11" s="106" t="e">
        <f>AO15+AO19+AO24+AO27+#REF!+#REF!+#REF!+#REF!+#REF!+#REF!+#REF!+#REF!+#REF!+#REF!</f>
        <v>#REF!</v>
      </c>
      <c r="AP11" s="106">
        <f>AP15+AP19+AP24+AP27+AP31</f>
        <v>23794.699999999997</v>
      </c>
      <c r="AQ11" s="106">
        <f>AQ15+AQ19+AQ24+AQ27+AQ31</f>
        <v>0</v>
      </c>
      <c r="AR11" s="106" t="e">
        <f>AR15+AR19+AR24+AR27+#REF!+#REF!+#REF!+#REF!+#REF!+#REF!+#REF!+#REF!+#REF!+#REF!</f>
        <v>#REF!</v>
      </c>
      <c r="AS11" s="318"/>
      <c r="AT11" s="396"/>
      <c r="AU11" s="127"/>
    </row>
    <row r="12" spans="1:49" s="100" customFormat="1" ht="24">
      <c r="A12" s="392"/>
      <c r="B12" s="393"/>
      <c r="C12" s="393"/>
      <c r="D12" s="394"/>
      <c r="E12" s="110" t="s">
        <v>257</v>
      </c>
      <c r="F12" s="106">
        <f>F16+F20+F28</f>
        <v>5832.1</v>
      </c>
      <c r="G12" s="106">
        <f>G16+G20+G28</f>
        <v>0</v>
      </c>
      <c r="H12" s="106">
        <f>G12/F12*100</f>
        <v>0</v>
      </c>
      <c r="I12" s="106">
        <f>I16+I20+I28</f>
        <v>261.8</v>
      </c>
      <c r="J12" s="106">
        <f>J16+J20+J28</f>
        <v>0</v>
      </c>
      <c r="K12" s="106">
        <f t="shared" si="1"/>
        <v>0</v>
      </c>
      <c r="L12" s="106">
        <f>L16+L20+L28</f>
        <v>336.5</v>
      </c>
      <c r="M12" s="106">
        <f>M16+M20+M28</f>
        <v>0</v>
      </c>
      <c r="N12" s="106">
        <f t="shared" si="2"/>
        <v>0</v>
      </c>
      <c r="O12" s="106">
        <f>O16+O20+O28</f>
        <v>811.3</v>
      </c>
      <c r="P12" s="106">
        <f>P16+P20+P28</f>
        <v>0</v>
      </c>
      <c r="Q12" s="106">
        <f t="shared" si="3"/>
        <v>0</v>
      </c>
      <c r="R12" s="106">
        <f>R16+R20+R28</f>
        <v>740.6</v>
      </c>
      <c r="S12" s="106">
        <f>S16+S20+S28</f>
        <v>0</v>
      </c>
      <c r="T12" s="106">
        <f t="shared" si="4"/>
        <v>0</v>
      </c>
      <c r="U12" s="106">
        <f>U16+U20+U28</f>
        <v>479.7</v>
      </c>
      <c r="V12" s="106">
        <f>V16+V20+V28</f>
        <v>0</v>
      </c>
      <c r="W12" s="106">
        <f t="shared" si="5"/>
        <v>0</v>
      </c>
      <c r="X12" s="106">
        <f>X16+X20+X28</f>
        <v>352.8</v>
      </c>
      <c r="Y12" s="106">
        <f>Y16+Y20+Y28</f>
        <v>0</v>
      </c>
      <c r="Z12" s="106" t="e">
        <f>Z16+Z20+#REF!+Z28+#REF!+#REF!+#REF!+#REF!+#REF!+#REF!+#REF!+#REF!+#REF!+#REF!</f>
        <v>#REF!</v>
      </c>
      <c r="AA12" s="106">
        <f>AA16+AA20+AA28</f>
        <v>825.5</v>
      </c>
      <c r="AB12" s="106">
        <f>AB16+AB20+AB28</f>
        <v>0</v>
      </c>
      <c r="AC12" s="106" t="e">
        <f>AC16+AC20+#REF!+AC28+#REF!+#REF!+#REF!+#REF!+#REF!+#REF!+#REF!+#REF!+#REF!+#REF!</f>
        <v>#REF!</v>
      </c>
      <c r="AD12" s="106">
        <f>AD16+AD20+AD28</f>
        <v>519</v>
      </c>
      <c r="AE12" s="106">
        <f>AE16+AE20+AE28</f>
        <v>0</v>
      </c>
      <c r="AF12" s="106">
        <f t="shared" si="6"/>
        <v>0</v>
      </c>
      <c r="AG12" s="106">
        <f>AG16+AG20+AG28</f>
        <v>301.60000000000002</v>
      </c>
      <c r="AH12" s="106">
        <f>AH16+AH20+AH28</f>
        <v>0</v>
      </c>
      <c r="AI12" s="106" t="e">
        <f>AI16+AI20+#REF!+AI28+#REF!+#REF!+#REF!+#REF!+#REF!+#REF!+#REF!+#REF!+#REF!+#REF!+#REF!</f>
        <v>#REF!</v>
      </c>
      <c r="AJ12" s="106">
        <f>AJ16+AJ20+AJ28</f>
        <v>564.6</v>
      </c>
      <c r="AK12" s="106">
        <f>AK16+AK20+AK28</f>
        <v>0</v>
      </c>
      <c r="AL12" s="106" t="e">
        <f>AL16+AL20+#REF!+AL28+#REF!+#REF!+#REF!+#REF!+#REF!+#REF!+#REF!+#REF!+#REF!+#REF!+#REF!</f>
        <v>#REF!</v>
      </c>
      <c r="AM12" s="106">
        <f>AM16+AM20+AM28</f>
        <v>441.7</v>
      </c>
      <c r="AN12" s="106">
        <f>AN16+AN20+AN28</f>
        <v>0</v>
      </c>
      <c r="AO12" s="106" t="e">
        <f>AO16+AO20+#REF!+AO28+#REF!+#REF!+#REF!+#REF!+#REF!+#REF!+#REF!+#REF!+#REF!+#REF!+#REF!</f>
        <v>#REF!</v>
      </c>
      <c r="AP12" s="106">
        <f>AP16+AP20+AP28</f>
        <v>197</v>
      </c>
      <c r="AQ12" s="106">
        <f>AQ16+AQ20+AQ28</f>
        <v>0</v>
      </c>
      <c r="AR12" s="106" t="e">
        <f>AR16+AR20+#REF!+AR28+#REF!+#REF!+#REF!+#REF!+#REF!+#REF!+#REF!+#REF!+#REF!+#REF!</f>
        <v>#REF!</v>
      </c>
      <c r="AS12" s="319"/>
      <c r="AT12" s="397"/>
      <c r="AU12" s="127"/>
    </row>
    <row r="13" spans="1:49" s="31" customFormat="1" ht="12.75">
      <c r="A13" s="365" t="s">
        <v>323</v>
      </c>
      <c r="B13" s="329" t="s">
        <v>324</v>
      </c>
      <c r="C13" s="332" t="s">
        <v>325</v>
      </c>
      <c r="D13" s="332" t="s">
        <v>326</v>
      </c>
      <c r="E13" s="107" t="s">
        <v>42</v>
      </c>
      <c r="F13" s="104">
        <f>SUM(F14:F16)</f>
        <v>300702.99999999994</v>
      </c>
      <c r="G13" s="123">
        <f t="shared" ref="G13:P13" si="7">SUM(G14:G16)</f>
        <v>18204.3</v>
      </c>
      <c r="H13" s="123">
        <f>G13/F13*100</f>
        <v>6.053913662317969</v>
      </c>
      <c r="I13" s="123">
        <f t="shared" si="7"/>
        <v>6660.1</v>
      </c>
      <c r="J13" s="123">
        <f t="shared" si="7"/>
        <v>18204.3</v>
      </c>
      <c r="K13" s="123">
        <f>J13/I13*100</f>
        <v>273.33373372772178</v>
      </c>
      <c r="L13" s="123">
        <f t="shared" si="7"/>
        <v>32379.700000000004</v>
      </c>
      <c r="M13" s="123">
        <f t="shared" si="7"/>
        <v>0</v>
      </c>
      <c r="N13" s="123">
        <f>M13/L13*100</f>
        <v>0</v>
      </c>
      <c r="O13" s="123">
        <f t="shared" si="7"/>
        <v>26037.399999999998</v>
      </c>
      <c r="P13" s="123">
        <f t="shared" si="7"/>
        <v>0</v>
      </c>
      <c r="Q13" s="123">
        <f>P13/O13*100</f>
        <v>0</v>
      </c>
      <c r="R13" s="123">
        <f t="shared" ref="R13:AR13" si="8">SUM(R14:R16)</f>
        <v>32770.699999999997</v>
      </c>
      <c r="S13" s="123">
        <f t="shared" si="8"/>
        <v>0</v>
      </c>
      <c r="T13" s="123">
        <f>S13/R13*100</f>
        <v>0</v>
      </c>
      <c r="U13" s="123">
        <f t="shared" si="8"/>
        <v>24105.5</v>
      </c>
      <c r="V13" s="123">
        <f t="shared" si="8"/>
        <v>0</v>
      </c>
      <c r="W13" s="123">
        <f>V13/U13*100</f>
        <v>0</v>
      </c>
      <c r="X13" s="123">
        <f t="shared" si="8"/>
        <v>26537.299999999996</v>
      </c>
      <c r="Y13" s="123">
        <f t="shared" si="8"/>
        <v>0</v>
      </c>
      <c r="Z13" s="123">
        <f t="shared" si="8"/>
        <v>0</v>
      </c>
      <c r="AA13" s="104">
        <f t="shared" si="8"/>
        <v>37741.9</v>
      </c>
      <c r="AB13" s="123">
        <f t="shared" si="8"/>
        <v>0</v>
      </c>
      <c r="AC13" s="123">
        <f t="shared" si="8"/>
        <v>0</v>
      </c>
      <c r="AD13" s="104">
        <f t="shared" si="8"/>
        <v>26948.3</v>
      </c>
      <c r="AE13" s="104">
        <f t="shared" si="8"/>
        <v>0</v>
      </c>
      <c r="AF13" s="104">
        <f t="shared" si="6"/>
        <v>0</v>
      </c>
      <c r="AG13" s="104">
        <f t="shared" si="8"/>
        <v>19259.599999999995</v>
      </c>
      <c r="AH13" s="123">
        <f t="shared" si="8"/>
        <v>0</v>
      </c>
      <c r="AI13" s="123">
        <v>0</v>
      </c>
      <c r="AJ13" s="123">
        <f t="shared" si="8"/>
        <v>15428.3</v>
      </c>
      <c r="AK13" s="123">
        <f t="shared" si="8"/>
        <v>0</v>
      </c>
      <c r="AL13" s="123">
        <f t="shared" si="8"/>
        <v>0</v>
      </c>
      <c r="AM13" s="104">
        <f t="shared" si="8"/>
        <v>16239.599999999999</v>
      </c>
      <c r="AN13" s="123">
        <f t="shared" si="8"/>
        <v>0</v>
      </c>
      <c r="AO13" s="123">
        <f t="shared" si="8"/>
        <v>0</v>
      </c>
      <c r="AP13" s="104">
        <f t="shared" si="8"/>
        <v>36594.6</v>
      </c>
      <c r="AQ13" s="123">
        <f t="shared" si="8"/>
        <v>0</v>
      </c>
      <c r="AR13" s="123">
        <f t="shared" si="8"/>
        <v>0</v>
      </c>
      <c r="AS13" s="338" t="s">
        <v>309</v>
      </c>
      <c r="AT13" s="383" t="s">
        <v>308</v>
      </c>
      <c r="AU13" s="121"/>
      <c r="AV13" s="121"/>
      <c r="AW13" s="155"/>
    </row>
    <row r="14" spans="1:49" s="31" customFormat="1" ht="36">
      <c r="A14" s="366"/>
      <c r="B14" s="330"/>
      <c r="C14" s="333"/>
      <c r="D14" s="333"/>
      <c r="E14" s="108" t="s">
        <v>3</v>
      </c>
      <c r="F14" s="123">
        <f>I14+L14+O14+R14+U14+X14+AA14+AD14+AG14+AJ14+AM14+AP14</f>
        <v>91443.299999999988</v>
      </c>
      <c r="G14" s="123">
        <f>J14+M14+P14+S14+V14+Y14+AB14+AE14+AH14+AK14+AN14+AQ14</f>
        <v>826.6</v>
      </c>
      <c r="H14" s="123">
        <v>0</v>
      </c>
      <c r="I14" s="123">
        <f>47.4+15+887.2+85-184.6</f>
        <v>849.99999999999989</v>
      </c>
      <c r="J14" s="123">
        <v>826.6</v>
      </c>
      <c r="K14" s="123">
        <f>J14/I14*100</f>
        <v>97.247058823529429</v>
      </c>
      <c r="L14" s="123">
        <f>5300+92.5+1181.4</f>
        <v>6573.9</v>
      </c>
      <c r="M14" s="123">
        <v>0</v>
      </c>
      <c r="N14" s="123">
        <v>0</v>
      </c>
      <c r="O14" s="123">
        <f>5300+79.4+1165.4-6.3+184.6</f>
        <v>6723.0999999999995</v>
      </c>
      <c r="P14" s="123">
        <v>0</v>
      </c>
      <c r="Q14" s="123">
        <v>0</v>
      </c>
      <c r="R14" s="123">
        <f>5300+226+5+1479.9</f>
        <v>7010.9</v>
      </c>
      <c r="S14" s="123">
        <v>0</v>
      </c>
      <c r="T14" s="123">
        <v>0</v>
      </c>
      <c r="U14" s="117">
        <f>5300+19.7+79.4+21+897.9</f>
        <v>6317.9999999999991</v>
      </c>
      <c r="V14" s="117">
        <v>0</v>
      </c>
      <c r="W14" s="117">
        <v>0</v>
      </c>
      <c r="X14" s="117">
        <f>6259+53.9+5+1168.2-27.8</f>
        <v>7458.2999999999993</v>
      </c>
      <c r="Y14" s="117">
        <v>0</v>
      </c>
      <c r="Z14" s="117">
        <v>0</v>
      </c>
      <c r="AA14" s="123">
        <f>5350+60+305.7+5+2083.4</f>
        <v>7804.1</v>
      </c>
      <c r="AB14" s="123">
        <v>0</v>
      </c>
      <c r="AC14" s="123">
        <v>0</v>
      </c>
      <c r="AD14" s="117">
        <f>7486+216.1+5+1166.4</f>
        <v>8873.5</v>
      </c>
      <c r="AE14" s="117">
        <v>0</v>
      </c>
      <c r="AF14" s="117">
        <v>0</v>
      </c>
      <c r="AG14" s="117">
        <f>108.1+5300+71+123+136.5+561.4+365.7</f>
        <v>6665.7</v>
      </c>
      <c r="AH14" s="117">
        <v>0</v>
      </c>
      <c r="AI14" s="123">
        <v>0</v>
      </c>
      <c r="AJ14" s="123">
        <f>5250+113.9+5+1439.4</f>
        <v>6808.2999999999993</v>
      </c>
      <c r="AK14" s="123">
        <v>0</v>
      </c>
      <c r="AL14" s="123">
        <v>0</v>
      </c>
      <c r="AM14" s="117">
        <f>5250+100.2+79.5+325.1+1162.1</f>
        <v>6916.9</v>
      </c>
      <c r="AN14" s="117">
        <v>0</v>
      </c>
      <c r="AO14" s="117">
        <v>0</v>
      </c>
      <c r="AP14" s="117">
        <f>11.1+17482.4+151.9+226.6+1870.8-217.2-85</f>
        <v>19440.599999999999</v>
      </c>
      <c r="AQ14" s="123"/>
      <c r="AR14" s="123"/>
      <c r="AS14" s="339"/>
      <c r="AT14" s="384"/>
      <c r="AU14" s="121"/>
      <c r="AV14" s="121"/>
      <c r="AW14" s="155"/>
    </row>
    <row r="15" spans="1:49" s="31" customFormat="1" ht="12.75">
      <c r="A15" s="366"/>
      <c r="B15" s="330"/>
      <c r="C15" s="333"/>
      <c r="D15" s="333"/>
      <c r="E15" s="108" t="s">
        <v>44</v>
      </c>
      <c r="F15" s="123">
        <f t="shared" ref="F15:G16" si="9">I15+L15+O15+R15+U15+X15+AA15+AD15+AG15+AJ15+AM15+AP15</f>
        <v>203427.59999999998</v>
      </c>
      <c r="G15" s="123">
        <f t="shared" si="9"/>
        <v>17377.7</v>
      </c>
      <c r="H15" s="123">
        <f>G15/F15*100</f>
        <v>8.5424495004610996</v>
      </c>
      <c r="I15" s="123">
        <f>40+428.8+4937+6.7+13+122.8</f>
        <v>5548.3</v>
      </c>
      <c r="J15" s="123">
        <v>17377.7</v>
      </c>
      <c r="K15" s="123">
        <f>J15/I15*100</f>
        <v>313.20764918984196</v>
      </c>
      <c r="L15" s="123">
        <f>517.2+2195.7+21252+496.8+361.9+645.7</f>
        <v>25469.300000000003</v>
      </c>
      <c r="M15" s="123">
        <v>0</v>
      </c>
      <c r="N15" s="123">
        <f t="shared" ref="N15:N22" si="10">M15/L15*100</f>
        <v>0</v>
      </c>
      <c r="O15" s="123">
        <f>938.9+1669.1+15140.2+361.8+251.7+81+61.3-1</f>
        <v>18503</v>
      </c>
      <c r="P15" s="123">
        <v>0</v>
      </c>
      <c r="Q15" s="123">
        <f t="shared" ref="Q15:Q22" si="11">P15/O15*100</f>
        <v>0</v>
      </c>
      <c r="R15" s="123">
        <f>662.3+2139.5+21249.9+500+398.9+68.6</f>
        <v>25019.200000000001</v>
      </c>
      <c r="S15" s="123">
        <v>0</v>
      </c>
      <c r="T15" s="123">
        <f t="shared" ref="T15:T22" si="12">S15/R15*100</f>
        <v>0</v>
      </c>
      <c r="U15" s="117">
        <f>114.6+1286.2+14324.5+500+499.1+290.4+293</f>
        <v>17307.8</v>
      </c>
      <c r="V15" s="117">
        <v>0</v>
      </c>
      <c r="W15" s="123">
        <f t="shared" ref="W15" si="13">V15/U15*100</f>
        <v>0</v>
      </c>
      <c r="X15" s="117">
        <f>334.2+1608.2+15696.6+500+535.6+174.6-0.2-122.8</f>
        <v>18726.199999999997</v>
      </c>
      <c r="Y15" s="117">
        <v>0</v>
      </c>
      <c r="Z15" s="117">
        <f>Y15/X15*100</f>
        <v>0</v>
      </c>
      <c r="AA15" s="105">
        <f>456.7+2982.6+24667.5+500+461.9+43.6</f>
        <v>29112.3</v>
      </c>
      <c r="AB15" s="117">
        <v>0</v>
      </c>
      <c r="AC15" s="117">
        <f>AB15/AA15*100</f>
        <v>0</v>
      </c>
      <c r="AD15" s="105">
        <f>205.2+996.9+15105+500+466.9+281.8</f>
        <v>17555.8</v>
      </c>
      <c r="AE15" s="105">
        <v>0</v>
      </c>
      <c r="AF15" s="117">
        <f>AE15/AD15*100</f>
        <v>0</v>
      </c>
      <c r="AG15" s="105">
        <f>410.5+1275+9041.8+500+537.9+527.3-0.2</f>
        <v>12292.299999999997</v>
      </c>
      <c r="AH15" s="117">
        <v>0</v>
      </c>
      <c r="AI15" s="117">
        <v>0</v>
      </c>
      <c r="AJ15" s="123">
        <f>340.9+1654.3+2843.2+250+761.9+280.1+1925</f>
        <v>8055.4</v>
      </c>
      <c r="AK15" s="123">
        <v>0</v>
      </c>
      <c r="AL15" s="123">
        <v>0</v>
      </c>
      <c r="AM15" s="105">
        <f>165.1+1038+6305.7+250+841.9+280.3</f>
        <v>8880.9999999999982</v>
      </c>
      <c r="AN15" s="117">
        <v>0</v>
      </c>
      <c r="AO15" s="117">
        <v>0</v>
      </c>
      <c r="AP15" s="104">
        <f>257+1140.6+13806+958+795.4</f>
        <v>16957</v>
      </c>
      <c r="AQ15" s="123"/>
      <c r="AR15" s="123"/>
      <c r="AS15" s="339"/>
      <c r="AT15" s="384"/>
      <c r="AU15" s="121"/>
      <c r="AV15" s="121"/>
      <c r="AW15" s="155"/>
    </row>
    <row r="16" spans="1:49" s="31" customFormat="1" ht="179.25" customHeight="1">
      <c r="A16" s="367"/>
      <c r="B16" s="331"/>
      <c r="C16" s="334"/>
      <c r="D16" s="334"/>
      <c r="E16" s="109" t="s">
        <v>257</v>
      </c>
      <c r="F16" s="123">
        <f t="shared" si="9"/>
        <v>5832.1</v>
      </c>
      <c r="G16" s="123">
        <f t="shared" si="9"/>
        <v>0</v>
      </c>
      <c r="H16" s="123">
        <v>0</v>
      </c>
      <c r="I16" s="123">
        <v>261.8</v>
      </c>
      <c r="J16" s="123">
        <v>0</v>
      </c>
      <c r="K16" s="123">
        <f>J16/I16*100</f>
        <v>0</v>
      </c>
      <c r="L16" s="123">
        <v>336.5</v>
      </c>
      <c r="M16" s="123">
        <v>0</v>
      </c>
      <c r="N16" s="123">
        <v>0</v>
      </c>
      <c r="O16" s="123">
        <v>811.3</v>
      </c>
      <c r="P16" s="123">
        <v>0</v>
      </c>
      <c r="Q16" s="123">
        <v>0</v>
      </c>
      <c r="R16" s="123">
        <v>740.6</v>
      </c>
      <c r="S16" s="123">
        <v>0</v>
      </c>
      <c r="T16" s="123">
        <v>0</v>
      </c>
      <c r="U16" s="117">
        <v>479.7</v>
      </c>
      <c r="V16" s="117">
        <v>0</v>
      </c>
      <c r="W16" s="117">
        <v>0</v>
      </c>
      <c r="X16" s="117">
        <v>352.8</v>
      </c>
      <c r="Y16" s="117">
        <v>0</v>
      </c>
      <c r="Z16" s="117">
        <v>0</v>
      </c>
      <c r="AA16" s="123">
        <v>825.5</v>
      </c>
      <c r="AB16" s="123">
        <v>0</v>
      </c>
      <c r="AC16" s="123">
        <v>0</v>
      </c>
      <c r="AD16" s="117">
        <f>457.7+61.3</f>
        <v>519</v>
      </c>
      <c r="AE16" s="117">
        <v>0</v>
      </c>
      <c r="AF16" s="117">
        <v>0</v>
      </c>
      <c r="AG16" s="117">
        <v>301.60000000000002</v>
      </c>
      <c r="AH16" s="117"/>
      <c r="AI16" s="117"/>
      <c r="AJ16" s="123">
        <v>564.6</v>
      </c>
      <c r="AK16" s="123">
        <v>0</v>
      </c>
      <c r="AL16" s="123">
        <v>0</v>
      </c>
      <c r="AM16" s="117">
        <v>441.7</v>
      </c>
      <c r="AN16" s="117">
        <v>0</v>
      </c>
      <c r="AO16" s="117">
        <v>0</v>
      </c>
      <c r="AP16" s="117">
        <v>197</v>
      </c>
      <c r="AQ16" s="123"/>
      <c r="AR16" s="123"/>
      <c r="AS16" s="340"/>
      <c r="AT16" s="385"/>
      <c r="AU16" s="121"/>
      <c r="AV16" s="121"/>
      <c r="AW16" s="155"/>
    </row>
    <row r="17" spans="1:49" s="31" customFormat="1" ht="12.75">
      <c r="A17" s="365" t="s">
        <v>327</v>
      </c>
      <c r="B17" s="329" t="s">
        <v>328</v>
      </c>
      <c r="C17" s="332" t="s">
        <v>329</v>
      </c>
      <c r="D17" s="335" t="s">
        <v>330</v>
      </c>
      <c r="E17" s="107" t="s">
        <v>42</v>
      </c>
      <c r="F17" s="123">
        <f>SUM(F18:F20)</f>
        <v>77800</v>
      </c>
      <c r="G17" s="123">
        <f t="shared" ref="G17:P17" si="14">SUM(G18:G20)</f>
        <v>6082.4</v>
      </c>
      <c r="H17" s="123">
        <f>G17/F17*100</f>
        <v>7.8179948586118249</v>
      </c>
      <c r="I17" s="123">
        <f t="shared" si="14"/>
        <v>7091.6</v>
      </c>
      <c r="J17" s="123">
        <f t="shared" si="14"/>
        <v>6082.4</v>
      </c>
      <c r="K17" s="123">
        <f>J17/I17*100</f>
        <v>85.769078910260021</v>
      </c>
      <c r="L17" s="123">
        <f t="shared" si="14"/>
        <v>7886.9</v>
      </c>
      <c r="M17" s="123">
        <f t="shared" si="14"/>
        <v>0</v>
      </c>
      <c r="N17" s="123">
        <f t="shared" si="10"/>
        <v>0</v>
      </c>
      <c r="O17" s="123">
        <f t="shared" si="14"/>
        <v>6038</v>
      </c>
      <c r="P17" s="123">
        <f t="shared" si="14"/>
        <v>0</v>
      </c>
      <c r="Q17" s="123">
        <f t="shared" si="11"/>
        <v>0</v>
      </c>
      <c r="R17" s="123">
        <f t="shared" ref="R17:AB17" si="15">SUM(R18:R20)</f>
        <v>6900</v>
      </c>
      <c r="S17" s="123">
        <f t="shared" si="15"/>
        <v>0</v>
      </c>
      <c r="T17" s="123">
        <f t="shared" si="12"/>
        <v>0</v>
      </c>
      <c r="U17" s="123">
        <f t="shared" si="15"/>
        <v>6826.3</v>
      </c>
      <c r="V17" s="123">
        <f t="shared" si="15"/>
        <v>0</v>
      </c>
      <c r="W17" s="123">
        <f t="shared" ref="W17" si="16">V17/U17*100</f>
        <v>0</v>
      </c>
      <c r="X17" s="123">
        <f t="shared" si="15"/>
        <v>7190.9</v>
      </c>
      <c r="Y17" s="123">
        <f t="shared" si="15"/>
        <v>0</v>
      </c>
      <c r="Z17" s="123">
        <f>Y17/X17*100</f>
        <v>0</v>
      </c>
      <c r="AA17" s="104">
        <f t="shared" si="15"/>
        <v>7431.5</v>
      </c>
      <c r="AB17" s="123">
        <f t="shared" si="15"/>
        <v>0</v>
      </c>
      <c r="AC17" s="123">
        <f>SUM(AC18:AC20)</f>
        <v>0</v>
      </c>
      <c r="AD17" s="104">
        <f t="shared" ref="AD17:AR17" si="17">SUM(AD18:AD20)</f>
        <v>6016.2</v>
      </c>
      <c r="AE17" s="104">
        <f t="shared" si="17"/>
        <v>0</v>
      </c>
      <c r="AF17" s="104">
        <f t="shared" si="6"/>
        <v>0</v>
      </c>
      <c r="AG17" s="104">
        <f t="shared" si="17"/>
        <v>5470</v>
      </c>
      <c r="AH17" s="123">
        <f t="shared" si="17"/>
        <v>0</v>
      </c>
      <c r="AI17" s="123">
        <f t="shared" si="17"/>
        <v>0</v>
      </c>
      <c r="AJ17" s="123">
        <f t="shared" si="17"/>
        <v>5540.8</v>
      </c>
      <c r="AK17" s="123">
        <f t="shared" si="17"/>
        <v>0</v>
      </c>
      <c r="AL17" s="123">
        <f t="shared" si="17"/>
        <v>0</v>
      </c>
      <c r="AM17" s="104">
        <f t="shared" si="17"/>
        <v>5036.7</v>
      </c>
      <c r="AN17" s="123">
        <f t="shared" si="17"/>
        <v>0</v>
      </c>
      <c r="AO17" s="123">
        <f t="shared" si="17"/>
        <v>0</v>
      </c>
      <c r="AP17" s="104">
        <f t="shared" si="17"/>
        <v>6371.1</v>
      </c>
      <c r="AQ17" s="123">
        <f t="shared" si="17"/>
        <v>0</v>
      </c>
      <c r="AR17" s="123">
        <f t="shared" si="17"/>
        <v>0</v>
      </c>
      <c r="AS17" s="338" t="s">
        <v>299</v>
      </c>
      <c r="AT17" s="383" t="s">
        <v>296</v>
      </c>
      <c r="AU17" s="121"/>
      <c r="AV17" s="121"/>
      <c r="AW17" s="155"/>
    </row>
    <row r="18" spans="1:49" s="31" customFormat="1" ht="36">
      <c r="A18" s="366"/>
      <c r="B18" s="330"/>
      <c r="C18" s="333"/>
      <c r="D18" s="336"/>
      <c r="E18" s="108" t="s">
        <v>3</v>
      </c>
      <c r="F18" s="123">
        <f>I18+L18+O18+R18+U18+X18+AA18+AD18+AG18+AJ18+AM18+AP18</f>
        <v>0</v>
      </c>
      <c r="G18" s="123">
        <f>J18+M18+P18+S18+V18+Y18+AB18+AE18+AH18+AK18+AN18+AQ18</f>
        <v>0</v>
      </c>
      <c r="H18" s="123">
        <v>0</v>
      </c>
      <c r="I18" s="104">
        <v>0</v>
      </c>
      <c r="J18" s="104">
        <v>0</v>
      </c>
      <c r="K18" s="123">
        <v>0</v>
      </c>
      <c r="L18" s="126">
        <v>0</v>
      </c>
      <c r="M18" s="104">
        <v>0</v>
      </c>
      <c r="N18" s="123">
        <v>0</v>
      </c>
      <c r="O18" s="104">
        <v>0</v>
      </c>
      <c r="P18" s="104">
        <v>0</v>
      </c>
      <c r="Q18" s="123">
        <v>0</v>
      </c>
      <c r="R18" s="104">
        <v>0</v>
      </c>
      <c r="S18" s="104">
        <v>0</v>
      </c>
      <c r="T18" s="123">
        <v>0</v>
      </c>
      <c r="U18" s="105">
        <v>0</v>
      </c>
      <c r="V18" s="105">
        <v>0</v>
      </c>
      <c r="W18" s="123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17">
        <v>0</v>
      </c>
      <c r="AD18" s="105">
        <v>0</v>
      </c>
      <c r="AE18" s="105">
        <v>0</v>
      </c>
      <c r="AF18" s="117">
        <v>0</v>
      </c>
      <c r="AG18" s="105">
        <v>0</v>
      </c>
      <c r="AH18" s="105">
        <v>0</v>
      </c>
      <c r="AI18" s="117">
        <v>0</v>
      </c>
      <c r="AJ18" s="104">
        <v>0</v>
      </c>
      <c r="AK18" s="104">
        <v>0</v>
      </c>
      <c r="AL18" s="104">
        <v>0</v>
      </c>
      <c r="AM18" s="105">
        <v>0</v>
      </c>
      <c r="AN18" s="105">
        <v>0</v>
      </c>
      <c r="AO18" s="105">
        <v>0</v>
      </c>
      <c r="AP18" s="104">
        <v>0</v>
      </c>
      <c r="AQ18" s="104"/>
      <c r="AR18" s="104"/>
      <c r="AS18" s="339"/>
      <c r="AT18" s="384"/>
      <c r="AU18" s="121"/>
      <c r="AV18" s="121"/>
      <c r="AW18" s="155"/>
    </row>
    <row r="19" spans="1:49" s="31" customFormat="1" ht="12.75">
      <c r="A19" s="366"/>
      <c r="B19" s="330"/>
      <c r="C19" s="333"/>
      <c r="D19" s="336"/>
      <c r="E19" s="108" t="s">
        <v>44</v>
      </c>
      <c r="F19" s="123">
        <f t="shared" ref="F19:G20" si="18">I19+L19+O19+R19+U19+X19+AA19+AD19+AG19+AJ19+AM19+AP19</f>
        <v>77800</v>
      </c>
      <c r="G19" s="123">
        <f t="shared" si="18"/>
        <v>6082.4</v>
      </c>
      <c r="H19" s="123">
        <v>0</v>
      </c>
      <c r="I19" s="123">
        <v>7091.6</v>
      </c>
      <c r="J19" s="123">
        <v>6082.4</v>
      </c>
      <c r="K19" s="123">
        <f t="shared" ref="K19" si="19">J19/I19*100</f>
        <v>85.769078910260021</v>
      </c>
      <c r="L19" s="123">
        <v>7886.9</v>
      </c>
      <c r="M19" s="123">
        <v>0</v>
      </c>
      <c r="N19" s="123">
        <v>0</v>
      </c>
      <c r="O19" s="123">
        <v>6038</v>
      </c>
      <c r="P19" s="123">
        <v>0</v>
      </c>
      <c r="Q19" s="123">
        <v>0</v>
      </c>
      <c r="R19" s="123">
        <v>6900</v>
      </c>
      <c r="S19" s="123">
        <v>0</v>
      </c>
      <c r="T19" s="123">
        <v>0</v>
      </c>
      <c r="U19" s="117">
        <v>6826.3</v>
      </c>
      <c r="V19" s="117">
        <v>0</v>
      </c>
      <c r="W19" s="117">
        <v>0</v>
      </c>
      <c r="X19" s="117">
        <v>7190.9</v>
      </c>
      <c r="Y19" s="117">
        <v>0</v>
      </c>
      <c r="Z19" s="117">
        <v>0</v>
      </c>
      <c r="AA19" s="123">
        <v>7431.5</v>
      </c>
      <c r="AB19" s="123">
        <v>0</v>
      </c>
      <c r="AC19" s="123">
        <v>0</v>
      </c>
      <c r="AD19" s="117">
        <v>6016.2</v>
      </c>
      <c r="AE19" s="117">
        <v>0</v>
      </c>
      <c r="AF19" s="117">
        <v>0</v>
      </c>
      <c r="AG19" s="117">
        <v>5470</v>
      </c>
      <c r="AH19" s="117">
        <v>0</v>
      </c>
      <c r="AI19" s="117">
        <v>0</v>
      </c>
      <c r="AJ19" s="123">
        <v>5540.8</v>
      </c>
      <c r="AK19" s="123">
        <v>0</v>
      </c>
      <c r="AL19" s="123">
        <v>0</v>
      </c>
      <c r="AM19" s="117">
        <v>5036.7</v>
      </c>
      <c r="AN19" s="117">
        <v>0</v>
      </c>
      <c r="AO19" s="117">
        <v>0</v>
      </c>
      <c r="AP19" s="117">
        <v>6371.1</v>
      </c>
      <c r="AQ19" s="123"/>
      <c r="AR19" s="123"/>
      <c r="AS19" s="339"/>
      <c r="AT19" s="384"/>
      <c r="AU19" s="121"/>
      <c r="AV19" s="121"/>
      <c r="AW19" s="155"/>
    </row>
    <row r="20" spans="1:49" s="31" customFormat="1" ht="24">
      <c r="A20" s="367"/>
      <c r="B20" s="331"/>
      <c r="C20" s="334"/>
      <c r="D20" s="337"/>
      <c r="E20" s="109" t="s">
        <v>257</v>
      </c>
      <c r="F20" s="123">
        <f t="shared" si="18"/>
        <v>0</v>
      </c>
      <c r="G20" s="123">
        <f t="shared" si="18"/>
        <v>0</v>
      </c>
      <c r="H20" s="123">
        <v>0</v>
      </c>
      <c r="I20" s="104">
        <v>0</v>
      </c>
      <c r="J20" s="104">
        <v>0</v>
      </c>
      <c r="K20" s="123">
        <v>0</v>
      </c>
      <c r="L20" s="126">
        <v>0</v>
      </c>
      <c r="M20" s="104">
        <v>0</v>
      </c>
      <c r="N20" s="123">
        <v>0</v>
      </c>
      <c r="O20" s="104">
        <v>0</v>
      </c>
      <c r="P20" s="104">
        <v>0</v>
      </c>
      <c r="Q20" s="123">
        <v>0</v>
      </c>
      <c r="R20" s="104">
        <v>0</v>
      </c>
      <c r="S20" s="104">
        <v>0</v>
      </c>
      <c r="T20" s="123">
        <v>0</v>
      </c>
      <c r="U20" s="105">
        <v>0</v>
      </c>
      <c r="V20" s="105">
        <v>0</v>
      </c>
      <c r="W20" s="123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17">
        <v>0</v>
      </c>
      <c r="AD20" s="105">
        <v>0</v>
      </c>
      <c r="AE20" s="105">
        <v>0</v>
      </c>
      <c r="AF20" s="117">
        <v>0</v>
      </c>
      <c r="AG20" s="105">
        <v>0</v>
      </c>
      <c r="AH20" s="105">
        <v>0</v>
      </c>
      <c r="AI20" s="117">
        <v>0</v>
      </c>
      <c r="AJ20" s="104">
        <v>0</v>
      </c>
      <c r="AK20" s="104">
        <v>0</v>
      </c>
      <c r="AL20" s="104">
        <v>0</v>
      </c>
      <c r="AM20" s="105">
        <v>0</v>
      </c>
      <c r="AN20" s="105">
        <v>0</v>
      </c>
      <c r="AO20" s="105">
        <v>0</v>
      </c>
      <c r="AP20" s="104">
        <v>0</v>
      </c>
      <c r="AQ20" s="104">
        <v>0</v>
      </c>
      <c r="AR20" s="104">
        <v>0</v>
      </c>
      <c r="AS20" s="340"/>
      <c r="AT20" s="385"/>
      <c r="AU20" s="121"/>
      <c r="AV20" s="121"/>
      <c r="AW20" s="155"/>
    </row>
    <row r="21" spans="1:49" s="31" customFormat="1" ht="409.5">
      <c r="A21" s="176" t="s">
        <v>331</v>
      </c>
      <c r="B21" s="177" t="s">
        <v>332</v>
      </c>
      <c r="C21" s="178" t="s">
        <v>333</v>
      </c>
      <c r="D21" s="180" t="s">
        <v>346</v>
      </c>
      <c r="E21" s="143" t="s">
        <v>275</v>
      </c>
      <c r="F21" s="149" t="s">
        <v>279</v>
      </c>
      <c r="G21" s="149" t="s">
        <v>279</v>
      </c>
      <c r="H21" s="149" t="s">
        <v>279</v>
      </c>
      <c r="I21" s="149" t="s">
        <v>279</v>
      </c>
      <c r="J21" s="149" t="s">
        <v>279</v>
      </c>
      <c r="K21" s="149" t="s">
        <v>279</v>
      </c>
      <c r="L21" s="149" t="s">
        <v>279</v>
      </c>
      <c r="M21" s="149" t="s">
        <v>279</v>
      </c>
      <c r="N21" s="149" t="s">
        <v>279</v>
      </c>
      <c r="O21" s="149" t="s">
        <v>279</v>
      </c>
      <c r="P21" s="149" t="s">
        <v>279</v>
      </c>
      <c r="Q21" s="149" t="s">
        <v>279</v>
      </c>
      <c r="R21" s="149" t="s">
        <v>279</v>
      </c>
      <c r="S21" s="149" t="s">
        <v>279</v>
      </c>
      <c r="T21" s="149" t="s">
        <v>279</v>
      </c>
      <c r="U21" s="149" t="s">
        <v>279</v>
      </c>
      <c r="V21" s="149" t="s">
        <v>279</v>
      </c>
      <c r="W21" s="149" t="s">
        <v>279</v>
      </c>
      <c r="X21" s="149" t="s">
        <v>279</v>
      </c>
      <c r="Y21" s="149" t="s">
        <v>279</v>
      </c>
      <c r="Z21" s="149" t="s">
        <v>279</v>
      </c>
      <c r="AA21" s="149" t="s">
        <v>279</v>
      </c>
      <c r="AB21" s="149" t="s">
        <v>279</v>
      </c>
      <c r="AC21" s="149" t="s">
        <v>279</v>
      </c>
      <c r="AD21" s="149" t="s">
        <v>279</v>
      </c>
      <c r="AE21" s="149" t="s">
        <v>279</v>
      </c>
      <c r="AF21" s="149" t="s">
        <v>279</v>
      </c>
      <c r="AG21" s="149" t="s">
        <v>279</v>
      </c>
      <c r="AH21" s="149" t="s">
        <v>279</v>
      </c>
      <c r="AI21" s="149" t="s">
        <v>279</v>
      </c>
      <c r="AJ21" s="149" t="s">
        <v>279</v>
      </c>
      <c r="AK21" s="149" t="s">
        <v>279</v>
      </c>
      <c r="AL21" s="149" t="s">
        <v>279</v>
      </c>
      <c r="AM21" s="149" t="s">
        <v>279</v>
      </c>
      <c r="AN21" s="149" t="s">
        <v>279</v>
      </c>
      <c r="AO21" s="149" t="s">
        <v>279</v>
      </c>
      <c r="AP21" s="149" t="s">
        <v>279</v>
      </c>
      <c r="AQ21" s="149" t="s">
        <v>279</v>
      </c>
      <c r="AR21" s="149" t="s">
        <v>279</v>
      </c>
      <c r="AS21" s="179" t="s">
        <v>319</v>
      </c>
      <c r="AT21" s="181" t="s">
        <v>297</v>
      </c>
      <c r="AU21" s="121"/>
      <c r="AV21" s="121"/>
      <c r="AW21" s="155"/>
    </row>
    <row r="22" spans="1:49" s="31" customFormat="1" ht="12.75">
      <c r="A22" s="365" t="s">
        <v>334</v>
      </c>
      <c r="B22" s="329" t="s">
        <v>335</v>
      </c>
      <c r="C22" s="332" t="s">
        <v>268</v>
      </c>
      <c r="D22" s="335" t="s">
        <v>336</v>
      </c>
      <c r="E22" s="107" t="s">
        <v>42</v>
      </c>
      <c r="F22" s="123">
        <f>SUM(F23:F24)</f>
        <v>3987.3</v>
      </c>
      <c r="G22" s="123">
        <f>SUM(G23:G24)</f>
        <v>326.39999999999998</v>
      </c>
      <c r="H22" s="123">
        <f>G22/F22*100</f>
        <v>8.1859905199006828</v>
      </c>
      <c r="I22" s="123">
        <f>SUM(I23:I24)</f>
        <v>326</v>
      </c>
      <c r="J22" s="123">
        <f>SUM(J23:J24)</f>
        <v>326.39999999999998</v>
      </c>
      <c r="K22" s="123">
        <f t="shared" ref="K22:K26" si="20">J22/I22*100</f>
        <v>100.12269938650307</v>
      </c>
      <c r="L22" s="123">
        <f>SUM(L23:L24)</f>
        <v>326</v>
      </c>
      <c r="M22" s="123">
        <f>SUM(M23:M24)</f>
        <v>0</v>
      </c>
      <c r="N22" s="123">
        <f t="shared" si="10"/>
        <v>0</v>
      </c>
      <c r="O22" s="123">
        <f>SUM(O23:O24)</f>
        <v>326</v>
      </c>
      <c r="P22" s="123">
        <f>SUM(P23:P24)</f>
        <v>0</v>
      </c>
      <c r="Q22" s="123">
        <f t="shared" si="11"/>
        <v>0</v>
      </c>
      <c r="R22" s="123">
        <f>SUM(R23:R24)</f>
        <v>326</v>
      </c>
      <c r="S22" s="123">
        <f>SUM(S23:S24)</f>
        <v>0</v>
      </c>
      <c r="T22" s="123">
        <f t="shared" si="12"/>
        <v>0</v>
      </c>
      <c r="U22" s="123">
        <f>SUM(U23:U24)</f>
        <v>326</v>
      </c>
      <c r="V22" s="123">
        <f>SUM(V23:V24)</f>
        <v>0</v>
      </c>
      <c r="W22" s="123">
        <f t="shared" ref="W22" si="21">V22/U22*100</f>
        <v>0</v>
      </c>
      <c r="X22" s="123">
        <f t="shared" ref="X22:AE22" si="22">SUM(X23:X24)</f>
        <v>326</v>
      </c>
      <c r="Y22" s="123">
        <f t="shared" si="22"/>
        <v>0</v>
      </c>
      <c r="Z22" s="123">
        <f t="shared" si="22"/>
        <v>0</v>
      </c>
      <c r="AA22" s="104">
        <f t="shared" si="22"/>
        <v>326</v>
      </c>
      <c r="AB22" s="123">
        <f t="shared" si="22"/>
        <v>0</v>
      </c>
      <c r="AC22" s="123">
        <f t="shared" si="22"/>
        <v>0</v>
      </c>
      <c r="AD22" s="104">
        <f t="shared" si="22"/>
        <v>326</v>
      </c>
      <c r="AE22" s="104">
        <f t="shared" si="22"/>
        <v>0</v>
      </c>
      <c r="AF22" s="104">
        <f t="shared" si="6"/>
        <v>0</v>
      </c>
      <c r="AG22" s="104">
        <f t="shared" ref="AG22:AR22" si="23">SUM(AG23:AG24)</f>
        <v>326</v>
      </c>
      <c r="AH22" s="123">
        <f t="shared" si="23"/>
        <v>0</v>
      </c>
      <c r="AI22" s="123">
        <f t="shared" si="23"/>
        <v>0</v>
      </c>
      <c r="AJ22" s="123">
        <f t="shared" si="23"/>
        <v>326</v>
      </c>
      <c r="AK22" s="123">
        <f t="shared" si="23"/>
        <v>0</v>
      </c>
      <c r="AL22" s="123">
        <f t="shared" si="23"/>
        <v>0</v>
      </c>
      <c r="AM22" s="104">
        <f t="shared" si="23"/>
        <v>326</v>
      </c>
      <c r="AN22" s="123">
        <f t="shared" si="23"/>
        <v>0</v>
      </c>
      <c r="AO22" s="123">
        <f t="shared" si="23"/>
        <v>0</v>
      </c>
      <c r="AP22" s="104">
        <f t="shared" si="23"/>
        <v>401.3</v>
      </c>
      <c r="AQ22" s="123">
        <f t="shared" si="23"/>
        <v>0</v>
      </c>
      <c r="AR22" s="123">
        <f t="shared" si="23"/>
        <v>0</v>
      </c>
      <c r="AS22" s="338" t="s">
        <v>319</v>
      </c>
      <c r="AT22" s="341" t="s">
        <v>297</v>
      </c>
      <c r="AU22" s="121"/>
      <c r="AV22" s="121"/>
      <c r="AW22" s="155"/>
    </row>
    <row r="23" spans="1:49" s="31" customFormat="1" ht="36">
      <c r="A23" s="366"/>
      <c r="B23" s="330"/>
      <c r="C23" s="333"/>
      <c r="D23" s="336"/>
      <c r="E23" s="108" t="s">
        <v>3</v>
      </c>
      <c r="F23" s="123">
        <f>I23+L23+O23+R23+U23+X23+AA23+AD23+AG23+AJ23+AM23+AP23</f>
        <v>0</v>
      </c>
      <c r="G23" s="123">
        <f>J23+M23+P23+S23+V23+Y23+AB23+AE23+AH23+AK23+AN23+AQ23</f>
        <v>0</v>
      </c>
      <c r="H23" s="123">
        <v>0</v>
      </c>
      <c r="I23" s="104">
        <v>0</v>
      </c>
      <c r="J23" s="104">
        <v>0</v>
      </c>
      <c r="K23" s="123">
        <v>0</v>
      </c>
      <c r="L23" s="126">
        <v>0</v>
      </c>
      <c r="M23" s="104">
        <v>0</v>
      </c>
      <c r="N23" s="123">
        <v>0</v>
      </c>
      <c r="O23" s="104">
        <v>0</v>
      </c>
      <c r="P23" s="104">
        <v>0</v>
      </c>
      <c r="Q23" s="123">
        <v>0</v>
      </c>
      <c r="R23" s="104">
        <v>0</v>
      </c>
      <c r="S23" s="104">
        <v>0</v>
      </c>
      <c r="T23" s="123">
        <v>0</v>
      </c>
      <c r="U23" s="105">
        <v>0</v>
      </c>
      <c r="V23" s="105">
        <v>0</v>
      </c>
      <c r="W23" s="123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17">
        <v>0</v>
      </c>
      <c r="AD23" s="105">
        <v>0</v>
      </c>
      <c r="AE23" s="105">
        <v>0</v>
      </c>
      <c r="AF23" s="117">
        <v>0</v>
      </c>
      <c r="AG23" s="105">
        <v>0</v>
      </c>
      <c r="AH23" s="105">
        <v>0</v>
      </c>
      <c r="AI23" s="117">
        <v>0</v>
      </c>
      <c r="AJ23" s="104">
        <v>0</v>
      </c>
      <c r="AK23" s="104">
        <v>0</v>
      </c>
      <c r="AL23" s="104">
        <v>0</v>
      </c>
      <c r="AM23" s="105">
        <v>0</v>
      </c>
      <c r="AN23" s="105">
        <v>0</v>
      </c>
      <c r="AO23" s="105">
        <v>0</v>
      </c>
      <c r="AP23" s="104">
        <v>0</v>
      </c>
      <c r="AQ23" s="104"/>
      <c r="AR23" s="104"/>
      <c r="AS23" s="339"/>
      <c r="AT23" s="342"/>
      <c r="AU23" s="121"/>
      <c r="AV23" s="121"/>
      <c r="AW23" s="155"/>
    </row>
    <row r="24" spans="1:49" s="31" customFormat="1" ht="12.75">
      <c r="A24" s="366"/>
      <c r="B24" s="330"/>
      <c r="C24" s="333"/>
      <c r="D24" s="336"/>
      <c r="E24" s="108" t="s">
        <v>44</v>
      </c>
      <c r="F24" s="123">
        <f t="shared" ref="F24:G24" si="24">I24+L24+O24+R24+U24+X24+AA24+AD24+AG24+AJ24+AM24+AP24</f>
        <v>3987.3</v>
      </c>
      <c r="G24" s="123">
        <f t="shared" si="24"/>
        <v>326.39999999999998</v>
      </c>
      <c r="H24" s="123">
        <v>0</v>
      </c>
      <c r="I24" s="123">
        <v>326</v>
      </c>
      <c r="J24" s="123">
        <v>326.39999999999998</v>
      </c>
      <c r="K24" s="123">
        <f t="shared" si="20"/>
        <v>100.12269938650307</v>
      </c>
      <c r="L24" s="123">
        <v>326</v>
      </c>
      <c r="M24" s="123">
        <v>0</v>
      </c>
      <c r="N24" s="123">
        <v>0</v>
      </c>
      <c r="O24" s="123">
        <v>326</v>
      </c>
      <c r="P24" s="123">
        <v>0</v>
      </c>
      <c r="Q24" s="123">
        <v>0</v>
      </c>
      <c r="R24" s="123">
        <v>326</v>
      </c>
      <c r="S24" s="123">
        <v>0</v>
      </c>
      <c r="T24" s="123">
        <v>0</v>
      </c>
      <c r="U24" s="117">
        <v>326</v>
      </c>
      <c r="V24" s="117">
        <v>0</v>
      </c>
      <c r="W24" s="117">
        <v>0</v>
      </c>
      <c r="X24" s="117">
        <v>326</v>
      </c>
      <c r="Y24" s="117">
        <v>0</v>
      </c>
      <c r="Z24" s="117">
        <v>0</v>
      </c>
      <c r="AA24" s="123">
        <v>326</v>
      </c>
      <c r="AB24" s="123">
        <v>0</v>
      </c>
      <c r="AC24" s="123">
        <v>0</v>
      </c>
      <c r="AD24" s="117">
        <v>326</v>
      </c>
      <c r="AE24" s="117">
        <v>0</v>
      </c>
      <c r="AF24" s="117">
        <v>0</v>
      </c>
      <c r="AG24" s="117">
        <v>326</v>
      </c>
      <c r="AH24" s="117">
        <v>0</v>
      </c>
      <c r="AI24" s="117"/>
      <c r="AJ24" s="123">
        <v>326</v>
      </c>
      <c r="AK24" s="123">
        <v>0</v>
      </c>
      <c r="AL24" s="123">
        <v>0</v>
      </c>
      <c r="AM24" s="117">
        <v>326</v>
      </c>
      <c r="AN24" s="117">
        <v>0</v>
      </c>
      <c r="AO24" s="117">
        <v>0</v>
      </c>
      <c r="AP24" s="117">
        <v>401.3</v>
      </c>
      <c r="AQ24" s="123"/>
      <c r="AR24" s="123"/>
      <c r="AS24" s="339"/>
      <c r="AT24" s="342"/>
      <c r="AU24" s="121"/>
      <c r="AV24" s="121"/>
      <c r="AW24" s="155"/>
    </row>
    <row r="25" spans="1:49" s="31" customFormat="1" ht="12.75">
      <c r="A25" s="365" t="s">
        <v>337</v>
      </c>
      <c r="B25" s="329" t="s">
        <v>338</v>
      </c>
      <c r="C25" s="332" t="s">
        <v>339</v>
      </c>
      <c r="D25" s="335" t="s">
        <v>340</v>
      </c>
      <c r="E25" s="107" t="s">
        <v>42</v>
      </c>
      <c r="F25" s="123">
        <f>SUM(F26:F28)</f>
        <v>5215.6000000000004</v>
      </c>
      <c r="G25" s="123">
        <f t="shared" ref="G25:P25" si="25">SUM(G26:G28)</f>
        <v>97.9</v>
      </c>
      <c r="H25" s="123">
        <f>G25/F25*100</f>
        <v>1.8770611243193496</v>
      </c>
      <c r="I25" s="123">
        <f t="shared" si="25"/>
        <v>308.8</v>
      </c>
      <c r="J25" s="123">
        <f t="shared" si="25"/>
        <v>97.9</v>
      </c>
      <c r="K25" s="123">
        <f t="shared" si="20"/>
        <v>31.703367875647672</v>
      </c>
      <c r="L25" s="123">
        <f t="shared" si="25"/>
        <v>384.9</v>
      </c>
      <c r="M25" s="123">
        <f t="shared" si="25"/>
        <v>0</v>
      </c>
      <c r="N25" s="123">
        <v>0</v>
      </c>
      <c r="O25" s="123">
        <f t="shared" si="25"/>
        <v>939.2</v>
      </c>
      <c r="P25" s="123">
        <f t="shared" si="25"/>
        <v>0</v>
      </c>
      <c r="Q25" s="123">
        <v>0</v>
      </c>
      <c r="R25" s="123">
        <f t="shared" ref="R25:Z25" si="26">SUM(R26:R28)</f>
        <v>353</v>
      </c>
      <c r="S25" s="123">
        <f t="shared" si="26"/>
        <v>0</v>
      </c>
      <c r="T25" s="123">
        <v>0</v>
      </c>
      <c r="U25" s="123">
        <f t="shared" si="26"/>
        <v>378</v>
      </c>
      <c r="V25" s="123">
        <f t="shared" si="26"/>
        <v>0</v>
      </c>
      <c r="W25" s="123">
        <f t="shared" si="26"/>
        <v>0</v>
      </c>
      <c r="X25" s="123">
        <f t="shared" si="26"/>
        <v>416.5</v>
      </c>
      <c r="Y25" s="123">
        <f t="shared" si="26"/>
        <v>0</v>
      </c>
      <c r="Z25" s="123">
        <f t="shared" si="26"/>
        <v>0</v>
      </c>
      <c r="AA25" s="104">
        <f t="shared" ref="AA25:AB25" si="27">SUM(AA26:AA28)</f>
        <v>482.40000000000003</v>
      </c>
      <c r="AB25" s="123">
        <f t="shared" si="27"/>
        <v>0</v>
      </c>
      <c r="AC25" s="123">
        <f>SUM(AC26:AC28)</f>
        <v>0</v>
      </c>
      <c r="AD25" s="104">
        <f t="shared" ref="AD25:AR25" si="28">SUM(AD26:AD28)</f>
        <v>451.1</v>
      </c>
      <c r="AE25" s="104">
        <f t="shared" si="28"/>
        <v>0</v>
      </c>
      <c r="AF25" s="104">
        <f t="shared" si="6"/>
        <v>0</v>
      </c>
      <c r="AG25" s="104">
        <f t="shared" si="28"/>
        <v>471.79999999999995</v>
      </c>
      <c r="AH25" s="123">
        <f t="shared" si="28"/>
        <v>0</v>
      </c>
      <c r="AI25" s="104">
        <f t="shared" ref="AI25" si="29">AH25/AG25*100</f>
        <v>0</v>
      </c>
      <c r="AJ25" s="123">
        <f t="shared" si="28"/>
        <v>517.1</v>
      </c>
      <c r="AK25" s="123">
        <f t="shared" si="28"/>
        <v>0</v>
      </c>
      <c r="AL25" s="123">
        <f t="shared" si="28"/>
        <v>0</v>
      </c>
      <c r="AM25" s="104">
        <f t="shared" si="28"/>
        <v>227.5</v>
      </c>
      <c r="AN25" s="123">
        <f t="shared" si="28"/>
        <v>0</v>
      </c>
      <c r="AO25" s="123">
        <f t="shared" si="28"/>
        <v>0</v>
      </c>
      <c r="AP25" s="104">
        <f t="shared" si="28"/>
        <v>285.3</v>
      </c>
      <c r="AQ25" s="123">
        <f t="shared" si="28"/>
        <v>0</v>
      </c>
      <c r="AR25" s="123">
        <f t="shared" si="28"/>
        <v>0</v>
      </c>
      <c r="AS25" s="338" t="s">
        <v>318</v>
      </c>
      <c r="AT25" s="347"/>
      <c r="AU25" s="121"/>
      <c r="AV25" s="121"/>
      <c r="AW25" s="155"/>
    </row>
    <row r="26" spans="1:49" s="31" customFormat="1" ht="36">
      <c r="A26" s="366"/>
      <c r="B26" s="330"/>
      <c r="C26" s="333"/>
      <c r="D26" s="336"/>
      <c r="E26" s="108" t="s">
        <v>3</v>
      </c>
      <c r="F26" s="123">
        <f>I26+L26+O26+R26+U26+X26+AA26+AD26+AG26+AJ26+AM26+AP26</f>
        <v>2547.4</v>
      </c>
      <c r="G26" s="123">
        <f>J26+M26+P26+S26+V26+Y26+AB26+AE26+AH26+AK26+AN26+AQ26</f>
        <v>97.9</v>
      </c>
      <c r="H26" s="123">
        <f>G26/F26*100</f>
        <v>3.8431341760226112</v>
      </c>
      <c r="I26" s="104">
        <v>100</v>
      </c>
      <c r="J26" s="104">
        <v>97.9</v>
      </c>
      <c r="K26" s="123">
        <f t="shared" si="20"/>
        <v>97.9</v>
      </c>
      <c r="L26" s="126">
        <v>124.5</v>
      </c>
      <c r="M26" s="104">
        <v>0</v>
      </c>
      <c r="N26" s="123">
        <v>0</v>
      </c>
      <c r="O26" s="104">
        <f>124.5+697.2-100</f>
        <v>721.7</v>
      </c>
      <c r="P26" s="104">
        <v>0</v>
      </c>
      <c r="Q26" s="123">
        <v>0</v>
      </c>
      <c r="R26" s="104">
        <v>124.5</v>
      </c>
      <c r="S26" s="104">
        <v>0</v>
      </c>
      <c r="T26" s="123">
        <v>0</v>
      </c>
      <c r="U26" s="105">
        <v>141.4</v>
      </c>
      <c r="V26" s="105">
        <v>0</v>
      </c>
      <c r="W26" s="105">
        <v>0</v>
      </c>
      <c r="X26" s="105">
        <v>141.4</v>
      </c>
      <c r="Y26" s="105">
        <v>0</v>
      </c>
      <c r="Z26" s="105">
        <f>Y26/X26*100</f>
        <v>0</v>
      </c>
      <c r="AA26" s="105">
        <v>165.8</v>
      </c>
      <c r="AB26" s="105">
        <v>0</v>
      </c>
      <c r="AC26" s="105">
        <f>AB26/AA26*100</f>
        <v>0</v>
      </c>
      <c r="AD26" s="105">
        <v>165.8</v>
      </c>
      <c r="AE26" s="105">
        <v>0</v>
      </c>
      <c r="AF26" s="105">
        <f>AE26/AD26*100</f>
        <v>0</v>
      </c>
      <c r="AG26" s="105">
        <f>140.5+50+72.7</f>
        <v>263.2</v>
      </c>
      <c r="AH26" s="105">
        <v>0</v>
      </c>
      <c r="AI26" s="105">
        <f>AH26/AG26*100</f>
        <v>0</v>
      </c>
      <c r="AJ26" s="104">
        <v>235.9</v>
      </c>
      <c r="AK26" s="104">
        <v>0</v>
      </c>
      <c r="AL26" s="104">
        <v>0</v>
      </c>
      <c r="AM26" s="105">
        <v>143.19999999999999</v>
      </c>
      <c r="AN26" s="105">
        <v>0</v>
      </c>
      <c r="AO26" s="105">
        <v>0</v>
      </c>
      <c r="AP26" s="104">
        <v>220</v>
      </c>
      <c r="AQ26" s="104"/>
      <c r="AR26" s="104"/>
      <c r="AS26" s="339"/>
      <c r="AT26" s="348"/>
      <c r="AU26" s="121"/>
      <c r="AV26" s="121"/>
      <c r="AW26" s="155"/>
    </row>
    <row r="27" spans="1:49" s="31" customFormat="1" ht="12.75">
      <c r="A27" s="366"/>
      <c r="B27" s="330"/>
      <c r="C27" s="333"/>
      <c r="D27" s="336"/>
      <c r="E27" s="108" t="s">
        <v>44</v>
      </c>
      <c r="F27" s="123">
        <f t="shared" ref="F27:G28" si="30">I27+L27+O27+R27+U27+X27+AA27+AD27+AG27+AJ27+AM27+AP27</f>
        <v>2668.2000000000003</v>
      </c>
      <c r="G27" s="123">
        <f t="shared" si="30"/>
        <v>0</v>
      </c>
      <c r="H27" s="123">
        <v>0</v>
      </c>
      <c r="I27" s="123">
        <v>208.8</v>
      </c>
      <c r="J27" s="123">
        <v>0</v>
      </c>
      <c r="K27" s="123">
        <v>0</v>
      </c>
      <c r="L27" s="123">
        <v>260.39999999999998</v>
      </c>
      <c r="M27" s="123">
        <v>0</v>
      </c>
      <c r="N27" s="123">
        <v>0</v>
      </c>
      <c r="O27" s="123">
        <v>217.5</v>
      </c>
      <c r="P27" s="123">
        <v>0</v>
      </c>
      <c r="Q27" s="123">
        <v>0</v>
      </c>
      <c r="R27" s="123">
        <v>228.5</v>
      </c>
      <c r="S27" s="123">
        <v>0</v>
      </c>
      <c r="T27" s="123">
        <v>0</v>
      </c>
      <c r="U27" s="117">
        <v>236.6</v>
      </c>
      <c r="V27" s="117">
        <v>0</v>
      </c>
      <c r="W27" s="117">
        <v>0</v>
      </c>
      <c r="X27" s="117">
        <v>275.10000000000002</v>
      </c>
      <c r="Y27" s="117">
        <v>0</v>
      </c>
      <c r="Z27" s="117">
        <v>0</v>
      </c>
      <c r="AA27" s="123">
        <v>316.60000000000002</v>
      </c>
      <c r="AB27" s="123">
        <v>0</v>
      </c>
      <c r="AC27" s="123">
        <v>0</v>
      </c>
      <c r="AD27" s="117">
        <v>285.3</v>
      </c>
      <c r="AE27" s="117">
        <v>0</v>
      </c>
      <c r="AF27" s="117">
        <v>0</v>
      </c>
      <c r="AG27" s="117">
        <v>208.6</v>
      </c>
      <c r="AH27" s="117">
        <v>0</v>
      </c>
      <c r="AI27" s="117">
        <v>0</v>
      </c>
      <c r="AJ27" s="123">
        <v>281.2</v>
      </c>
      <c r="AK27" s="123">
        <v>0</v>
      </c>
      <c r="AL27" s="123">
        <v>0</v>
      </c>
      <c r="AM27" s="117">
        <v>84.3</v>
      </c>
      <c r="AN27" s="117">
        <v>0</v>
      </c>
      <c r="AO27" s="117">
        <v>0</v>
      </c>
      <c r="AP27" s="117">
        <v>65.3</v>
      </c>
      <c r="AQ27" s="123"/>
      <c r="AR27" s="123"/>
      <c r="AS27" s="339"/>
      <c r="AT27" s="348"/>
      <c r="AU27" s="121"/>
      <c r="AV27" s="121"/>
      <c r="AW27" s="155"/>
    </row>
    <row r="28" spans="1:49" s="31" customFormat="1" ht="34.5" customHeight="1">
      <c r="A28" s="367"/>
      <c r="B28" s="331"/>
      <c r="C28" s="334"/>
      <c r="D28" s="337"/>
      <c r="E28" s="109" t="s">
        <v>257</v>
      </c>
      <c r="F28" s="123">
        <f t="shared" si="30"/>
        <v>0</v>
      </c>
      <c r="G28" s="123">
        <f t="shared" si="30"/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23">
        <v>0</v>
      </c>
      <c r="AB28" s="123">
        <v>0</v>
      </c>
      <c r="AC28" s="123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23">
        <v>0</v>
      </c>
      <c r="AK28" s="123">
        <v>0</v>
      </c>
      <c r="AL28" s="123">
        <v>0</v>
      </c>
      <c r="AM28" s="117">
        <v>0</v>
      </c>
      <c r="AN28" s="117">
        <v>0</v>
      </c>
      <c r="AO28" s="117">
        <v>0</v>
      </c>
      <c r="AP28" s="117">
        <v>0</v>
      </c>
      <c r="AQ28" s="123"/>
      <c r="AR28" s="123"/>
      <c r="AS28" s="340"/>
      <c r="AT28" s="349"/>
      <c r="AU28" s="121"/>
      <c r="AV28" s="121"/>
      <c r="AW28" s="155"/>
    </row>
    <row r="29" spans="1:49" s="31" customFormat="1" ht="12.75">
      <c r="A29" s="365" t="s">
        <v>341</v>
      </c>
      <c r="B29" s="329" t="s">
        <v>342</v>
      </c>
      <c r="C29" s="332" t="s">
        <v>268</v>
      </c>
      <c r="D29" s="335" t="s">
        <v>343</v>
      </c>
      <c r="E29" s="107" t="s">
        <v>42</v>
      </c>
      <c r="F29" s="123">
        <f>SUM(F30:F31)</f>
        <v>150</v>
      </c>
      <c r="G29" s="123">
        <f>SUM(G30:G31)</f>
        <v>0</v>
      </c>
      <c r="H29" s="123">
        <f>G29/F29*100</f>
        <v>0</v>
      </c>
      <c r="I29" s="123">
        <f>SUM(I30:I31)</f>
        <v>0</v>
      </c>
      <c r="J29" s="123">
        <f>SUM(J30:J31)</f>
        <v>0</v>
      </c>
      <c r="K29" s="123">
        <f>SUM(K30:K31)</f>
        <v>0</v>
      </c>
      <c r="L29" s="123">
        <f>SUM(L30:L31)</f>
        <v>0</v>
      </c>
      <c r="M29" s="123">
        <f>SUM(M30:M31)</f>
        <v>0</v>
      </c>
      <c r="N29" s="123">
        <v>0</v>
      </c>
      <c r="O29" s="123">
        <f>SUM(O30:O31)</f>
        <v>150</v>
      </c>
      <c r="P29" s="123">
        <f>SUM(P30:P31)</f>
        <v>0</v>
      </c>
      <c r="Q29" s="123">
        <v>0</v>
      </c>
      <c r="R29" s="123">
        <f>SUM(R30:R31)</f>
        <v>0</v>
      </c>
      <c r="S29" s="123">
        <f>SUM(S30:S31)</f>
        <v>0</v>
      </c>
      <c r="T29" s="123">
        <v>0</v>
      </c>
      <c r="U29" s="123">
        <f t="shared" ref="U29:AH29" si="31">SUM(U30:U31)</f>
        <v>0</v>
      </c>
      <c r="V29" s="123">
        <f t="shared" si="31"/>
        <v>0</v>
      </c>
      <c r="W29" s="123">
        <f t="shared" si="31"/>
        <v>0</v>
      </c>
      <c r="X29" s="123">
        <f t="shared" si="31"/>
        <v>0</v>
      </c>
      <c r="Y29" s="123">
        <f t="shared" si="31"/>
        <v>0</v>
      </c>
      <c r="Z29" s="123">
        <f t="shared" si="31"/>
        <v>0</v>
      </c>
      <c r="AA29" s="104">
        <f t="shared" si="31"/>
        <v>0</v>
      </c>
      <c r="AB29" s="123">
        <f t="shared" si="31"/>
        <v>0</v>
      </c>
      <c r="AC29" s="123">
        <f t="shared" si="31"/>
        <v>0</v>
      </c>
      <c r="AD29" s="104">
        <f t="shared" si="31"/>
        <v>0</v>
      </c>
      <c r="AE29" s="104">
        <f t="shared" si="31"/>
        <v>0</v>
      </c>
      <c r="AF29" s="104">
        <f t="shared" si="31"/>
        <v>0</v>
      </c>
      <c r="AG29" s="104">
        <f t="shared" si="31"/>
        <v>0</v>
      </c>
      <c r="AH29" s="123">
        <f t="shared" si="31"/>
        <v>0</v>
      </c>
      <c r="AI29" s="117">
        <v>0</v>
      </c>
      <c r="AJ29" s="123">
        <f t="shared" ref="AJ29:AR29" si="32">SUM(AJ30:AJ31)</f>
        <v>0</v>
      </c>
      <c r="AK29" s="123">
        <f t="shared" si="32"/>
        <v>0</v>
      </c>
      <c r="AL29" s="123">
        <f t="shared" si="32"/>
        <v>0</v>
      </c>
      <c r="AM29" s="104">
        <f t="shared" si="32"/>
        <v>0</v>
      </c>
      <c r="AN29" s="123">
        <f t="shared" si="32"/>
        <v>0</v>
      </c>
      <c r="AO29" s="123">
        <f t="shared" si="32"/>
        <v>0</v>
      </c>
      <c r="AP29" s="104">
        <f t="shared" si="32"/>
        <v>0</v>
      </c>
      <c r="AQ29" s="123">
        <f t="shared" si="32"/>
        <v>0</v>
      </c>
      <c r="AR29" s="123">
        <f t="shared" si="32"/>
        <v>0</v>
      </c>
      <c r="AS29" s="338" t="s">
        <v>298</v>
      </c>
      <c r="AT29" s="347"/>
      <c r="AU29" s="121"/>
      <c r="AV29" s="121"/>
      <c r="AW29" s="155"/>
    </row>
    <row r="30" spans="1:49" s="31" customFormat="1" ht="36">
      <c r="A30" s="366"/>
      <c r="B30" s="330"/>
      <c r="C30" s="333"/>
      <c r="D30" s="336"/>
      <c r="E30" s="108" t="s">
        <v>3</v>
      </c>
      <c r="F30" s="123">
        <f>I30+L30+O30+R30+U30+X30+AA30+AD30+AG30+AJ30+AM30+AP30</f>
        <v>0</v>
      </c>
      <c r="G30" s="123">
        <f>J30+M30+P30+S30+V30+Y30+AB30+AE30+AH30+AK30+AN30+AQ30</f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23">
        <v>0</v>
      </c>
      <c r="AB30" s="123">
        <v>0</v>
      </c>
      <c r="AC30" s="123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23">
        <v>0</v>
      </c>
      <c r="AK30" s="123">
        <v>0</v>
      </c>
      <c r="AL30" s="123">
        <v>0</v>
      </c>
      <c r="AM30" s="117">
        <v>0</v>
      </c>
      <c r="AN30" s="117">
        <v>0</v>
      </c>
      <c r="AO30" s="117">
        <v>0</v>
      </c>
      <c r="AP30" s="117">
        <v>0</v>
      </c>
      <c r="AQ30" s="123"/>
      <c r="AR30" s="123"/>
      <c r="AS30" s="339"/>
      <c r="AT30" s="348"/>
      <c r="AU30" s="121"/>
      <c r="AV30" s="121"/>
      <c r="AW30" s="155"/>
    </row>
    <row r="31" spans="1:49" s="31" customFormat="1" ht="41.25" customHeight="1">
      <c r="A31" s="366"/>
      <c r="B31" s="330"/>
      <c r="C31" s="333"/>
      <c r="D31" s="336"/>
      <c r="E31" s="108" t="s">
        <v>44</v>
      </c>
      <c r="F31" s="123">
        <f t="shared" ref="F31:G31" si="33">I31+L31+O31+R31+U31+X31+AA31+AD31+AG31+AJ31+AM31+AP31</f>
        <v>150</v>
      </c>
      <c r="G31" s="123">
        <f t="shared" si="33"/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150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23">
        <v>0</v>
      </c>
      <c r="AB31" s="123">
        <v>0</v>
      </c>
      <c r="AC31" s="123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23">
        <v>0</v>
      </c>
      <c r="AK31" s="123">
        <v>0</v>
      </c>
      <c r="AL31" s="123">
        <v>0</v>
      </c>
      <c r="AM31" s="117">
        <v>0</v>
      </c>
      <c r="AN31" s="117">
        <v>0</v>
      </c>
      <c r="AO31" s="117">
        <v>0</v>
      </c>
      <c r="AP31" s="117">
        <v>0</v>
      </c>
      <c r="AQ31" s="123"/>
      <c r="AR31" s="123"/>
      <c r="AS31" s="339"/>
      <c r="AT31" s="348"/>
      <c r="AU31" s="121"/>
      <c r="AV31" s="121"/>
      <c r="AW31" s="155"/>
    </row>
    <row r="32" spans="1:49" s="31" customFormat="1" ht="15.75">
      <c r="A32" s="350" t="s">
        <v>344</v>
      </c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2"/>
    </row>
    <row r="33" spans="1:49" s="100" customFormat="1" ht="12.75">
      <c r="A33" s="353" t="s">
        <v>345</v>
      </c>
      <c r="B33" s="354"/>
      <c r="C33" s="354"/>
      <c r="D33" s="355"/>
      <c r="E33" s="129" t="s">
        <v>42</v>
      </c>
      <c r="F33" s="106">
        <f>F34+F35+F36</f>
        <v>33940.800000000003</v>
      </c>
      <c r="G33" s="106">
        <f t="shared" ref="G33:AR33" si="34">G34+G35+G36</f>
        <v>556</v>
      </c>
      <c r="H33" s="106">
        <f>G33/F33*100</f>
        <v>1.6381464196483286</v>
      </c>
      <c r="I33" s="106">
        <f t="shared" si="34"/>
        <v>556</v>
      </c>
      <c r="J33" s="106">
        <f t="shared" si="34"/>
        <v>556</v>
      </c>
      <c r="K33" s="106">
        <f>J33/I33*100</f>
        <v>100</v>
      </c>
      <c r="L33" s="106">
        <f t="shared" si="34"/>
        <v>2428</v>
      </c>
      <c r="M33" s="106">
        <f t="shared" si="34"/>
        <v>0</v>
      </c>
      <c r="N33" s="106">
        <f>M33/L33*100</f>
        <v>0</v>
      </c>
      <c r="O33" s="106">
        <f t="shared" si="34"/>
        <v>2242</v>
      </c>
      <c r="P33" s="106">
        <f t="shared" si="34"/>
        <v>0</v>
      </c>
      <c r="Q33" s="106">
        <f>P33/O33*100</f>
        <v>0</v>
      </c>
      <c r="R33" s="106">
        <f t="shared" si="34"/>
        <v>3060</v>
      </c>
      <c r="S33" s="106">
        <f t="shared" si="34"/>
        <v>0</v>
      </c>
      <c r="T33" s="106">
        <f>S33/R33*100</f>
        <v>0</v>
      </c>
      <c r="U33" s="106">
        <f t="shared" si="34"/>
        <v>2489</v>
      </c>
      <c r="V33" s="106">
        <f t="shared" si="34"/>
        <v>0</v>
      </c>
      <c r="W33" s="106">
        <f t="shared" si="34"/>
        <v>0</v>
      </c>
      <c r="X33" s="106">
        <f t="shared" si="34"/>
        <v>2628</v>
      </c>
      <c r="Y33" s="106">
        <f t="shared" si="34"/>
        <v>0</v>
      </c>
      <c r="Z33" s="106">
        <f t="shared" si="34"/>
        <v>0</v>
      </c>
      <c r="AA33" s="106">
        <f t="shared" si="34"/>
        <v>3576</v>
      </c>
      <c r="AB33" s="106">
        <f t="shared" si="34"/>
        <v>0</v>
      </c>
      <c r="AC33" s="106">
        <f t="shared" si="34"/>
        <v>0</v>
      </c>
      <c r="AD33" s="106">
        <f t="shared" si="34"/>
        <v>2569</v>
      </c>
      <c r="AE33" s="106">
        <f t="shared" si="34"/>
        <v>0</v>
      </c>
      <c r="AF33" s="106">
        <f t="shared" ref="AF33:AF35" si="35">AE33/AD33*100</f>
        <v>0</v>
      </c>
      <c r="AG33" s="106">
        <f t="shared" si="34"/>
        <v>2544</v>
      </c>
      <c r="AH33" s="106">
        <f t="shared" si="34"/>
        <v>0</v>
      </c>
      <c r="AI33" s="106">
        <f t="shared" si="34"/>
        <v>0</v>
      </c>
      <c r="AJ33" s="106">
        <f t="shared" si="34"/>
        <v>2984</v>
      </c>
      <c r="AK33" s="106">
        <f t="shared" si="34"/>
        <v>0</v>
      </c>
      <c r="AL33" s="106">
        <f t="shared" si="34"/>
        <v>0</v>
      </c>
      <c r="AM33" s="106">
        <f t="shared" si="34"/>
        <v>2265.6</v>
      </c>
      <c r="AN33" s="106">
        <f t="shared" si="34"/>
        <v>0</v>
      </c>
      <c r="AO33" s="106">
        <f t="shared" si="34"/>
        <v>0</v>
      </c>
      <c r="AP33" s="106">
        <f t="shared" si="34"/>
        <v>6599.2</v>
      </c>
      <c r="AQ33" s="106">
        <f t="shared" si="34"/>
        <v>0</v>
      </c>
      <c r="AR33" s="106">
        <f t="shared" si="34"/>
        <v>0</v>
      </c>
      <c r="AS33" s="368"/>
      <c r="AT33" s="362"/>
      <c r="AU33" s="121"/>
      <c r="AV33" s="121"/>
      <c r="AW33" s="155"/>
    </row>
    <row r="34" spans="1:49" s="100" customFormat="1" ht="36">
      <c r="A34" s="356"/>
      <c r="B34" s="357"/>
      <c r="C34" s="357"/>
      <c r="D34" s="358"/>
      <c r="E34" s="111" t="s">
        <v>3</v>
      </c>
      <c r="F34" s="106">
        <f>F43</f>
        <v>30600.9</v>
      </c>
      <c r="G34" s="106">
        <f t="shared" ref="G34:AR36" si="36">G43</f>
        <v>0</v>
      </c>
      <c r="H34" s="106">
        <f>G34/F34*100</f>
        <v>0</v>
      </c>
      <c r="I34" s="106">
        <f t="shared" si="36"/>
        <v>0</v>
      </c>
      <c r="J34" s="106">
        <f t="shared" si="36"/>
        <v>0</v>
      </c>
      <c r="K34" s="106" t="e">
        <f t="shared" ref="K34:K35" si="37">J34/I34*100</f>
        <v>#DIV/0!</v>
      </c>
      <c r="L34" s="106">
        <f t="shared" si="36"/>
        <v>2178</v>
      </c>
      <c r="M34" s="106">
        <f t="shared" si="36"/>
        <v>0</v>
      </c>
      <c r="N34" s="106">
        <f t="shared" ref="N34:N35" si="38">M34/L34*100</f>
        <v>0</v>
      </c>
      <c r="O34" s="106">
        <f t="shared" si="36"/>
        <v>1989</v>
      </c>
      <c r="P34" s="106">
        <f t="shared" si="36"/>
        <v>0</v>
      </c>
      <c r="Q34" s="106">
        <f t="shared" ref="Q34:Q35" si="39">P34/O34*100</f>
        <v>0</v>
      </c>
      <c r="R34" s="106">
        <f t="shared" si="36"/>
        <v>3010</v>
      </c>
      <c r="S34" s="106">
        <f t="shared" si="36"/>
        <v>0</v>
      </c>
      <c r="T34" s="106">
        <f t="shared" ref="T34:T35" si="40">S34/R34*100</f>
        <v>0</v>
      </c>
      <c r="U34" s="106">
        <f t="shared" si="36"/>
        <v>2037</v>
      </c>
      <c r="V34" s="106">
        <f t="shared" si="36"/>
        <v>0</v>
      </c>
      <c r="W34" s="106">
        <f t="shared" si="36"/>
        <v>0</v>
      </c>
      <c r="X34" s="106">
        <f t="shared" si="36"/>
        <v>2578</v>
      </c>
      <c r="Y34" s="106">
        <f t="shared" si="36"/>
        <v>0</v>
      </c>
      <c r="Z34" s="106">
        <f t="shared" si="36"/>
        <v>0</v>
      </c>
      <c r="AA34" s="106">
        <f t="shared" si="36"/>
        <v>3526</v>
      </c>
      <c r="AB34" s="106">
        <f t="shared" si="36"/>
        <v>0</v>
      </c>
      <c r="AC34" s="106">
        <f t="shared" si="36"/>
        <v>0</v>
      </c>
      <c r="AD34" s="106">
        <f t="shared" si="36"/>
        <v>2117</v>
      </c>
      <c r="AE34" s="106">
        <f t="shared" si="36"/>
        <v>0</v>
      </c>
      <c r="AF34" s="106">
        <f t="shared" si="35"/>
        <v>0</v>
      </c>
      <c r="AG34" s="106">
        <f t="shared" si="36"/>
        <v>2494</v>
      </c>
      <c r="AH34" s="106">
        <f t="shared" si="36"/>
        <v>0</v>
      </c>
      <c r="AI34" s="106">
        <f t="shared" si="36"/>
        <v>0</v>
      </c>
      <c r="AJ34" s="106">
        <f t="shared" si="36"/>
        <v>2934</v>
      </c>
      <c r="AK34" s="106">
        <f t="shared" si="36"/>
        <v>0</v>
      </c>
      <c r="AL34" s="106">
        <f t="shared" si="36"/>
        <v>0</v>
      </c>
      <c r="AM34" s="106">
        <f t="shared" si="36"/>
        <v>1812</v>
      </c>
      <c r="AN34" s="106">
        <f t="shared" si="36"/>
        <v>0</v>
      </c>
      <c r="AO34" s="106">
        <f t="shared" si="36"/>
        <v>0</v>
      </c>
      <c r="AP34" s="106">
        <f t="shared" si="36"/>
        <v>5925.9</v>
      </c>
      <c r="AQ34" s="106">
        <f t="shared" si="36"/>
        <v>0</v>
      </c>
      <c r="AR34" s="106">
        <f t="shared" si="36"/>
        <v>0</v>
      </c>
      <c r="AS34" s="369"/>
      <c r="AT34" s="363"/>
      <c r="AU34" s="121"/>
      <c r="AV34" s="121"/>
      <c r="AW34" s="155"/>
    </row>
    <row r="35" spans="1:49" s="100" customFormat="1" ht="24">
      <c r="A35" s="356"/>
      <c r="B35" s="357"/>
      <c r="C35" s="357"/>
      <c r="D35" s="358"/>
      <c r="E35" s="111" t="s">
        <v>44</v>
      </c>
      <c r="F35" s="106">
        <f>F44</f>
        <v>3339.8999999999996</v>
      </c>
      <c r="G35" s="106">
        <f t="shared" si="36"/>
        <v>556</v>
      </c>
      <c r="H35" s="106">
        <f>G35/F35*100</f>
        <v>16.647205006137909</v>
      </c>
      <c r="I35" s="106">
        <f t="shared" si="36"/>
        <v>556</v>
      </c>
      <c r="J35" s="106">
        <f t="shared" si="36"/>
        <v>556</v>
      </c>
      <c r="K35" s="106">
        <f t="shared" si="37"/>
        <v>100</v>
      </c>
      <c r="L35" s="106">
        <f t="shared" si="36"/>
        <v>250</v>
      </c>
      <c r="M35" s="106">
        <f t="shared" si="36"/>
        <v>0</v>
      </c>
      <c r="N35" s="106">
        <f t="shared" si="38"/>
        <v>0</v>
      </c>
      <c r="O35" s="106">
        <f t="shared" si="36"/>
        <v>253</v>
      </c>
      <c r="P35" s="106">
        <f t="shared" si="36"/>
        <v>0</v>
      </c>
      <c r="Q35" s="106">
        <f t="shared" si="39"/>
        <v>0</v>
      </c>
      <c r="R35" s="106">
        <f t="shared" si="36"/>
        <v>50</v>
      </c>
      <c r="S35" s="106">
        <f t="shared" si="36"/>
        <v>0</v>
      </c>
      <c r="T35" s="106">
        <f t="shared" si="40"/>
        <v>0</v>
      </c>
      <c r="U35" s="106">
        <f t="shared" si="36"/>
        <v>452</v>
      </c>
      <c r="V35" s="106">
        <f t="shared" si="36"/>
        <v>0</v>
      </c>
      <c r="W35" s="106">
        <f t="shared" si="36"/>
        <v>0</v>
      </c>
      <c r="X35" s="106">
        <f t="shared" si="36"/>
        <v>50</v>
      </c>
      <c r="Y35" s="106">
        <f t="shared" si="36"/>
        <v>0</v>
      </c>
      <c r="Z35" s="106">
        <f t="shared" si="36"/>
        <v>0</v>
      </c>
      <c r="AA35" s="106">
        <f t="shared" si="36"/>
        <v>50</v>
      </c>
      <c r="AB35" s="106">
        <f t="shared" si="36"/>
        <v>0</v>
      </c>
      <c r="AC35" s="106">
        <f t="shared" si="36"/>
        <v>0</v>
      </c>
      <c r="AD35" s="106">
        <f t="shared" si="36"/>
        <v>452</v>
      </c>
      <c r="AE35" s="106">
        <f t="shared" si="36"/>
        <v>0</v>
      </c>
      <c r="AF35" s="106">
        <f t="shared" si="35"/>
        <v>0</v>
      </c>
      <c r="AG35" s="106">
        <f t="shared" si="36"/>
        <v>50</v>
      </c>
      <c r="AH35" s="106">
        <f t="shared" si="36"/>
        <v>0</v>
      </c>
      <c r="AI35" s="106">
        <f t="shared" si="36"/>
        <v>0</v>
      </c>
      <c r="AJ35" s="106">
        <f t="shared" si="36"/>
        <v>50</v>
      </c>
      <c r="AK35" s="106">
        <f t="shared" si="36"/>
        <v>0</v>
      </c>
      <c r="AL35" s="106">
        <f t="shared" si="36"/>
        <v>0</v>
      </c>
      <c r="AM35" s="106">
        <f t="shared" si="36"/>
        <v>453.6</v>
      </c>
      <c r="AN35" s="106">
        <f t="shared" si="36"/>
        <v>0</v>
      </c>
      <c r="AO35" s="106">
        <f t="shared" si="36"/>
        <v>0</v>
      </c>
      <c r="AP35" s="106">
        <f t="shared" si="36"/>
        <v>673.3</v>
      </c>
      <c r="AQ35" s="106">
        <f t="shared" si="36"/>
        <v>0</v>
      </c>
      <c r="AR35" s="106">
        <f t="shared" si="36"/>
        <v>0</v>
      </c>
      <c r="AS35" s="369"/>
      <c r="AT35" s="363"/>
      <c r="AU35" s="121"/>
      <c r="AV35" s="121"/>
      <c r="AW35" s="155"/>
    </row>
    <row r="36" spans="1:49" s="100" customFormat="1" ht="24">
      <c r="A36" s="359"/>
      <c r="B36" s="360"/>
      <c r="C36" s="360"/>
      <c r="D36" s="361"/>
      <c r="E36" s="110" t="s">
        <v>257</v>
      </c>
      <c r="F36" s="106">
        <f>F45</f>
        <v>0</v>
      </c>
      <c r="G36" s="106">
        <f t="shared" si="36"/>
        <v>0</v>
      </c>
      <c r="H36" s="106">
        <v>0</v>
      </c>
      <c r="I36" s="106">
        <f t="shared" si="36"/>
        <v>0</v>
      </c>
      <c r="J36" s="106">
        <f t="shared" si="36"/>
        <v>0</v>
      </c>
      <c r="K36" s="106">
        <v>0</v>
      </c>
      <c r="L36" s="106">
        <f t="shared" si="36"/>
        <v>0</v>
      </c>
      <c r="M36" s="106">
        <f t="shared" si="36"/>
        <v>0</v>
      </c>
      <c r="N36" s="106">
        <v>0</v>
      </c>
      <c r="O36" s="106">
        <f t="shared" si="36"/>
        <v>0</v>
      </c>
      <c r="P36" s="106">
        <f t="shared" si="36"/>
        <v>0</v>
      </c>
      <c r="Q36" s="106">
        <f t="shared" si="36"/>
        <v>0</v>
      </c>
      <c r="R36" s="106">
        <f t="shared" si="36"/>
        <v>0</v>
      </c>
      <c r="S36" s="106">
        <f t="shared" si="36"/>
        <v>0</v>
      </c>
      <c r="T36" s="106">
        <v>0</v>
      </c>
      <c r="U36" s="106">
        <f t="shared" si="36"/>
        <v>0</v>
      </c>
      <c r="V36" s="106">
        <f t="shared" si="36"/>
        <v>0</v>
      </c>
      <c r="W36" s="106">
        <f t="shared" si="36"/>
        <v>0</v>
      </c>
      <c r="X36" s="106">
        <f t="shared" si="36"/>
        <v>0</v>
      </c>
      <c r="Y36" s="106">
        <f t="shared" si="36"/>
        <v>0</v>
      </c>
      <c r="Z36" s="106">
        <f t="shared" si="36"/>
        <v>0</v>
      </c>
      <c r="AA36" s="106">
        <f t="shared" si="36"/>
        <v>0</v>
      </c>
      <c r="AB36" s="106">
        <f t="shared" si="36"/>
        <v>0</v>
      </c>
      <c r="AC36" s="106">
        <f t="shared" si="36"/>
        <v>0</v>
      </c>
      <c r="AD36" s="106">
        <f t="shared" si="36"/>
        <v>0</v>
      </c>
      <c r="AE36" s="106">
        <f t="shared" si="36"/>
        <v>0</v>
      </c>
      <c r="AF36" s="106">
        <f t="shared" si="36"/>
        <v>0</v>
      </c>
      <c r="AG36" s="106">
        <f t="shared" si="36"/>
        <v>0</v>
      </c>
      <c r="AH36" s="106">
        <f t="shared" si="36"/>
        <v>0</v>
      </c>
      <c r="AI36" s="106">
        <f t="shared" si="36"/>
        <v>0</v>
      </c>
      <c r="AJ36" s="106">
        <f t="shared" si="36"/>
        <v>0</v>
      </c>
      <c r="AK36" s="106">
        <f t="shared" si="36"/>
        <v>0</v>
      </c>
      <c r="AL36" s="106">
        <f t="shared" si="36"/>
        <v>0</v>
      </c>
      <c r="AM36" s="106">
        <f t="shared" si="36"/>
        <v>0</v>
      </c>
      <c r="AN36" s="106">
        <f t="shared" si="36"/>
        <v>0</v>
      </c>
      <c r="AO36" s="106">
        <f t="shared" si="36"/>
        <v>0</v>
      </c>
      <c r="AP36" s="106">
        <f t="shared" si="36"/>
        <v>0</v>
      </c>
      <c r="AQ36" s="106">
        <f t="shared" si="36"/>
        <v>0</v>
      </c>
      <c r="AR36" s="106">
        <f t="shared" si="36"/>
        <v>0</v>
      </c>
      <c r="AS36" s="370"/>
      <c r="AT36" s="364"/>
      <c r="AU36" s="121"/>
      <c r="AV36" s="121"/>
      <c r="AW36" s="155"/>
    </row>
    <row r="37" spans="1:49" s="100" customFormat="1" ht="168">
      <c r="A37" s="182" t="s">
        <v>347</v>
      </c>
      <c r="B37" s="161" t="s">
        <v>348</v>
      </c>
      <c r="C37" s="162" t="s">
        <v>349</v>
      </c>
      <c r="D37" s="170" t="s">
        <v>350</v>
      </c>
      <c r="E37" s="143" t="s">
        <v>275</v>
      </c>
      <c r="F37" s="149" t="s">
        <v>279</v>
      </c>
      <c r="G37" s="149" t="s">
        <v>279</v>
      </c>
      <c r="H37" s="149" t="s">
        <v>279</v>
      </c>
      <c r="I37" s="149" t="s">
        <v>279</v>
      </c>
      <c r="J37" s="149" t="s">
        <v>279</v>
      </c>
      <c r="K37" s="149" t="s">
        <v>279</v>
      </c>
      <c r="L37" s="149" t="s">
        <v>279</v>
      </c>
      <c r="M37" s="149" t="s">
        <v>279</v>
      </c>
      <c r="N37" s="149" t="s">
        <v>279</v>
      </c>
      <c r="O37" s="149" t="s">
        <v>279</v>
      </c>
      <c r="P37" s="149" t="s">
        <v>279</v>
      </c>
      <c r="Q37" s="149" t="s">
        <v>279</v>
      </c>
      <c r="R37" s="149" t="s">
        <v>279</v>
      </c>
      <c r="S37" s="149" t="s">
        <v>279</v>
      </c>
      <c r="T37" s="149" t="s">
        <v>279</v>
      </c>
      <c r="U37" s="149" t="s">
        <v>279</v>
      </c>
      <c r="V37" s="149" t="s">
        <v>279</v>
      </c>
      <c r="W37" s="149" t="s">
        <v>279</v>
      </c>
      <c r="X37" s="149" t="s">
        <v>279</v>
      </c>
      <c r="Y37" s="149" t="s">
        <v>279</v>
      </c>
      <c r="Z37" s="149" t="s">
        <v>279</v>
      </c>
      <c r="AA37" s="149" t="s">
        <v>279</v>
      </c>
      <c r="AB37" s="149" t="s">
        <v>279</v>
      </c>
      <c r="AC37" s="149" t="s">
        <v>279</v>
      </c>
      <c r="AD37" s="149" t="s">
        <v>279</v>
      </c>
      <c r="AE37" s="149" t="s">
        <v>279</v>
      </c>
      <c r="AF37" s="149" t="s">
        <v>279</v>
      </c>
      <c r="AG37" s="149" t="s">
        <v>279</v>
      </c>
      <c r="AH37" s="149" t="s">
        <v>279</v>
      </c>
      <c r="AI37" s="149" t="s">
        <v>279</v>
      </c>
      <c r="AJ37" s="149" t="s">
        <v>279</v>
      </c>
      <c r="AK37" s="149" t="s">
        <v>279</v>
      </c>
      <c r="AL37" s="149" t="s">
        <v>279</v>
      </c>
      <c r="AM37" s="149" t="s">
        <v>279</v>
      </c>
      <c r="AN37" s="149" t="s">
        <v>279</v>
      </c>
      <c r="AO37" s="149" t="s">
        <v>279</v>
      </c>
      <c r="AP37" s="149" t="s">
        <v>279</v>
      </c>
      <c r="AQ37" s="149"/>
      <c r="AR37" s="149"/>
      <c r="AS37" s="141" t="s">
        <v>301</v>
      </c>
      <c r="AT37" s="134"/>
      <c r="AU37" s="121"/>
      <c r="AV37" s="121"/>
      <c r="AW37" s="155"/>
    </row>
    <row r="38" spans="1:49" s="100" customFormat="1" ht="216">
      <c r="A38" s="184" t="s">
        <v>351</v>
      </c>
      <c r="B38" s="183" t="s">
        <v>352</v>
      </c>
      <c r="C38" s="160" t="s">
        <v>353</v>
      </c>
      <c r="D38" s="170" t="s">
        <v>354</v>
      </c>
      <c r="E38" s="143" t="s">
        <v>275</v>
      </c>
      <c r="F38" s="149" t="s">
        <v>279</v>
      </c>
      <c r="G38" s="149" t="s">
        <v>279</v>
      </c>
      <c r="H38" s="149" t="s">
        <v>279</v>
      </c>
      <c r="I38" s="149" t="s">
        <v>279</v>
      </c>
      <c r="J38" s="149" t="s">
        <v>279</v>
      </c>
      <c r="K38" s="149" t="s">
        <v>279</v>
      </c>
      <c r="L38" s="149" t="s">
        <v>279</v>
      </c>
      <c r="M38" s="149" t="s">
        <v>279</v>
      </c>
      <c r="N38" s="149" t="s">
        <v>279</v>
      </c>
      <c r="O38" s="149" t="s">
        <v>279</v>
      </c>
      <c r="P38" s="149" t="s">
        <v>279</v>
      </c>
      <c r="Q38" s="149" t="s">
        <v>279</v>
      </c>
      <c r="R38" s="149" t="s">
        <v>279</v>
      </c>
      <c r="S38" s="149" t="s">
        <v>279</v>
      </c>
      <c r="T38" s="149" t="s">
        <v>279</v>
      </c>
      <c r="U38" s="149" t="s">
        <v>279</v>
      </c>
      <c r="V38" s="149" t="s">
        <v>279</v>
      </c>
      <c r="W38" s="149" t="s">
        <v>279</v>
      </c>
      <c r="X38" s="149" t="s">
        <v>279</v>
      </c>
      <c r="Y38" s="149" t="s">
        <v>279</v>
      </c>
      <c r="Z38" s="149" t="s">
        <v>279</v>
      </c>
      <c r="AA38" s="149" t="s">
        <v>279</v>
      </c>
      <c r="AB38" s="149" t="s">
        <v>279</v>
      </c>
      <c r="AC38" s="149" t="s">
        <v>279</v>
      </c>
      <c r="AD38" s="149" t="s">
        <v>279</v>
      </c>
      <c r="AE38" s="149" t="s">
        <v>279</v>
      </c>
      <c r="AF38" s="149" t="s">
        <v>279</v>
      </c>
      <c r="AG38" s="149" t="s">
        <v>279</v>
      </c>
      <c r="AH38" s="149" t="s">
        <v>279</v>
      </c>
      <c r="AI38" s="149" t="s">
        <v>279</v>
      </c>
      <c r="AJ38" s="149" t="s">
        <v>279</v>
      </c>
      <c r="AK38" s="149" t="s">
        <v>279</v>
      </c>
      <c r="AL38" s="149" t="s">
        <v>279</v>
      </c>
      <c r="AM38" s="149" t="s">
        <v>279</v>
      </c>
      <c r="AN38" s="149" t="s">
        <v>279</v>
      </c>
      <c r="AO38" s="149" t="s">
        <v>279</v>
      </c>
      <c r="AP38" s="149" t="s">
        <v>279</v>
      </c>
      <c r="AQ38" s="149"/>
      <c r="AR38" s="149"/>
      <c r="AS38" s="141" t="s">
        <v>302</v>
      </c>
      <c r="AT38" s="134"/>
      <c r="AU38" s="121"/>
      <c r="AV38" s="121"/>
      <c r="AW38" s="155"/>
    </row>
    <row r="39" spans="1:49" s="100" customFormat="1" ht="60">
      <c r="A39" s="182" t="s">
        <v>355</v>
      </c>
      <c r="B39" s="183" t="s">
        <v>356</v>
      </c>
      <c r="C39" s="160" t="s">
        <v>357</v>
      </c>
      <c r="D39" s="170" t="s">
        <v>358</v>
      </c>
      <c r="E39" s="143" t="s">
        <v>275</v>
      </c>
      <c r="F39" s="149" t="s">
        <v>279</v>
      </c>
      <c r="G39" s="149" t="s">
        <v>279</v>
      </c>
      <c r="H39" s="149" t="s">
        <v>279</v>
      </c>
      <c r="I39" s="149" t="s">
        <v>279</v>
      </c>
      <c r="J39" s="149" t="s">
        <v>279</v>
      </c>
      <c r="K39" s="149" t="s">
        <v>279</v>
      </c>
      <c r="L39" s="149" t="s">
        <v>279</v>
      </c>
      <c r="M39" s="149" t="s">
        <v>279</v>
      </c>
      <c r="N39" s="149" t="s">
        <v>279</v>
      </c>
      <c r="O39" s="149" t="s">
        <v>279</v>
      </c>
      <c r="P39" s="149" t="s">
        <v>279</v>
      </c>
      <c r="Q39" s="149" t="s">
        <v>279</v>
      </c>
      <c r="R39" s="149" t="s">
        <v>279</v>
      </c>
      <c r="S39" s="149" t="s">
        <v>279</v>
      </c>
      <c r="T39" s="149" t="s">
        <v>279</v>
      </c>
      <c r="U39" s="149" t="s">
        <v>279</v>
      </c>
      <c r="V39" s="149" t="s">
        <v>279</v>
      </c>
      <c r="W39" s="149" t="s">
        <v>279</v>
      </c>
      <c r="X39" s="149" t="s">
        <v>279</v>
      </c>
      <c r="Y39" s="149" t="s">
        <v>279</v>
      </c>
      <c r="Z39" s="149" t="s">
        <v>279</v>
      </c>
      <c r="AA39" s="149" t="s">
        <v>279</v>
      </c>
      <c r="AB39" s="149" t="s">
        <v>279</v>
      </c>
      <c r="AC39" s="149" t="s">
        <v>279</v>
      </c>
      <c r="AD39" s="149" t="s">
        <v>279</v>
      </c>
      <c r="AE39" s="149" t="s">
        <v>279</v>
      </c>
      <c r="AF39" s="149" t="s">
        <v>279</v>
      </c>
      <c r="AG39" s="149" t="s">
        <v>279</v>
      </c>
      <c r="AH39" s="149" t="s">
        <v>279</v>
      </c>
      <c r="AI39" s="149" t="s">
        <v>279</v>
      </c>
      <c r="AJ39" s="149" t="s">
        <v>279</v>
      </c>
      <c r="AK39" s="149" t="s">
        <v>279</v>
      </c>
      <c r="AL39" s="149" t="s">
        <v>279</v>
      </c>
      <c r="AM39" s="149" t="s">
        <v>279</v>
      </c>
      <c r="AN39" s="149" t="s">
        <v>279</v>
      </c>
      <c r="AO39" s="149" t="s">
        <v>279</v>
      </c>
      <c r="AP39" s="149" t="s">
        <v>279</v>
      </c>
      <c r="AQ39" s="149"/>
      <c r="AR39" s="149"/>
      <c r="AS39" s="141" t="s">
        <v>303</v>
      </c>
      <c r="AT39" s="134"/>
      <c r="AU39" s="121"/>
      <c r="AV39" s="121"/>
      <c r="AW39" s="155"/>
    </row>
    <row r="40" spans="1:49" s="100" customFormat="1" ht="84">
      <c r="A40" s="182" t="s">
        <v>359</v>
      </c>
      <c r="B40" s="183" t="s">
        <v>360</v>
      </c>
      <c r="C40" s="160" t="s">
        <v>357</v>
      </c>
      <c r="D40" s="170" t="s">
        <v>358</v>
      </c>
      <c r="E40" s="143" t="s">
        <v>275</v>
      </c>
      <c r="F40" s="149" t="s">
        <v>279</v>
      </c>
      <c r="G40" s="149" t="s">
        <v>279</v>
      </c>
      <c r="H40" s="149" t="s">
        <v>279</v>
      </c>
      <c r="I40" s="149" t="s">
        <v>279</v>
      </c>
      <c r="J40" s="149" t="s">
        <v>279</v>
      </c>
      <c r="K40" s="149" t="s">
        <v>279</v>
      </c>
      <c r="L40" s="149" t="s">
        <v>279</v>
      </c>
      <c r="M40" s="149" t="s">
        <v>279</v>
      </c>
      <c r="N40" s="149" t="s">
        <v>279</v>
      </c>
      <c r="O40" s="149" t="s">
        <v>279</v>
      </c>
      <c r="P40" s="149" t="s">
        <v>279</v>
      </c>
      <c r="Q40" s="149" t="s">
        <v>279</v>
      </c>
      <c r="R40" s="149" t="s">
        <v>279</v>
      </c>
      <c r="S40" s="149" t="s">
        <v>279</v>
      </c>
      <c r="T40" s="149" t="s">
        <v>279</v>
      </c>
      <c r="U40" s="149" t="s">
        <v>279</v>
      </c>
      <c r="V40" s="149" t="s">
        <v>279</v>
      </c>
      <c r="W40" s="149" t="s">
        <v>279</v>
      </c>
      <c r="X40" s="149" t="s">
        <v>279</v>
      </c>
      <c r="Y40" s="149" t="s">
        <v>279</v>
      </c>
      <c r="Z40" s="149" t="s">
        <v>279</v>
      </c>
      <c r="AA40" s="149" t="s">
        <v>279</v>
      </c>
      <c r="AB40" s="149" t="s">
        <v>279</v>
      </c>
      <c r="AC40" s="149" t="s">
        <v>279</v>
      </c>
      <c r="AD40" s="149" t="s">
        <v>279</v>
      </c>
      <c r="AE40" s="149" t="s">
        <v>279</v>
      </c>
      <c r="AF40" s="149" t="s">
        <v>279</v>
      </c>
      <c r="AG40" s="149" t="s">
        <v>279</v>
      </c>
      <c r="AH40" s="149" t="s">
        <v>279</v>
      </c>
      <c r="AI40" s="149" t="s">
        <v>279</v>
      </c>
      <c r="AJ40" s="149" t="s">
        <v>279</v>
      </c>
      <c r="AK40" s="149" t="s">
        <v>279</v>
      </c>
      <c r="AL40" s="149" t="s">
        <v>279</v>
      </c>
      <c r="AM40" s="149" t="s">
        <v>279</v>
      </c>
      <c r="AN40" s="149" t="s">
        <v>279</v>
      </c>
      <c r="AO40" s="149" t="s">
        <v>279</v>
      </c>
      <c r="AP40" s="149" t="s">
        <v>279</v>
      </c>
      <c r="AQ40" s="149"/>
      <c r="AR40" s="149"/>
      <c r="AS40" s="141" t="s">
        <v>304</v>
      </c>
      <c r="AT40" s="134"/>
      <c r="AU40" s="121"/>
      <c r="AV40" s="121"/>
      <c r="AW40" s="155"/>
    </row>
    <row r="41" spans="1:49" s="100" customFormat="1" ht="60">
      <c r="A41" s="182" t="s">
        <v>361</v>
      </c>
      <c r="B41" s="183" t="s">
        <v>362</v>
      </c>
      <c r="C41" s="160" t="s">
        <v>363</v>
      </c>
      <c r="D41" s="170" t="s">
        <v>364</v>
      </c>
      <c r="E41" s="143" t="s">
        <v>275</v>
      </c>
      <c r="F41" s="149" t="s">
        <v>279</v>
      </c>
      <c r="G41" s="149" t="s">
        <v>279</v>
      </c>
      <c r="H41" s="149" t="s">
        <v>279</v>
      </c>
      <c r="I41" s="149" t="s">
        <v>279</v>
      </c>
      <c r="J41" s="149" t="s">
        <v>279</v>
      </c>
      <c r="K41" s="149" t="s">
        <v>279</v>
      </c>
      <c r="L41" s="149" t="s">
        <v>279</v>
      </c>
      <c r="M41" s="149" t="s">
        <v>279</v>
      </c>
      <c r="N41" s="149" t="s">
        <v>279</v>
      </c>
      <c r="O41" s="149" t="s">
        <v>279</v>
      </c>
      <c r="P41" s="149" t="s">
        <v>279</v>
      </c>
      <c r="Q41" s="149" t="s">
        <v>279</v>
      </c>
      <c r="R41" s="149" t="s">
        <v>279</v>
      </c>
      <c r="S41" s="149" t="s">
        <v>279</v>
      </c>
      <c r="T41" s="149" t="s">
        <v>279</v>
      </c>
      <c r="U41" s="149" t="s">
        <v>279</v>
      </c>
      <c r="V41" s="149" t="s">
        <v>279</v>
      </c>
      <c r="W41" s="149" t="s">
        <v>279</v>
      </c>
      <c r="X41" s="149" t="s">
        <v>279</v>
      </c>
      <c r="Y41" s="149" t="s">
        <v>279</v>
      </c>
      <c r="Z41" s="149" t="s">
        <v>279</v>
      </c>
      <c r="AA41" s="149" t="s">
        <v>279</v>
      </c>
      <c r="AB41" s="149" t="s">
        <v>279</v>
      </c>
      <c r="AC41" s="149" t="s">
        <v>279</v>
      </c>
      <c r="AD41" s="149" t="s">
        <v>279</v>
      </c>
      <c r="AE41" s="149" t="s">
        <v>279</v>
      </c>
      <c r="AF41" s="149" t="s">
        <v>279</v>
      </c>
      <c r="AG41" s="149" t="s">
        <v>279</v>
      </c>
      <c r="AH41" s="149" t="s">
        <v>279</v>
      </c>
      <c r="AI41" s="149" t="s">
        <v>279</v>
      </c>
      <c r="AJ41" s="149" t="s">
        <v>279</v>
      </c>
      <c r="AK41" s="149" t="s">
        <v>279</v>
      </c>
      <c r="AL41" s="149" t="s">
        <v>279</v>
      </c>
      <c r="AM41" s="149" t="s">
        <v>279</v>
      </c>
      <c r="AN41" s="149" t="s">
        <v>279</v>
      </c>
      <c r="AO41" s="149" t="s">
        <v>279</v>
      </c>
      <c r="AP41" s="149" t="s">
        <v>279</v>
      </c>
      <c r="AQ41" s="149"/>
      <c r="AR41" s="149"/>
      <c r="AS41" s="141" t="s">
        <v>305</v>
      </c>
      <c r="AT41" s="134"/>
      <c r="AU41" s="121"/>
      <c r="AV41" s="121"/>
      <c r="AW41" s="155"/>
    </row>
    <row r="42" spans="1:49" s="31" customFormat="1" ht="12.75">
      <c r="A42" s="371" t="s">
        <v>365</v>
      </c>
      <c r="B42" s="374" t="s">
        <v>366</v>
      </c>
      <c r="C42" s="377" t="s">
        <v>269</v>
      </c>
      <c r="D42" s="335" t="s">
        <v>367</v>
      </c>
      <c r="E42" s="107" t="s">
        <v>42</v>
      </c>
      <c r="F42" s="123">
        <f>SUM(F43:F45)</f>
        <v>33940.800000000003</v>
      </c>
      <c r="G42" s="123">
        <f t="shared" ref="G42" si="41">SUM(G43:G45)</f>
        <v>556</v>
      </c>
      <c r="H42" s="123">
        <f>G42/F42*100</f>
        <v>1.6381464196483286</v>
      </c>
      <c r="I42" s="132">
        <f>I43+I44+I45</f>
        <v>556</v>
      </c>
      <c r="J42" s="132">
        <f>J43+J44+J45</f>
        <v>556</v>
      </c>
      <c r="K42" s="123">
        <f t="shared" ref="K42:K44" si="42">J42/I42*100</f>
        <v>100</v>
      </c>
      <c r="L42" s="132">
        <f>L43+L44+L45</f>
        <v>2428</v>
      </c>
      <c r="M42" s="132">
        <f>M43+M44+M45</f>
        <v>0</v>
      </c>
      <c r="N42" s="132">
        <f>M42/L42*100</f>
        <v>0</v>
      </c>
      <c r="O42" s="132">
        <f>O43+O44+O45</f>
        <v>2242</v>
      </c>
      <c r="P42" s="132">
        <f>P43+P44+P45</f>
        <v>0</v>
      </c>
      <c r="Q42" s="123">
        <f t="shared" ref="Q42:Q44" si="43">P42/O42*100</f>
        <v>0</v>
      </c>
      <c r="R42" s="132">
        <f>R43+R44+R45</f>
        <v>3060</v>
      </c>
      <c r="S42" s="132">
        <f>S43+S44+S45</f>
        <v>0</v>
      </c>
      <c r="T42" s="132">
        <f>S42/R42*100</f>
        <v>0</v>
      </c>
      <c r="U42" s="132">
        <f t="shared" ref="U42:AP42" si="44">U43+U44+U45</f>
        <v>2489</v>
      </c>
      <c r="V42" s="132">
        <f t="shared" si="44"/>
        <v>0</v>
      </c>
      <c r="W42" s="132">
        <f>V42/U42*100</f>
        <v>0</v>
      </c>
      <c r="X42" s="132">
        <f t="shared" si="44"/>
        <v>2628</v>
      </c>
      <c r="Y42" s="132">
        <f t="shared" si="44"/>
        <v>0</v>
      </c>
      <c r="Z42" s="132">
        <f>Y42/X42*100</f>
        <v>0</v>
      </c>
      <c r="AA42" s="132">
        <f t="shared" si="44"/>
        <v>3576</v>
      </c>
      <c r="AB42" s="132">
        <f t="shared" si="44"/>
        <v>0</v>
      </c>
      <c r="AC42" s="132">
        <f>AB42/AA42*100</f>
        <v>0</v>
      </c>
      <c r="AD42" s="132">
        <f t="shared" si="44"/>
        <v>2569</v>
      </c>
      <c r="AE42" s="132">
        <f t="shared" si="44"/>
        <v>0</v>
      </c>
      <c r="AF42" s="132">
        <f>AE42/AD42*100</f>
        <v>0</v>
      </c>
      <c r="AG42" s="132">
        <f t="shared" si="44"/>
        <v>2544</v>
      </c>
      <c r="AH42" s="132">
        <f t="shared" si="44"/>
        <v>0</v>
      </c>
      <c r="AI42" s="117">
        <f>AH42/AG42*100</f>
        <v>0</v>
      </c>
      <c r="AJ42" s="132">
        <f t="shared" si="44"/>
        <v>2984</v>
      </c>
      <c r="AK42" s="132">
        <f t="shared" si="44"/>
        <v>0</v>
      </c>
      <c r="AL42" s="132">
        <f t="shared" si="44"/>
        <v>0</v>
      </c>
      <c r="AM42" s="132">
        <f t="shared" si="44"/>
        <v>2265.6</v>
      </c>
      <c r="AN42" s="132">
        <f t="shared" si="44"/>
        <v>0</v>
      </c>
      <c r="AO42" s="132">
        <f t="shared" si="44"/>
        <v>0</v>
      </c>
      <c r="AP42" s="132">
        <f t="shared" si="44"/>
        <v>6599.2</v>
      </c>
      <c r="AQ42" s="104"/>
      <c r="AR42" s="104"/>
      <c r="AS42" s="338" t="s">
        <v>310</v>
      </c>
      <c r="AT42" s="380"/>
      <c r="AU42" s="121"/>
      <c r="AV42" s="121"/>
      <c r="AW42" s="155"/>
    </row>
    <row r="43" spans="1:49" s="31" customFormat="1" ht="36">
      <c r="A43" s="372"/>
      <c r="B43" s="375"/>
      <c r="C43" s="378"/>
      <c r="D43" s="336"/>
      <c r="E43" s="108" t="s">
        <v>3</v>
      </c>
      <c r="F43" s="123">
        <f>I43+L43+O43+R43+U43+X43+AA43+AD43+AG43+AJ43+AM43+AP43</f>
        <v>30600.9</v>
      </c>
      <c r="G43" s="123">
        <f>J43+M43+P43+S43+V43+Y43+AB43+AE43+AH43+AK43+AN43+AQ43</f>
        <v>0</v>
      </c>
      <c r="H43" s="123">
        <f>G43/F43*100</f>
        <v>0</v>
      </c>
      <c r="I43" s="123">
        <v>0</v>
      </c>
      <c r="J43" s="123">
        <v>0</v>
      </c>
      <c r="K43" s="123" t="e">
        <f t="shared" si="42"/>
        <v>#DIV/0!</v>
      </c>
      <c r="L43" s="150">
        <v>2178</v>
      </c>
      <c r="M43" s="123">
        <v>0</v>
      </c>
      <c r="N43" s="138">
        <f t="shared" ref="N43:N44" si="45">M43/L43*100</f>
        <v>0</v>
      </c>
      <c r="O43" s="123">
        <v>1989</v>
      </c>
      <c r="P43" s="123">
        <v>0</v>
      </c>
      <c r="Q43" s="123">
        <f t="shared" si="43"/>
        <v>0</v>
      </c>
      <c r="R43" s="123">
        <v>3010</v>
      </c>
      <c r="S43" s="123">
        <v>0</v>
      </c>
      <c r="T43" s="132">
        <f t="shared" ref="T43:T44" si="46">S43/R43*100</f>
        <v>0</v>
      </c>
      <c r="U43" s="117">
        <v>2037</v>
      </c>
      <c r="V43" s="117">
        <v>0</v>
      </c>
      <c r="W43" s="132">
        <f t="shared" ref="W43:W44" si="47">V43/U43*100</f>
        <v>0</v>
      </c>
      <c r="X43" s="117">
        <v>2578</v>
      </c>
      <c r="Y43" s="117">
        <v>0</v>
      </c>
      <c r="Z43" s="117">
        <f>Y43/X43*100</f>
        <v>0</v>
      </c>
      <c r="AA43" s="117">
        <v>3526</v>
      </c>
      <c r="AB43" s="117">
        <v>0</v>
      </c>
      <c r="AC43" s="117">
        <f>AB43/AA43*100</f>
        <v>0</v>
      </c>
      <c r="AD43" s="117">
        <v>2117</v>
      </c>
      <c r="AE43" s="117">
        <v>0</v>
      </c>
      <c r="AF43" s="117">
        <f>AE43/AD43*100</f>
        <v>0</v>
      </c>
      <c r="AG43" s="117">
        <v>2494</v>
      </c>
      <c r="AH43" s="117">
        <v>0</v>
      </c>
      <c r="AI43" s="117">
        <f>AH43/AG43*100</f>
        <v>0</v>
      </c>
      <c r="AJ43" s="123">
        <v>2934</v>
      </c>
      <c r="AK43" s="123">
        <v>0</v>
      </c>
      <c r="AL43" s="123">
        <v>0</v>
      </c>
      <c r="AM43" s="117">
        <v>1812</v>
      </c>
      <c r="AN43" s="117">
        <v>0</v>
      </c>
      <c r="AO43" s="117">
        <v>0</v>
      </c>
      <c r="AP43" s="123">
        <v>5925.9</v>
      </c>
      <c r="AQ43" s="104"/>
      <c r="AR43" s="104"/>
      <c r="AS43" s="339"/>
      <c r="AT43" s="381"/>
      <c r="AU43" s="121"/>
      <c r="AV43" s="121"/>
      <c r="AW43" s="155"/>
    </row>
    <row r="44" spans="1:49" s="31" customFormat="1" ht="12.75">
      <c r="A44" s="372"/>
      <c r="B44" s="375"/>
      <c r="C44" s="378"/>
      <c r="D44" s="336"/>
      <c r="E44" s="108" t="s">
        <v>44</v>
      </c>
      <c r="F44" s="123">
        <f t="shared" ref="F44:G45" si="48">I44+L44+O44+R44+U44+X44+AA44+AD44+AG44+AJ44+AM44+AP44</f>
        <v>3339.8999999999996</v>
      </c>
      <c r="G44" s="123">
        <f t="shared" si="48"/>
        <v>556</v>
      </c>
      <c r="H44" s="123">
        <f>G44/F44*100</f>
        <v>16.647205006137909</v>
      </c>
      <c r="I44" s="123">
        <v>556</v>
      </c>
      <c r="J44" s="123">
        <v>556</v>
      </c>
      <c r="K44" s="123">
        <f t="shared" si="42"/>
        <v>100</v>
      </c>
      <c r="L44" s="150">
        <v>250</v>
      </c>
      <c r="M44" s="123">
        <v>0</v>
      </c>
      <c r="N44" s="138">
        <f t="shared" si="45"/>
        <v>0</v>
      </c>
      <c r="O44" s="123">
        <v>253</v>
      </c>
      <c r="P44" s="123">
        <v>0</v>
      </c>
      <c r="Q44" s="123">
        <f t="shared" si="43"/>
        <v>0</v>
      </c>
      <c r="R44" s="123">
        <v>50</v>
      </c>
      <c r="S44" s="123">
        <v>0</v>
      </c>
      <c r="T44" s="132">
        <f t="shared" si="46"/>
        <v>0</v>
      </c>
      <c r="U44" s="117">
        <v>452</v>
      </c>
      <c r="V44" s="117">
        <v>0</v>
      </c>
      <c r="W44" s="132">
        <f t="shared" si="47"/>
        <v>0</v>
      </c>
      <c r="X44" s="117">
        <v>50</v>
      </c>
      <c r="Y44" s="117">
        <v>0</v>
      </c>
      <c r="Z44" s="117">
        <f>Y44/X44*100</f>
        <v>0</v>
      </c>
      <c r="AA44" s="117">
        <v>50</v>
      </c>
      <c r="AB44" s="117">
        <v>0</v>
      </c>
      <c r="AC44" s="117">
        <f>AB44/AA44*100</f>
        <v>0</v>
      </c>
      <c r="AD44" s="117">
        <v>452</v>
      </c>
      <c r="AE44" s="117">
        <v>0</v>
      </c>
      <c r="AF44" s="117">
        <f>AE44/AD44*100</f>
        <v>0</v>
      </c>
      <c r="AG44" s="117">
        <v>50</v>
      </c>
      <c r="AH44" s="117">
        <v>0</v>
      </c>
      <c r="AI44" s="117">
        <f>AH44/AG44*100</f>
        <v>0</v>
      </c>
      <c r="AJ44" s="123">
        <v>50</v>
      </c>
      <c r="AK44" s="123">
        <v>0</v>
      </c>
      <c r="AL44" s="123">
        <v>0</v>
      </c>
      <c r="AM44" s="117">
        <v>453.6</v>
      </c>
      <c r="AN44" s="117">
        <v>0</v>
      </c>
      <c r="AO44" s="117">
        <v>0</v>
      </c>
      <c r="AP44" s="123">
        <v>673.3</v>
      </c>
      <c r="AQ44" s="104"/>
      <c r="AR44" s="104"/>
      <c r="AS44" s="339"/>
      <c r="AT44" s="381"/>
      <c r="AU44" s="121"/>
      <c r="AV44" s="121"/>
      <c r="AW44" s="155"/>
    </row>
    <row r="45" spans="1:49" s="31" customFormat="1" ht="24">
      <c r="A45" s="373"/>
      <c r="B45" s="376"/>
      <c r="C45" s="379"/>
      <c r="D45" s="337"/>
      <c r="E45" s="109" t="s">
        <v>257</v>
      </c>
      <c r="F45" s="123">
        <f t="shared" si="48"/>
        <v>0</v>
      </c>
      <c r="G45" s="123">
        <f t="shared" si="48"/>
        <v>0</v>
      </c>
      <c r="H45" s="123">
        <v>0</v>
      </c>
      <c r="I45" s="123">
        <v>0</v>
      </c>
      <c r="J45" s="123">
        <v>0</v>
      </c>
      <c r="K45" s="123">
        <v>0</v>
      </c>
      <c r="L45" s="150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4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23">
        <v>0</v>
      </c>
      <c r="AK45" s="123">
        <v>0</v>
      </c>
      <c r="AL45" s="123">
        <v>0</v>
      </c>
      <c r="AM45" s="117">
        <v>0</v>
      </c>
      <c r="AN45" s="117">
        <v>0</v>
      </c>
      <c r="AO45" s="117">
        <v>0</v>
      </c>
      <c r="AP45" s="123">
        <v>0</v>
      </c>
      <c r="AQ45" s="104"/>
      <c r="AR45" s="104"/>
      <c r="AS45" s="340"/>
      <c r="AT45" s="382"/>
      <c r="AU45" s="121"/>
      <c r="AV45" s="121"/>
      <c r="AW45" s="155"/>
    </row>
    <row r="46" spans="1:49" s="31" customFormat="1" ht="15.75">
      <c r="A46" s="350" t="s">
        <v>368</v>
      </c>
      <c r="B46" s="351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2"/>
      <c r="AU46" s="121"/>
      <c r="AV46" s="121"/>
      <c r="AW46" s="155"/>
    </row>
    <row r="47" spans="1:49" s="31" customFormat="1" ht="15.75">
      <c r="A47" s="350" t="s">
        <v>369</v>
      </c>
      <c r="B47" s="351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2"/>
      <c r="AU47" s="121"/>
      <c r="AV47" s="121"/>
      <c r="AW47" s="155"/>
    </row>
    <row r="48" spans="1:49" s="100" customFormat="1" ht="12.75">
      <c r="A48" s="405" t="s">
        <v>270</v>
      </c>
      <c r="B48" s="406"/>
      <c r="C48" s="406"/>
      <c r="D48" s="407"/>
      <c r="E48" s="202" t="s">
        <v>42</v>
      </c>
      <c r="F48" s="203">
        <f>F49+F50+F51</f>
        <v>599.4</v>
      </c>
      <c r="G48" s="203">
        <f t="shared" ref="G48:AR48" si="49">G49+G50+G51</f>
        <v>0</v>
      </c>
      <c r="H48" s="203">
        <f>G48/F48*100</f>
        <v>0</v>
      </c>
      <c r="I48" s="203">
        <f t="shared" si="49"/>
        <v>0</v>
      </c>
      <c r="J48" s="203">
        <f t="shared" si="49"/>
        <v>0</v>
      </c>
      <c r="K48" s="203">
        <v>0</v>
      </c>
      <c r="L48" s="203">
        <f t="shared" si="49"/>
        <v>0</v>
      </c>
      <c r="M48" s="203">
        <f t="shared" si="49"/>
        <v>0</v>
      </c>
      <c r="N48" s="203">
        <v>0</v>
      </c>
      <c r="O48" s="203">
        <f t="shared" si="49"/>
        <v>119.8</v>
      </c>
      <c r="P48" s="203">
        <f t="shared" si="49"/>
        <v>0</v>
      </c>
      <c r="Q48" s="203">
        <f>P48/O48*100</f>
        <v>0</v>
      </c>
      <c r="R48" s="203">
        <f t="shared" si="49"/>
        <v>0</v>
      </c>
      <c r="S48" s="203">
        <f t="shared" si="49"/>
        <v>0</v>
      </c>
      <c r="T48" s="203">
        <v>0</v>
      </c>
      <c r="U48" s="203">
        <f t="shared" si="49"/>
        <v>0</v>
      </c>
      <c r="V48" s="203">
        <f t="shared" si="49"/>
        <v>0</v>
      </c>
      <c r="W48" s="203">
        <f t="shared" si="49"/>
        <v>0</v>
      </c>
      <c r="X48" s="203">
        <f t="shared" si="49"/>
        <v>179.7</v>
      </c>
      <c r="Y48" s="203">
        <f t="shared" si="49"/>
        <v>0</v>
      </c>
      <c r="Z48" s="203">
        <f t="shared" si="49"/>
        <v>0</v>
      </c>
      <c r="AA48" s="203">
        <f t="shared" si="49"/>
        <v>0</v>
      </c>
      <c r="AB48" s="203">
        <f t="shared" si="49"/>
        <v>0</v>
      </c>
      <c r="AC48" s="203">
        <f t="shared" si="49"/>
        <v>0</v>
      </c>
      <c r="AD48" s="203">
        <f t="shared" si="49"/>
        <v>0</v>
      </c>
      <c r="AE48" s="203">
        <f t="shared" si="49"/>
        <v>0</v>
      </c>
      <c r="AF48" s="203">
        <f t="shared" si="49"/>
        <v>0</v>
      </c>
      <c r="AG48" s="203">
        <f t="shared" si="49"/>
        <v>179.7</v>
      </c>
      <c r="AH48" s="203">
        <f t="shared" si="49"/>
        <v>0</v>
      </c>
      <c r="AI48" s="203">
        <f t="shared" si="49"/>
        <v>0</v>
      </c>
      <c r="AJ48" s="203">
        <f t="shared" si="49"/>
        <v>0</v>
      </c>
      <c r="AK48" s="203">
        <f t="shared" si="49"/>
        <v>0</v>
      </c>
      <c r="AL48" s="203">
        <f t="shared" si="49"/>
        <v>0</v>
      </c>
      <c r="AM48" s="203">
        <f t="shared" si="49"/>
        <v>120.2</v>
      </c>
      <c r="AN48" s="203">
        <f t="shared" si="49"/>
        <v>0</v>
      </c>
      <c r="AO48" s="203">
        <f t="shared" si="49"/>
        <v>0</v>
      </c>
      <c r="AP48" s="203">
        <f t="shared" si="49"/>
        <v>0</v>
      </c>
      <c r="AQ48" s="203">
        <f t="shared" si="49"/>
        <v>0</v>
      </c>
      <c r="AR48" s="203">
        <f t="shared" si="49"/>
        <v>0</v>
      </c>
      <c r="AS48" s="317"/>
      <c r="AT48" s="362"/>
      <c r="AU48" s="121"/>
      <c r="AV48" s="121"/>
      <c r="AW48" s="155"/>
    </row>
    <row r="49" spans="1:49" s="100" customFormat="1" ht="36">
      <c r="A49" s="408"/>
      <c r="B49" s="409"/>
      <c r="C49" s="409"/>
      <c r="D49" s="410"/>
      <c r="E49" s="204" t="s">
        <v>3</v>
      </c>
      <c r="F49" s="203">
        <f>F57</f>
        <v>0</v>
      </c>
      <c r="G49" s="203">
        <f t="shared" ref="G49:AR51" si="50">G57</f>
        <v>0</v>
      </c>
      <c r="H49" s="203">
        <v>0</v>
      </c>
      <c r="I49" s="203">
        <f t="shared" si="50"/>
        <v>0</v>
      </c>
      <c r="J49" s="203">
        <f t="shared" si="50"/>
        <v>0</v>
      </c>
      <c r="K49" s="203">
        <v>0</v>
      </c>
      <c r="L49" s="203">
        <f t="shared" si="50"/>
        <v>0</v>
      </c>
      <c r="M49" s="203">
        <f t="shared" si="50"/>
        <v>0</v>
      </c>
      <c r="N49" s="203">
        <v>0</v>
      </c>
      <c r="O49" s="203">
        <f t="shared" si="50"/>
        <v>0</v>
      </c>
      <c r="P49" s="203">
        <f t="shared" si="50"/>
        <v>0</v>
      </c>
      <c r="Q49" s="203">
        <v>0</v>
      </c>
      <c r="R49" s="203">
        <f t="shared" si="50"/>
        <v>0</v>
      </c>
      <c r="S49" s="203">
        <f t="shared" si="50"/>
        <v>0</v>
      </c>
      <c r="T49" s="203">
        <f t="shared" si="50"/>
        <v>0</v>
      </c>
      <c r="U49" s="203">
        <f t="shared" si="50"/>
        <v>0</v>
      </c>
      <c r="V49" s="203">
        <f t="shared" si="50"/>
        <v>0</v>
      </c>
      <c r="W49" s="203">
        <f t="shared" si="50"/>
        <v>0</v>
      </c>
      <c r="X49" s="203">
        <f t="shared" si="50"/>
        <v>0</v>
      </c>
      <c r="Y49" s="203">
        <f t="shared" si="50"/>
        <v>0</v>
      </c>
      <c r="Z49" s="203">
        <f t="shared" si="50"/>
        <v>0</v>
      </c>
      <c r="AA49" s="203">
        <f t="shared" si="50"/>
        <v>0</v>
      </c>
      <c r="AB49" s="203">
        <f t="shared" si="50"/>
        <v>0</v>
      </c>
      <c r="AC49" s="203">
        <f t="shared" si="50"/>
        <v>0</v>
      </c>
      <c r="AD49" s="203">
        <f t="shared" si="50"/>
        <v>0</v>
      </c>
      <c r="AE49" s="203">
        <f t="shared" si="50"/>
        <v>0</v>
      </c>
      <c r="AF49" s="203">
        <f t="shared" si="50"/>
        <v>0</v>
      </c>
      <c r="AG49" s="203">
        <f t="shared" si="50"/>
        <v>0</v>
      </c>
      <c r="AH49" s="203">
        <f t="shared" si="50"/>
        <v>0</v>
      </c>
      <c r="AI49" s="203">
        <f t="shared" si="50"/>
        <v>0</v>
      </c>
      <c r="AJ49" s="203">
        <f t="shared" si="50"/>
        <v>0</v>
      </c>
      <c r="AK49" s="203">
        <f t="shared" si="50"/>
        <v>0</v>
      </c>
      <c r="AL49" s="203">
        <f t="shared" si="50"/>
        <v>0</v>
      </c>
      <c r="AM49" s="203">
        <f t="shared" si="50"/>
        <v>0</v>
      </c>
      <c r="AN49" s="203">
        <f t="shared" si="50"/>
        <v>0</v>
      </c>
      <c r="AO49" s="203">
        <f t="shared" si="50"/>
        <v>0</v>
      </c>
      <c r="AP49" s="203">
        <f t="shared" si="50"/>
        <v>0</v>
      </c>
      <c r="AQ49" s="203">
        <f t="shared" si="50"/>
        <v>0</v>
      </c>
      <c r="AR49" s="203">
        <f t="shared" si="50"/>
        <v>0</v>
      </c>
      <c r="AS49" s="318"/>
      <c r="AT49" s="363"/>
      <c r="AU49" s="121"/>
      <c r="AV49" s="121"/>
      <c r="AW49" s="155"/>
    </row>
    <row r="50" spans="1:49" s="100" customFormat="1" ht="24">
      <c r="A50" s="408"/>
      <c r="B50" s="409"/>
      <c r="C50" s="409"/>
      <c r="D50" s="410"/>
      <c r="E50" s="204" t="s">
        <v>44</v>
      </c>
      <c r="F50" s="203">
        <f>F58</f>
        <v>599.4</v>
      </c>
      <c r="G50" s="203">
        <f t="shared" si="50"/>
        <v>0</v>
      </c>
      <c r="H50" s="203">
        <f>G50/F50*100</f>
        <v>0</v>
      </c>
      <c r="I50" s="203">
        <f t="shared" si="50"/>
        <v>0</v>
      </c>
      <c r="J50" s="203">
        <f t="shared" si="50"/>
        <v>0</v>
      </c>
      <c r="K50" s="203">
        <v>0</v>
      </c>
      <c r="L50" s="203">
        <f t="shared" si="50"/>
        <v>0</v>
      </c>
      <c r="M50" s="203">
        <f t="shared" si="50"/>
        <v>0</v>
      </c>
      <c r="N50" s="203">
        <v>0</v>
      </c>
      <c r="O50" s="203">
        <f t="shared" si="50"/>
        <v>119.8</v>
      </c>
      <c r="P50" s="203">
        <f t="shared" si="50"/>
        <v>0</v>
      </c>
      <c r="Q50" s="203">
        <f t="shared" ref="Q50" si="51">P50/O50*100</f>
        <v>0</v>
      </c>
      <c r="R50" s="203">
        <f t="shared" si="50"/>
        <v>0</v>
      </c>
      <c r="S50" s="203">
        <f t="shared" si="50"/>
        <v>0</v>
      </c>
      <c r="T50" s="203">
        <f t="shared" si="50"/>
        <v>0</v>
      </c>
      <c r="U50" s="203">
        <f t="shared" si="50"/>
        <v>0</v>
      </c>
      <c r="V50" s="203">
        <f t="shared" si="50"/>
        <v>0</v>
      </c>
      <c r="W50" s="203">
        <f t="shared" si="50"/>
        <v>0</v>
      </c>
      <c r="X50" s="203">
        <f t="shared" si="50"/>
        <v>179.7</v>
      </c>
      <c r="Y50" s="203">
        <f t="shared" si="50"/>
        <v>0</v>
      </c>
      <c r="Z50" s="203">
        <f t="shared" si="50"/>
        <v>0</v>
      </c>
      <c r="AA50" s="203">
        <f t="shared" si="50"/>
        <v>0</v>
      </c>
      <c r="AB50" s="203">
        <f t="shared" si="50"/>
        <v>0</v>
      </c>
      <c r="AC50" s="203">
        <f t="shared" si="50"/>
        <v>0</v>
      </c>
      <c r="AD50" s="203">
        <f t="shared" si="50"/>
        <v>0</v>
      </c>
      <c r="AE50" s="203">
        <f t="shared" si="50"/>
        <v>0</v>
      </c>
      <c r="AF50" s="203">
        <f t="shared" si="50"/>
        <v>0</v>
      </c>
      <c r="AG50" s="203">
        <f t="shared" si="50"/>
        <v>179.7</v>
      </c>
      <c r="AH50" s="203">
        <f t="shared" si="50"/>
        <v>0</v>
      </c>
      <c r="AI50" s="203">
        <f t="shared" si="50"/>
        <v>0</v>
      </c>
      <c r="AJ50" s="203">
        <f t="shared" si="50"/>
        <v>0</v>
      </c>
      <c r="AK50" s="203">
        <f t="shared" si="50"/>
        <v>0</v>
      </c>
      <c r="AL50" s="203">
        <f t="shared" si="50"/>
        <v>0</v>
      </c>
      <c r="AM50" s="203">
        <f t="shared" si="50"/>
        <v>120.2</v>
      </c>
      <c r="AN50" s="203">
        <f t="shared" si="50"/>
        <v>0</v>
      </c>
      <c r="AO50" s="203">
        <f t="shared" si="50"/>
        <v>0</v>
      </c>
      <c r="AP50" s="203">
        <f t="shared" si="50"/>
        <v>0</v>
      </c>
      <c r="AQ50" s="203">
        <f t="shared" si="50"/>
        <v>0</v>
      </c>
      <c r="AR50" s="203">
        <f t="shared" si="50"/>
        <v>0</v>
      </c>
      <c r="AS50" s="318"/>
      <c r="AT50" s="363"/>
      <c r="AU50" s="121"/>
      <c r="AV50" s="121"/>
      <c r="AW50" s="155"/>
    </row>
    <row r="51" spans="1:49" s="100" customFormat="1" ht="24">
      <c r="A51" s="411"/>
      <c r="B51" s="412"/>
      <c r="C51" s="412"/>
      <c r="D51" s="413"/>
      <c r="E51" s="205" t="s">
        <v>257</v>
      </c>
      <c r="F51" s="203">
        <f>F59</f>
        <v>0</v>
      </c>
      <c r="G51" s="203">
        <f t="shared" si="50"/>
        <v>0</v>
      </c>
      <c r="H51" s="203">
        <v>0</v>
      </c>
      <c r="I51" s="203">
        <f t="shared" si="50"/>
        <v>0</v>
      </c>
      <c r="J51" s="203">
        <f t="shared" si="50"/>
        <v>0</v>
      </c>
      <c r="K51" s="203">
        <f t="shared" si="50"/>
        <v>0</v>
      </c>
      <c r="L51" s="203">
        <f t="shared" si="50"/>
        <v>0</v>
      </c>
      <c r="M51" s="203">
        <f t="shared" si="50"/>
        <v>0</v>
      </c>
      <c r="N51" s="203">
        <v>0</v>
      </c>
      <c r="O51" s="203">
        <f t="shared" si="50"/>
        <v>0</v>
      </c>
      <c r="P51" s="203">
        <f t="shared" si="50"/>
        <v>0</v>
      </c>
      <c r="Q51" s="203">
        <f t="shared" si="50"/>
        <v>0</v>
      </c>
      <c r="R51" s="203">
        <f t="shared" si="50"/>
        <v>0</v>
      </c>
      <c r="S51" s="203">
        <f t="shared" si="50"/>
        <v>0</v>
      </c>
      <c r="T51" s="203">
        <f t="shared" si="50"/>
        <v>0</v>
      </c>
      <c r="U51" s="203">
        <f t="shared" si="50"/>
        <v>0</v>
      </c>
      <c r="V51" s="203">
        <f t="shared" si="50"/>
        <v>0</v>
      </c>
      <c r="W51" s="203">
        <f t="shared" si="50"/>
        <v>0</v>
      </c>
      <c r="X51" s="203">
        <f t="shared" si="50"/>
        <v>0</v>
      </c>
      <c r="Y51" s="203">
        <f t="shared" si="50"/>
        <v>0</v>
      </c>
      <c r="Z51" s="203">
        <f t="shared" si="50"/>
        <v>0</v>
      </c>
      <c r="AA51" s="203">
        <f t="shared" si="50"/>
        <v>0</v>
      </c>
      <c r="AB51" s="203">
        <f t="shared" si="50"/>
        <v>0</v>
      </c>
      <c r="AC51" s="203">
        <f t="shared" si="50"/>
        <v>0</v>
      </c>
      <c r="AD51" s="203">
        <f t="shared" si="50"/>
        <v>0</v>
      </c>
      <c r="AE51" s="203">
        <f t="shared" si="50"/>
        <v>0</v>
      </c>
      <c r="AF51" s="203">
        <f t="shared" si="50"/>
        <v>0</v>
      </c>
      <c r="AG51" s="203">
        <f t="shared" si="50"/>
        <v>0</v>
      </c>
      <c r="AH51" s="203">
        <f t="shared" si="50"/>
        <v>0</v>
      </c>
      <c r="AI51" s="203">
        <f t="shared" si="50"/>
        <v>0</v>
      </c>
      <c r="AJ51" s="203">
        <f t="shared" si="50"/>
        <v>0</v>
      </c>
      <c r="AK51" s="203">
        <f t="shared" si="50"/>
        <v>0</v>
      </c>
      <c r="AL51" s="203">
        <f t="shared" si="50"/>
        <v>0</v>
      </c>
      <c r="AM51" s="203">
        <f t="shared" si="50"/>
        <v>0</v>
      </c>
      <c r="AN51" s="203">
        <f t="shared" si="50"/>
        <v>0</v>
      </c>
      <c r="AO51" s="203">
        <f t="shared" si="50"/>
        <v>0</v>
      </c>
      <c r="AP51" s="203">
        <f t="shared" si="50"/>
        <v>0</v>
      </c>
      <c r="AQ51" s="203">
        <f t="shared" si="50"/>
        <v>0</v>
      </c>
      <c r="AR51" s="203">
        <f t="shared" si="50"/>
        <v>0</v>
      </c>
      <c r="AS51" s="319"/>
      <c r="AT51" s="364"/>
      <c r="AU51" s="121"/>
      <c r="AV51" s="121"/>
      <c r="AW51" s="155"/>
    </row>
    <row r="52" spans="1:49" s="100" customFormat="1" ht="84">
      <c r="A52" s="133" t="s">
        <v>370</v>
      </c>
      <c r="B52" s="161" t="s">
        <v>371</v>
      </c>
      <c r="C52" s="162" t="s">
        <v>276</v>
      </c>
      <c r="D52" s="172" t="s">
        <v>372</v>
      </c>
      <c r="E52" s="109" t="s">
        <v>275</v>
      </c>
      <c r="F52" s="203" t="s">
        <v>279</v>
      </c>
      <c r="G52" s="203" t="s">
        <v>279</v>
      </c>
      <c r="H52" s="203" t="s">
        <v>279</v>
      </c>
      <c r="I52" s="203" t="s">
        <v>279</v>
      </c>
      <c r="J52" s="203" t="s">
        <v>279</v>
      </c>
      <c r="K52" s="203" t="s">
        <v>279</v>
      </c>
      <c r="L52" s="203" t="s">
        <v>279</v>
      </c>
      <c r="M52" s="203" t="s">
        <v>279</v>
      </c>
      <c r="N52" s="203" t="s">
        <v>279</v>
      </c>
      <c r="O52" s="203" t="s">
        <v>279</v>
      </c>
      <c r="P52" s="203" t="s">
        <v>279</v>
      </c>
      <c r="Q52" s="203" t="s">
        <v>279</v>
      </c>
      <c r="R52" s="203" t="s">
        <v>279</v>
      </c>
      <c r="S52" s="203" t="s">
        <v>279</v>
      </c>
      <c r="T52" s="203" t="s">
        <v>279</v>
      </c>
      <c r="U52" s="203" t="s">
        <v>279</v>
      </c>
      <c r="V52" s="203" t="s">
        <v>279</v>
      </c>
      <c r="W52" s="203" t="s">
        <v>279</v>
      </c>
      <c r="X52" s="203" t="s">
        <v>279</v>
      </c>
      <c r="Y52" s="203" t="s">
        <v>279</v>
      </c>
      <c r="Z52" s="203" t="s">
        <v>279</v>
      </c>
      <c r="AA52" s="203" t="s">
        <v>279</v>
      </c>
      <c r="AB52" s="203" t="s">
        <v>279</v>
      </c>
      <c r="AC52" s="203" t="s">
        <v>279</v>
      </c>
      <c r="AD52" s="203" t="s">
        <v>279</v>
      </c>
      <c r="AE52" s="203" t="s">
        <v>279</v>
      </c>
      <c r="AF52" s="203" t="s">
        <v>279</v>
      </c>
      <c r="AG52" s="203" t="s">
        <v>279</v>
      </c>
      <c r="AH52" s="203" t="s">
        <v>279</v>
      </c>
      <c r="AI52" s="203" t="s">
        <v>279</v>
      </c>
      <c r="AJ52" s="203" t="s">
        <v>279</v>
      </c>
      <c r="AK52" s="203" t="s">
        <v>279</v>
      </c>
      <c r="AL52" s="203" t="s">
        <v>279</v>
      </c>
      <c r="AM52" s="203" t="s">
        <v>279</v>
      </c>
      <c r="AN52" s="203" t="s">
        <v>279</v>
      </c>
      <c r="AO52" s="203" t="s">
        <v>279</v>
      </c>
      <c r="AP52" s="203" t="s">
        <v>279</v>
      </c>
      <c r="AQ52" s="203" t="s">
        <v>279</v>
      </c>
      <c r="AR52" s="203" t="s">
        <v>279</v>
      </c>
      <c r="AS52" s="145" t="s">
        <v>311</v>
      </c>
      <c r="AT52" s="198"/>
      <c r="AU52" s="121"/>
      <c r="AV52" s="121"/>
      <c r="AW52" s="155"/>
    </row>
    <row r="53" spans="1:49" s="100" customFormat="1" ht="264">
      <c r="A53" s="199" t="s">
        <v>373</v>
      </c>
      <c r="B53" s="161" t="s">
        <v>374</v>
      </c>
      <c r="C53" s="162" t="s">
        <v>375</v>
      </c>
      <c r="D53" s="172" t="s">
        <v>376</v>
      </c>
      <c r="E53" s="109" t="s">
        <v>275</v>
      </c>
      <c r="F53" s="203" t="s">
        <v>279</v>
      </c>
      <c r="G53" s="203" t="s">
        <v>279</v>
      </c>
      <c r="H53" s="203" t="s">
        <v>279</v>
      </c>
      <c r="I53" s="203" t="s">
        <v>279</v>
      </c>
      <c r="J53" s="203" t="s">
        <v>279</v>
      </c>
      <c r="K53" s="203" t="s">
        <v>279</v>
      </c>
      <c r="L53" s="203" t="s">
        <v>279</v>
      </c>
      <c r="M53" s="203" t="s">
        <v>279</v>
      </c>
      <c r="N53" s="203" t="s">
        <v>279</v>
      </c>
      <c r="O53" s="203" t="s">
        <v>279</v>
      </c>
      <c r="P53" s="203" t="s">
        <v>279</v>
      </c>
      <c r="Q53" s="203" t="s">
        <v>279</v>
      </c>
      <c r="R53" s="203" t="s">
        <v>279</v>
      </c>
      <c r="S53" s="203" t="s">
        <v>279</v>
      </c>
      <c r="T53" s="203" t="s">
        <v>279</v>
      </c>
      <c r="U53" s="203" t="s">
        <v>279</v>
      </c>
      <c r="V53" s="203" t="s">
        <v>279</v>
      </c>
      <c r="W53" s="203" t="s">
        <v>279</v>
      </c>
      <c r="X53" s="203" t="s">
        <v>279</v>
      </c>
      <c r="Y53" s="203" t="s">
        <v>279</v>
      </c>
      <c r="Z53" s="203" t="s">
        <v>279</v>
      </c>
      <c r="AA53" s="203" t="s">
        <v>279</v>
      </c>
      <c r="AB53" s="203" t="s">
        <v>279</v>
      </c>
      <c r="AC53" s="203" t="s">
        <v>279</v>
      </c>
      <c r="AD53" s="203" t="s">
        <v>279</v>
      </c>
      <c r="AE53" s="203" t="s">
        <v>279</v>
      </c>
      <c r="AF53" s="203" t="s">
        <v>279</v>
      </c>
      <c r="AG53" s="203" t="s">
        <v>279</v>
      </c>
      <c r="AH53" s="203" t="s">
        <v>279</v>
      </c>
      <c r="AI53" s="203" t="s">
        <v>279</v>
      </c>
      <c r="AJ53" s="203" t="s">
        <v>279</v>
      </c>
      <c r="AK53" s="203" t="s">
        <v>279</v>
      </c>
      <c r="AL53" s="203" t="s">
        <v>279</v>
      </c>
      <c r="AM53" s="203" t="s">
        <v>279</v>
      </c>
      <c r="AN53" s="203" t="s">
        <v>279</v>
      </c>
      <c r="AO53" s="203" t="s">
        <v>279</v>
      </c>
      <c r="AP53" s="203" t="s">
        <v>279</v>
      </c>
      <c r="AQ53" s="203" t="s">
        <v>279</v>
      </c>
      <c r="AR53" s="203" t="s">
        <v>279</v>
      </c>
      <c r="AS53" s="201" t="s">
        <v>306</v>
      </c>
      <c r="AT53" s="134"/>
      <c r="AU53" s="121"/>
      <c r="AV53" s="121"/>
      <c r="AW53" s="155"/>
    </row>
    <row r="54" spans="1:49" s="100" customFormat="1" ht="72">
      <c r="A54" s="133" t="s">
        <v>377</v>
      </c>
      <c r="B54" s="200" t="s">
        <v>378</v>
      </c>
      <c r="C54" s="162" t="s">
        <v>276</v>
      </c>
      <c r="D54" s="172" t="s">
        <v>379</v>
      </c>
      <c r="E54" s="109" t="s">
        <v>275</v>
      </c>
      <c r="F54" s="203" t="s">
        <v>279</v>
      </c>
      <c r="G54" s="203" t="s">
        <v>279</v>
      </c>
      <c r="H54" s="203" t="s">
        <v>279</v>
      </c>
      <c r="I54" s="203" t="s">
        <v>279</v>
      </c>
      <c r="J54" s="203" t="s">
        <v>279</v>
      </c>
      <c r="K54" s="203" t="s">
        <v>279</v>
      </c>
      <c r="L54" s="203" t="s">
        <v>279</v>
      </c>
      <c r="M54" s="203" t="s">
        <v>279</v>
      </c>
      <c r="N54" s="203" t="s">
        <v>279</v>
      </c>
      <c r="O54" s="203" t="s">
        <v>279</v>
      </c>
      <c r="P54" s="203" t="s">
        <v>279</v>
      </c>
      <c r="Q54" s="203" t="s">
        <v>279</v>
      </c>
      <c r="R54" s="203" t="s">
        <v>279</v>
      </c>
      <c r="S54" s="203" t="s">
        <v>279</v>
      </c>
      <c r="T54" s="203" t="s">
        <v>279</v>
      </c>
      <c r="U54" s="203" t="s">
        <v>279</v>
      </c>
      <c r="V54" s="203" t="s">
        <v>279</v>
      </c>
      <c r="W54" s="203" t="s">
        <v>279</v>
      </c>
      <c r="X54" s="203" t="s">
        <v>279</v>
      </c>
      <c r="Y54" s="203" t="s">
        <v>279</v>
      </c>
      <c r="Z54" s="203" t="s">
        <v>279</v>
      </c>
      <c r="AA54" s="203" t="s">
        <v>279</v>
      </c>
      <c r="AB54" s="203" t="s">
        <v>279</v>
      </c>
      <c r="AC54" s="203" t="s">
        <v>279</v>
      </c>
      <c r="AD54" s="203" t="s">
        <v>279</v>
      </c>
      <c r="AE54" s="203" t="s">
        <v>279</v>
      </c>
      <c r="AF54" s="203" t="s">
        <v>279</v>
      </c>
      <c r="AG54" s="203" t="s">
        <v>279</v>
      </c>
      <c r="AH54" s="203" t="s">
        <v>279</v>
      </c>
      <c r="AI54" s="203" t="s">
        <v>279</v>
      </c>
      <c r="AJ54" s="203" t="s">
        <v>279</v>
      </c>
      <c r="AK54" s="203" t="s">
        <v>279</v>
      </c>
      <c r="AL54" s="203" t="s">
        <v>279</v>
      </c>
      <c r="AM54" s="203" t="s">
        <v>279</v>
      </c>
      <c r="AN54" s="203" t="s">
        <v>279</v>
      </c>
      <c r="AO54" s="203" t="s">
        <v>279</v>
      </c>
      <c r="AP54" s="203" t="s">
        <v>279</v>
      </c>
      <c r="AQ54" s="203"/>
      <c r="AR54" s="203"/>
      <c r="AS54" s="145" t="s">
        <v>312</v>
      </c>
      <c r="AT54" s="134"/>
      <c r="AU54" s="121"/>
      <c r="AV54" s="121"/>
      <c r="AW54" s="155"/>
    </row>
    <row r="55" spans="1:49" s="100" customFormat="1" ht="84">
      <c r="A55" s="136" t="s">
        <v>380</v>
      </c>
      <c r="B55" s="206" t="s">
        <v>278</v>
      </c>
      <c r="C55" s="135" t="s">
        <v>276</v>
      </c>
      <c r="D55" s="172" t="s">
        <v>381</v>
      </c>
      <c r="E55" s="109" t="s">
        <v>275</v>
      </c>
      <c r="F55" s="203" t="s">
        <v>279</v>
      </c>
      <c r="G55" s="203" t="s">
        <v>279</v>
      </c>
      <c r="H55" s="203" t="s">
        <v>279</v>
      </c>
      <c r="I55" s="203" t="s">
        <v>279</v>
      </c>
      <c r="J55" s="203" t="s">
        <v>279</v>
      </c>
      <c r="K55" s="203" t="s">
        <v>279</v>
      </c>
      <c r="L55" s="203" t="s">
        <v>279</v>
      </c>
      <c r="M55" s="203" t="s">
        <v>279</v>
      </c>
      <c r="N55" s="203" t="s">
        <v>279</v>
      </c>
      <c r="O55" s="203" t="s">
        <v>279</v>
      </c>
      <c r="P55" s="203" t="s">
        <v>279</v>
      </c>
      <c r="Q55" s="203" t="s">
        <v>279</v>
      </c>
      <c r="R55" s="203" t="s">
        <v>279</v>
      </c>
      <c r="S55" s="203" t="s">
        <v>279</v>
      </c>
      <c r="T55" s="203" t="s">
        <v>279</v>
      </c>
      <c r="U55" s="203" t="s">
        <v>279</v>
      </c>
      <c r="V55" s="203" t="s">
        <v>279</v>
      </c>
      <c r="W55" s="203" t="s">
        <v>279</v>
      </c>
      <c r="X55" s="203" t="s">
        <v>279</v>
      </c>
      <c r="Y55" s="203" t="s">
        <v>279</v>
      </c>
      <c r="Z55" s="203" t="s">
        <v>279</v>
      </c>
      <c r="AA55" s="203" t="s">
        <v>279</v>
      </c>
      <c r="AB55" s="203" t="s">
        <v>279</v>
      </c>
      <c r="AC55" s="203" t="s">
        <v>279</v>
      </c>
      <c r="AD55" s="203" t="s">
        <v>279</v>
      </c>
      <c r="AE55" s="203" t="s">
        <v>279</v>
      </c>
      <c r="AF55" s="203" t="s">
        <v>279</v>
      </c>
      <c r="AG55" s="203" t="s">
        <v>279</v>
      </c>
      <c r="AH55" s="203" t="s">
        <v>279</v>
      </c>
      <c r="AI55" s="203" t="s">
        <v>279</v>
      </c>
      <c r="AJ55" s="203" t="s">
        <v>279</v>
      </c>
      <c r="AK55" s="203" t="s">
        <v>279</v>
      </c>
      <c r="AL55" s="203" t="s">
        <v>279</v>
      </c>
      <c r="AM55" s="203" t="s">
        <v>279</v>
      </c>
      <c r="AN55" s="203" t="s">
        <v>279</v>
      </c>
      <c r="AO55" s="203" t="s">
        <v>279</v>
      </c>
      <c r="AP55" s="203" t="s">
        <v>279</v>
      </c>
      <c r="AQ55" s="203"/>
      <c r="AR55" s="203"/>
      <c r="AS55" s="145" t="s">
        <v>313</v>
      </c>
      <c r="AT55" s="134"/>
      <c r="AU55" s="121"/>
      <c r="AV55" s="121"/>
      <c r="AW55" s="155"/>
    </row>
    <row r="56" spans="1:49" s="31" customFormat="1" ht="12.75">
      <c r="A56" s="365" t="s">
        <v>382</v>
      </c>
      <c r="B56" s="374" t="s">
        <v>259</v>
      </c>
      <c r="C56" s="414" t="s">
        <v>271</v>
      </c>
      <c r="D56" s="417" t="s">
        <v>383</v>
      </c>
      <c r="E56" s="107" t="s">
        <v>42</v>
      </c>
      <c r="F56" s="104">
        <f>SUM(F57:F59)</f>
        <v>599.4</v>
      </c>
      <c r="G56" s="104">
        <f t="shared" ref="G56" si="52">SUM(G57:G59)</f>
        <v>0</v>
      </c>
      <c r="H56" s="104">
        <f>G56/F56*100</f>
        <v>0</v>
      </c>
      <c r="I56" s="207">
        <f t="shared" ref="I56:AP56" si="53">I57+I58+I59</f>
        <v>0</v>
      </c>
      <c r="J56" s="207">
        <f t="shared" si="53"/>
        <v>0</v>
      </c>
      <c r="K56" s="104">
        <v>0</v>
      </c>
      <c r="L56" s="207">
        <f t="shared" si="53"/>
        <v>0</v>
      </c>
      <c r="M56" s="207">
        <f t="shared" si="53"/>
        <v>0</v>
      </c>
      <c r="N56" s="207">
        <v>0</v>
      </c>
      <c r="O56" s="207">
        <f t="shared" si="53"/>
        <v>119.8</v>
      </c>
      <c r="P56" s="207">
        <f t="shared" si="53"/>
        <v>0</v>
      </c>
      <c r="Q56" s="104">
        <f t="shared" ref="Q56:Q58" si="54">P56/O56*100</f>
        <v>0</v>
      </c>
      <c r="R56" s="207">
        <f t="shared" si="53"/>
        <v>0</v>
      </c>
      <c r="S56" s="207">
        <f t="shared" si="53"/>
        <v>0</v>
      </c>
      <c r="T56" s="207">
        <f t="shared" si="53"/>
        <v>0</v>
      </c>
      <c r="U56" s="207">
        <f t="shared" si="53"/>
        <v>0</v>
      </c>
      <c r="V56" s="207">
        <f t="shared" si="53"/>
        <v>0</v>
      </c>
      <c r="W56" s="104">
        <v>0</v>
      </c>
      <c r="X56" s="207">
        <f t="shared" si="53"/>
        <v>179.7</v>
      </c>
      <c r="Y56" s="207">
        <f t="shared" si="53"/>
        <v>0</v>
      </c>
      <c r="Z56" s="207">
        <f t="shared" si="53"/>
        <v>0</v>
      </c>
      <c r="AA56" s="207">
        <f t="shared" si="53"/>
        <v>0</v>
      </c>
      <c r="AB56" s="207">
        <f t="shared" si="53"/>
        <v>0</v>
      </c>
      <c r="AC56" s="207">
        <f t="shared" si="53"/>
        <v>0</v>
      </c>
      <c r="AD56" s="207">
        <f t="shared" si="53"/>
        <v>0</v>
      </c>
      <c r="AE56" s="207">
        <f t="shared" si="53"/>
        <v>0</v>
      </c>
      <c r="AF56" s="207">
        <f t="shared" si="53"/>
        <v>0</v>
      </c>
      <c r="AG56" s="207">
        <f t="shared" si="53"/>
        <v>179.7</v>
      </c>
      <c r="AH56" s="207">
        <f t="shared" si="53"/>
        <v>0</v>
      </c>
      <c r="AI56" s="105">
        <f>AH56/AG56*100</f>
        <v>0</v>
      </c>
      <c r="AJ56" s="207">
        <f t="shared" si="53"/>
        <v>0</v>
      </c>
      <c r="AK56" s="207">
        <f t="shared" si="53"/>
        <v>0</v>
      </c>
      <c r="AL56" s="207">
        <f t="shared" si="53"/>
        <v>0</v>
      </c>
      <c r="AM56" s="207">
        <f t="shared" si="53"/>
        <v>120.2</v>
      </c>
      <c r="AN56" s="207">
        <f t="shared" si="53"/>
        <v>0</v>
      </c>
      <c r="AO56" s="207">
        <f t="shared" si="53"/>
        <v>0</v>
      </c>
      <c r="AP56" s="207">
        <f t="shared" si="53"/>
        <v>0</v>
      </c>
      <c r="AQ56" s="104"/>
      <c r="AR56" s="104"/>
      <c r="AS56" s="344" t="s">
        <v>314</v>
      </c>
      <c r="AT56" s="420"/>
      <c r="AU56" s="121"/>
      <c r="AV56" s="121"/>
      <c r="AW56" s="155"/>
    </row>
    <row r="57" spans="1:49" s="31" customFormat="1" ht="36">
      <c r="A57" s="366"/>
      <c r="B57" s="375"/>
      <c r="C57" s="415"/>
      <c r="D57" s="418"/>
      <c r="E57" s="108" t="s">
        <v>3</v>
      </c>
      <c r="F57" s="104">
        <f>I57+L57+O57+R57+U57+X57+AA57+AD57+AG57+AJ57+AM57+AP57</f>
        <v>0</v>
      </c>
      <c r="G57" s="104">
        <f>J57+M57+P57+S57+V57+Y57+AB57+AE57+AH57+AK57+AN57+AQ57</f>
        <v>0</v>
      </c>
      <c r="H57" s="104">
        <v>0</v>
      </c>
      <c r="I57" s="104">
        <v>0</v>
      </c>
      <c r="J57" s="104">
        <v>0</v>
      </c>
      <c r="K57" s="104">
        <v>0</v>
      </c>
      <c r="L57" s="126">
        <v>0</v>
      </c>
      <c r="M57" s="104">
        <v>0</v>
      </c>
      <c r="N57" s="208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5">
        <v>0</v>
      </c>
      <c r="AI57" s="105">
        <v>0</v>
      </c>
      <c r="AJ57" s="104">
        <v>0</v>
      </c>
      <c r="AK57" s="104">
        <v>0</v>
      </c>
      <c r="AL57" s="104">
        <v>0</v>
      </c>
      <c r="AM57" s="105">
        <v>0</v>
      </c>
      <c r="AN57" s="105">
        <v>0</v>
      </c>
      <c r="AO57" s="105">
        <v>0</v>
      </c>
      <c r="AP57" s="104">
        <v>0</v>
      </c>
      <c r="AQ57" s="104"/>
      <c r="AR57" s="104"/>
      <c r="AS57" s="345"/>
      <c r="AT57" s="421"/>
      <c r="AU57" s="121"/>
      <c r="AV57" s="121"/>
      <c r="AW57" s="155"/>
    </row>
    <row r="58" spans="1:49" s="31" customFormat="1" ht="12.75">
      <c r="A58" s="366"/>
      <c r="B58" s="375"/>
      <c r="C58" s="415"/>
      <c r="D58" s="418"/>
      <c r="E58" s="108" t="s">
        <v>44</v>
      </c>
      <c r="F58" s="104">
        <f t="shared" ref="F58:G59" si="55">I58+L58+O58+R58+U58+X58+AA58+AD58+AG58+AJ58+AM58+AP58</f>
        <v>599.4</v>
      </c>
      <c r="G58" s="104">
        <f t="shared" si="55"/>
        <v>0</v>
      </c>
      <c r="H58" s="104">
        <f>G58/F58*100</f>
        <v>0</v>
      </c>
      <c r="I58" s="104">
        <v>0</v>
      </c>
      <c r="J58" s="104">
        <v>0</v>
      </c>
      <c r="K58" s="104">
        <v>0</v>
      </c>
      <c r="L58" s="126">
        <v>0</v>
      </c>
      <c r="M58" s="104">
        <v>0</v>
      </c>
      <c r="N58" s="208">
        <v>0</v>
      </c>
      <c r="O58" s="104">
        <v>119.8</v>
      </c>
      <c r="P58" s="104">
        <v>0</v>
      </c>
      <c r="Q58" s="104">
        <f t="shared" si="54"/>
        <v>0</v>
      </c>
      <c r="R58" s="104">
        <v>0</v>
      </c>
      <c r="S58" s="104">
        <v>0</v>
      </c>
      <c r="T58" s="104">
        <v>0</v>
      </c>
      <c r="U58" s="105">
        <v>0</v>
      </c>
      <c r="V58" s="105">
        <v>0</v>
      </c>
      <c r="W58" s="104">
        <v>0</v>
      </c>
      <c r="X58" s="105">
        <v>179.7</v>
      </c>
      <c r="Y58" s="105">
        <v>0</v>
      </c>
      <c r="Z58" s="105">
        <f>Y58/X58*100</f>
        <v>0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179.7</v>
      </c>
      <c r="AH58" s="105">
        <v>0</v>
      </c>
      <c r="AI58" s="105">
        <f>AH58/AG58*100</f>
        <v>0</v>
      </c>
      <c r="AJ58" s="104">
        <v>0</v>
      </c>
      <c r="AK58" s="104">
        <v>0</v>
      </c>
      <c r="AL58" s="104">
        <v>0</v>
      </c>
      <c r="AM58" s="105">
        <v>120.2</v>
      </c>
      <c r="AN58" s="105">
        <v>0</v>
      </c>
      <c r="AO58" s="105">
        <v>0</v>
      </c>
      <c r="AP58" s="104">
        <v>0</v>
      </c>
      <c r="AQ58" s="104"/>
      <c r="AR58" s="104"/>
      <c r="AS58" s="345"/>
      <c r="AT58" s="421"/>
      <c r="AU58" s="121"/>
      <c r="AV58" s="121"/>
      <c r="AW58" s="155"/>
    </row>
    <row r="59" spans="1:49" s="31" customFormat="1" ht="24">
      <c r="A59" s="367"/>
      <c r="B59" s="376"/>
      <c r="C59" s="416"/>
      <c r="D59" s="419"/>
      <c r="E59" s="109" t="s">
        <v>257</v>
      </c>
      <c r="F59" s="104">
        <f t="shared" si="55"/>
        <v>0</v>
      </c>
      <c r="G59" s="104">
        <f t="shared" si="55"/>
        <v>0</v>
      </c>
      <c r="H59" s="104">
        <v>0</v>
      </c>
      <c r="I59" s="104">
        <v>0</v>
      </c>
      <c r="J59" s="104">
        <v>0</v>
      </c>
      <c r="K59" s="104">
        <v>0</v>
      </c>
      <c r="L59" s="126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05">
        <v>0</v>
      </c>
      <c r="AJ59" s="104">
        <v>0</v>
      </c>
      <c r="AK59" s="104">
        <v>0</v>
      </c>
      <c r="AL59" s="104">
        <v>0</v>
      </c>
      <c r="AM59" s="105">
        <v>0</v>
      </c>
      <c r="AN59" s="105">
        <v>0</v>
      </c>
      <c r="AO59" s="105">
        <v>0</v>
      </c>
      <c r="AP59" s="104">
        <v>0</v>
      </c>
      <c r="AQ59" s="104"/>
      <c r="AR59" s="104"/>
      <c r="AS59" s="346"/>
      <c r="AT59" s="422"/>
      <c r="AU59" s="121"/>
      <c r="AV59" s="121"/>
      <c r="AW59" s="155"/>
    </row>
    <row r="60" spans="1:49" s="31" customFormat="1" ht="15.75">
      <c r="A60" s="350" t="s">
        <v>384</v>
      </c>
      <c r="B60" s="351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2"/>
      <c r="AU60" s="121"/>
      <c r="AV60" s="121"/>
      <c r="AW60" s="155"/>
    </row>
    <row r="61" spans="1:49" s="31" customFormat="1" ht="15.75">
      <c r="A61" s="350" t="s">
        <v>385</v>
      </c>
      <c r="B61" s="351"/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2"/>
      <c r="AU61" s="121"/>
      <c r="AV61" s="121"/>
      <c r="AW61" s="155"/>
    </row>
    <row r="62" spans="1:49" s="100" customFormat="1" ht="12.75">
      <c r="A62" s="353" t="s">
        <v>272</v>
      </c>
      <c r="B62" s="354"/>
      <c r="C62" s="354"/>
      <c r="D62" s="355"/>
      <c r="E62" s="129" t="s">
        <v>42</v>
      </c>
      <c r="F62" s="106">
        <f>F63+F64+F65</f>
        <v>10628.100000000002</v>
      </c>
      <c r="G62" s="106">
        <f t="shared" ref="G62:AP62" si="56">G63+G64+G65</f>
        <v>0</v>
      </c>
      <c r="H62" s="106">
        <f>G62/F62*100</f>
        <v>0</v>
      </c>
      <c r="I62" s="106">
        <f t="shared" si="56"/>
        <v>0</v>
      </c>
      <c r="J62" s="106">
        <f t="shared" si="56"/>
        <v>0</v>
      </c>
      <c r="K62" s="106">
        <v>0</v>
      </c>
      <c r="L62" s="106">
        <f t="shared" si="56"/>
        <v>2337.5</v>
      </c>
      <c r="M62" s="106">
        <f t="shared" si="56"/>
        <v>0</v>
      </c>
      <c r="N62" s="106">
        <f t="shared" si="56"/>
        <v>0</v>
      </c>
      <c r="O62" s="106">
        <f t="shared" si="56"/>
        <v>2141.4</v>
      </c>
      <c r="P62" s="106">
        <f t="shared" si="56"/>
        <v>0</v>
      </c>
      <c r="Q62" s="106">
        <f>P62/O62*100</f>
        <v>0</v>
      </c>
      <c r="R62" s="106">
        <f t="shared" si="56"/>
        <v>328.59999999999997</v>
      </c>
      <c r="S62" s="106">
        <f t="shared" si="56"/>
        <v>0</v>
      </c>
      <c r="T62" s="106">
        <f>S62/R62*100</f>
        <v>0</v>
      </c>
      <c r="U62" s="106">
        <f t="shared" si="56"/>
        <v>1220.6000000000001</v>
      </c>
      <c r="V62" s="106">
        <f t="shared" si="56"/>
        <v>0</v>
      </c>
      <c r="W62" s="106">
        <f t="shared" si="56"/>
        <v>0</v>
      </c>
      <c r="X62" s="106">
        <f t="shared" si="56"/>
        <v>1288.6000000000001</v>
      </c>
      <c r="Y62" s="106">
        <f t="shared" si="56"/>
        <v>0</v>
      </c>
      <c r="Z62" s="106">
        <f t="shared" si="56"/>
        <v>0</v>
      </c>
      <c r="AA62" s="106">
        <f t="shared" si="56"/>
        <v>1075.6000000000001</v>
      </c>
      <c r="AB62" s="106">
        <f t="shared" si="56"/>
        <v>0</v>
      </c>
      <c r="AC62" s="106">
        <f t="shared" si="56"/>
        <v>0</v>
      </c>
      <c r="AD62" s="106">
        <f t="shared" si="56"/>
        <v>150.6</v>
      </c>
      <c r="AE62" s="106">
        <f t="shared" si="56"/>
        <v>0</v>
      </c>
      <c r="AF62" s="106">
        <f t="shared" ref="AF62" si="57">AE62/AD62*100</f>
        <v>0</v>
      </c>
      <c r="AG62" s="106">
        <f t="shared" si="56"/>
        <v>200.6</v>
      </c>
      <c r="AH62" s="106">
        <f t="shared" si="56"/>
        <v>0</v>
      </c>
      <c r="AI62" s="106">
        <f t="shared" si="56"/>
        <v>0</v>
      </c>
      <c r="AJ62" s="106">
        <f t="shared" si="56"/>
        <v>162.6</v>
      </c>
      <c r="AK62" s="106">
        <f t="shared" si="56"/>
        <v>0</v>
      </c>
      <c r="AL62" s="106">
        <f t="shared" si="56"/>
        <v>0</v>
      </c>
      <c r="AM62" s="106">
        <f t="shared" si="56"/>
        <v>1350.0000000000002</v>
      </c>
      <c r="AN62" s="106">
        <f t="shared" si="56"/>
        <v>0</v>
      </c>
      <c r="AO62" s="106">
        <f t="shared" si="56"/>
        <v>0</v>
      </c>
      <c r="AP62" s="106">
        <f t="shared" si="56"/>
        <v>372</v>
      </c>
      <c r="AQ62" s="106">
        <f>AQ92+AQ100</f>
        <v>0</v>
      </c>
      <c r="AR62" s="106">
        <f>AR92+AR100</f>
        <v>0</v>
      </c>
      <c r="AS62" s="317"/>
      <c r="AT62" s="362"/>
      <c r="AU62" s="121"/>
      <c r="AV62" s="121"/>
      <c r="AW62" s="155"/>
    </row>
    <row r="63" spans="1:49" s="100" customFormat="1" ht="36">
      <c r="A63" s="356"/>
      <c r="B63" s="357"/>
      <c r="C63" s="357"/>
      <c r="D63" s="358"/>
      <c r="E63" s="111" t="s">
        <v>3</v>
      </c>
      <c r="F63" s="106">
        <f>F70+F74+F78</f>
        <v>0</v>
      </c>
      <c r="G63" s="106">
        <f t="shared" ref="G63:AR65" si="58">G70+G74+G78</f>
        <v>0</v>
      </c>
      <c r="H63" s="106">
        <v>0</v>
      </c>
      <c r="I63" s="106">
        <f t="shared" si="58"/>
        <v>0</v>
      </c>
      <c r="J63" s="106">
        <f t="shared" si="58"/>
        <v>0</v>
      </c>
      <c r="K63" s="106">
        <v>0</v>
      </c>
      <c r="L63" s="106">
        <f t="shared" si="58"/>
        <v>0</v>
      </c>
      <c r="M63" s="106">
        <f t="shared" si="58"/>
        <v>0</v>
      </c>
      <c r="N63" s="106">
        <f t="shared" si="58"/>
        <v>0</v>
      </c>
      <c r="O63" s="106">
        <f t="shared" si="58"/>
        <v>0</v>
      </c>
      <c r="P63" s="106">
        <f t="shared" si="58"/>
        <v>0</v>
      </c>
      <c r="Q63" s="106">
        <v>0</v>
      </c>
      <c r="R63" s="106">
        <f t="shared" si="58"/>
        <v>0</v>
      </c>
      <c r="S63" s="106">
        <f t="shared" si="58"/>
        <v>0</v>
      </c>
      <c r="T63" s="106">
        <v>0</v>
      </c>
      <c r="U63" s="106">
        <f t="shared" si="58"/>
        <v>0</v>
      </c>
      <c r="V63" s="106">
        <f t="shared" si="58"/>
        <v>0</v>
      </c>
      <c r="W63" s="106">
        <f t="shared" si="58"/>
        <v>0</v>
      </c>
      <c r="X63" s="106">
        <f t="shared" si="58"/>
        <v>0</v>
      </c>
      <c r="Y63" s="106">
        <f t="shared" si="58"/>
        <v>0</v>
      </c>
      <c r="Z63" s="106">
        <f t="shared" si="58"/>
        <v>0</v>
      </c>
      <c r="AA63" s="106">
        <f t="shared" si="58"/>
        <v>0</v>
      </c>
      <c r="AB63" s="106">
        <f t="shared" si="58"/>
        <v>0</v>
      </c>
      <c r="AC63" s="106">
        <f t="shared" si="58"/>
        <v>0</v>
      </c>
      <c r="AD63" s="106">
        <f t="shared" si="58"/>
        <v>0</v>
      </c>
      <c r="AE63" s="106">
        <f t="shared" si="58"/>
        <v>0</v>
      </c>
      <c r="AF63" s="106">
        <f t="shared" si="58"/>
        <v>0</v>
      </c>
      <c r="AG63" s="106">
        <f t="shared" si="58"/>
        <v>0</v>
      </c>
      <c r="AH63" s="106">
        <f t="shared" si="58"/>
        <v>0</v>
      </c>
      <c r="AI63" s="106">
        <f t="shared" si="58"/>
        <v>0</v>
      </c>
      <c r="AJ63" s="106">
        <f t="shared" si="58"/>
        <v>0</v>
      </c>
      <c r="AK63" s="106">
        <f t="shared" si="58"/>
        <v>0</v>
      </c>
      <c r="AL63" s="106">
        <f t="shared" si="58"/>
        <v>0</v>
      </c>
      <c r="AM63" s="106">
        <f t="shared" si="58"/>
        <v>0</v>
      </c>
      <c r="AN63" s="106">
        <f t="shared" si="58"/>
        <v>0</v>
      </c>
      <c r="AO63" s="106">
        <f t="shared" si="58"/>
        <v>0</v>
      </c>
      <c r="AP63" s="106">
        <f t="shared" si="58"/>
        <v>0</v>
      </c>
      <c r="AQ63" s="106">
        <f t="shared" si="58"/>
        <v>0</v>
      </c>
      <c r="AR63" s="106">
        <f t="shared" si="58"/>
        <v>0</v>
      </c>
      <c r="AS63" s="318"/>
      <c r="AT63" s="363"/>
      <c r="AU63" s="121"/>
      <c r="AV63" s="121"/>
      <c r="AW63" s="155"/>
    </row>
    <row r="64" spans="1:49" s="100" customFormat="1" ht="24">
      <c r="A64" s="356"/>
      <c r="B64" s="357"/>
      <c r="C64" s="357"/>
      <c r="D64" s="358"/>
      <c r="E64" s="111" t="s">
        <v>44</v>
      </c>
      <c r="F64" s="106">
        <f>F71+F75+F79</f>
        <v>10628.100000000002</v>
      </c>
      <c r="G64" s="106">
        <f t="shared" si="58"/>
        <v>0</v>
      </c>
      <c r="H64" s="106">
        <f>G64/F64*100</f>
        <v>0</v>
      </c>
      <c r="I64" s="106">
        <f t="shared" si="58"/>
        <v>0</v>
      </c>
      <c r="J64" s="106">
        <f t="shared" si="58"/>
        <v>0</v>
      </c>
      <c r="K64" s="106">
        <v>0</v>
      </c>
      <c r="L64" s="106">
        <f t="shared" si="58"/>
        <v>2337.5</v>
      </c>
      <c r="M64" s="106">
        <f t="shared" si="58"/>
        <v>0</v>
      </c>
      <c r="N64" s="106">
        <f t="shared" si="58"/>
        <v>0</v>
      </c>
      <c r="O64" s="106">
        <f t="shared" si="58"/>
        <v>2141.4</v>
      </c>
      <c r="P64" s="106">
        <f t="shared" si="58"/>
        <v>0</v>
      </c>
      <c r="Q64" s="106">
        <f t="shared" ref="Q64" si="59">P64/O64*100</f>
        <v>0</v>
      </c>
      <c r="R64" s="106">
        <f t="shared" si="58"/>
        <v>328.59999999999997</v>
      </c>
      <c r="S64" s="106">
        <f t="shared" si="58"/>
        <v>0</v>
      </c>
      <c r="T64" s="106">
        <f t="shared" ref="T64" si="60">S64/R64*100</f>
        <v>0</v>
      </c>
      <c r="U64" s="106">
        <f t="shared" si="58"/>
        <v>1220.6000000000001</v>
      </c>
      <c r="V64" s="106">
        <f t="shared" si="58"/>
        <v>0</v>
      </c>
      <c r="W64" s="106">
        <f t="shared" si="58"/>
        <v>0</v>
      </c>
      <c r="X64" s="106">
        <f t="shared" si="58"/>
        <v>1288.6000000000001</v>
      </c>
      <c r="Y64" s="106">
        <f t="shared" si="58"/>
        <v>0</v>
      </c>
      <c r="Z64" s="106">
        <f t="shared" si="58"/>
        <v>0</v>
      </c>
      <c r="AA64" s="106">
        <f t="shared" si="58"/>
        <v>1075.6000000000001</v>
      </c>
      <c r="AB64" s="106">
        <f t="shared" si="58"/>
        <v>0</v>
      </c>
      <c r="AC64" s="106">
        <f t="shared" si="58"/>
        <v>0</v>
      </c>
      <c r="AD64" s="106">
        <f t="shared" si="58"/>
        <v>150.6</v>
      </c>
      <c r="AE64" s="106">
        <f t="shared" si="58"/>
        <v>0</v>
      </c>
      <c r="AF64" s="106">
        <f t="shared" ref="AF64" si="61">AE64/AD64*100</f>
        <v>0</v>
      </c>
      <c r="AG64" s="106">
        <f t="shared" si="58"/>
        <v>200.6</v>
      </c>
      <c r="AH64" s="106">
        <f t="shared" si="58"/>
        <v>0</v>
      </c>
      <c r="AI64" s="106">
        <f t="shared" si="58"/>
        <v>0</v>
      </c>
      <c r="AJ64" s="106">
        <f t="shared" si="58"/>
        <v>162.6</v>
      </c>
      <c r="AK64" s="106">
        <f t="shared" si="58"/>
        <v>0</v>
      </c>
      <c r="AL64" s="106">
        <f t="shared" si="58"/>
        <v>0</v>
      </c>
      <c r="AM64" s="106">
        <f t="shared" si="58"/>
        <v>1350.0000000000002</v>
      </c>
      <c r="AN64" s="106">
        <f t="shared" si="58"/>
        <v>0</v>
      </c>
      <c r="AO64" s="106">
        <f t="shared" si="58"/>
        <v>0</v>
      </c>
      <c r="AP64" s="106">
        <f t="shared" si="58"/>
        <v>372</v>
      </c>
      <c r="AQ64" s="106">
        <f t="shared" si="58"/>
        <v>0</v>
      </c>
      <c r="AR64" s="106">
        <f t="shared" si="58"/>
        <v>0</v>
      </c>
      <c r="AS64" s="318"/>
      <c r="AT64" s="363"/>
      <c r="AU64" s="121"/>
      <c r="AV64" s="121"/>
      <c r="AW64" s="155"/>
    </row>
    <row r="65" spans="1:49" s="100" customFormat="1" ht="24">
      <c r="A65" s="359"/>
      <c r="B65" s="360"/>
      <c r="C65" s="360"/>
      <c r="D65" s="361"/>
      <c r="E65" s="110" t="s">
        <v>257</v>
      </c>
      <c r="F65" s="106">
        <f>F72+F76+F80</f>
        <v>0</v>
      </c>
      <c r="G65" s="106">
        <f t="shared" si="58"/>
        <v>0</v>
      </c>
      <c r="H65" s="106">
        <v>0</v>
      </c>
      <c r="I65" s="106">
        <f t="shared" si="58"/>
        <v>0</v>
      </c>
      <c r="J65" s="106">
        <f t="shared" si="58"/>
        <v>0</v>
      </c>
      <c r="K65" s="106">
        <v>0</v>
      </c>
      <c r="L65" s="106">
        <f t="shared" si="58"/>
        <v>0</v>
      </c>
      <c r="M65" s="106">
        <f t="shared" si="58"/>
        <v>0</v>
      </c>
      <c r="N65" s="106">
        <f t="shared" si="58"/>
        <v>0</v>
      </c>
      <c r="O65" s="106">
        <f t="shared" si="58"/>
        <v>0</v>
      </c>
      <c r="P65" s="106">
        <f t="shared" si="58"/>
        <v>0</v>
      </c>
      <c r="Q65" s="106">
        <v>0</v>
      </c>
      <c r="R65" s="106">
        <f t="shared" si="58"/>
        <v>0</v>
      </c>
      <c r="S65" s="106">
        <f t="shared" si="58"/>
        <v>0</v>
      </c>
      <c r="T65" s="106">
        <v>0</v>
      </c>
      <c r="U65" s="106">
        <f t="shared" si="58"/>
        <v>0</v>
      </c>
      <c r="V65" s="106">
        <f t="shared" si="58"/>
        <v>0</v>
      </c>
      <c r="W65" s="106">
        <f t="shared" si="58"/>
        <v>0</v>
      </c>
      <c r="X65" s="106">
        <f t="shared" si="58"/>
        <v>0</v>
      </c>
      <c r="Y65" s="106">
        <f t="shared" si="58"/>
        <v>0</v>
      </c>
      <c r="Z65" s="106">
        <f t="shared" si="58"/>
        <v>0</v>
      </c>
      <c r="AA65" s="106">
        <f t="shared" si="58"/>
        <v>0</v>
      </c>
      <c r="AB65" s="106">
        <f t="shared" si="58"/>
        <v>0</v>
      </c>
      <c r="AC65" s="106">
        <f t="shared" si="58"/>
        <v>0</v>
      </c>
      <c r="AD65" s="106">
        <f t="shared" si="58"/>
        <v>0</v>
      </c>
      <c r="AE65" s="106">
        <f t="shared" si="58"/>
        <v>0</v>
      </c>
      <c r="AF65" s="106">
        <f t="shared" si="58"/>
        <v>0</v>
      </c>
      <c r="AG65" s="106">
        <f t="shared" si="58"/>
        <v>0</v>
      </c>
      <c r="AH65" s="106">
        <f t="shared" si="58"/>
        <v>0</v>
      </c>
      <c r="AI65" s="106">
        <f t="shared" si="58"/>
        <v>0</v>
      </c>
      <c r="AJ65" s="106">
        <f t="shared" si="58"/>
        <v>0</v>
      </c>
      <c r="AK65" s="106">
        <f t="shared" si="58"/>
        <v>0</v>
      </c>
      <c r="AL65" s="106">
        <f t="shared" si="58"/>
        <v>0</v>
      </c>
      <c r="AM65" s="106">
        <f t="shared" si="58"/>
        <v>0</v>
      </c>
      <c r="AN65" s="106">
        <f t="shared" si="58"/>
        <v>0</v>
      </c>
      <c r="AO65" s="106">
        <f t="shared" si="58"/>
        <v>0</v>
      </c>
      <c r="AP65" s="106">
        <f t="shared" si="58"/>
        <v>0</v>
      </c>
      <c r="AQ65" s="106">
        <f t="shared" si="58"/>
        <v>0</v>
      </c>
      <c r="AR65" s="106">
        <f t="shared" si="58"/>
        <v>0</v>
      </c>
      <c r="AS65" s="319"/>
      <c r="AT65" s="364"/>
      <c r="AU65" s="121"/>
      <c r="AV65" s="121"/>
      <c r="AW65" s="155"/>
    </row>
    <row r="66" spans="1:49" s="100" customFormat="1" ht="144">
      <c r="A66" s="133" t="s">
        <v>386</v>
      </c>
      <c r="B66" s="161" t="s">
        <v>280</v>
      </c>
      <c r="C66" s="162" t="s">
        <v>387</v>
      </c>
      <c r="D66" s="172" t="s">
        <v>388</v>
      </c>
      <c r="E66" s="143" t="s">
        <v>275</v>
      </c>
      <c r="F66" s="149" t="s">
        <v>279</v>
      </c>
      <c r="G66" s="149" t="s">
        <v>279</v>
      </c>
      <c r="H66" s="149" t="s">
        <v>279</v>
      </c>
      <c r="I66" s="149" t="s">
        <v>279</v>
      </c>
      <c r="J66" s="149" t="s">
        <v>279</v>
      </c>
      <c r="K66" s="149" t="s">
        <v>279</v>
      </c>
      <c r="L66" s="149" t="s">
        <v>279</v>
      </c>
      <c r="M66" s="149" t="s">
        <v>279</v>
      </c>
      <c r="N66" s="149" t="s">
        <v>279</v>
      </c>
      <c r="O66" s="149" t="s">
        <v>279</v>
      </c>
      <c r="P66" s="149" t="s">
        <v>279</v>
      </c>
      <c r="Q66" s="149" t="s">
        <v>279</v>
      </c>
      <c r="R66" s="149" t="s">
        <v>279</v>
      </c>
      <c r="S66" s="149" t="s">
        <v>279</v>
      </c>
      <c r="T66" s="149" t="s">
        <v>279</v>
      </c>
      <c r="U66" s="149" t="s">
        <v>279</v>
      </c>
      <c r="V66" s="149" t="s">
        <v>279</v>
      </c>
      <c r="W66" s="149" t="s">
        <v>279</v>
      </c>
      <c r="X66" s="149" t="s">
        <v>279</v>
      </c>
      <c r="Y66" s="149" t="s">
        <v>279</v>
      </c>
      <c r="Z66" s="149" t="s">
        <v>279</v>
      </c>
      <c r="AA66" s="149" t="s">
        <v>279</v>
      </c>
      <c r="AB66" s="149" t="s">
        <v>279</v>
      </c>
      <c r="AC66" s="149" t="s">
        <v>279</v>
      </c>
      <c r="AD66" s="149" t="s">
        <v>279</v>
      </c>
      <c r="AE66" s="149" t="s">
        <v>279</v>
      </c>
      <c r="AF66" s="149" t="s">
        <v>279</v>
      </c>
      <c r="AG66" s="149" t="s">
        <v>279</v>
      </c>
      <c r="AH66" s="149" t="s">
        <v>279</v>
      </c>
      <c r="AI66" s="149" t="s">
        <v>279</v>
      </c>
      <c r="AJ66" s="149" t="s">
        <v>279</v>
      </c>
      <c r="AK66" s="149" t="s">
        <v>279</v>
      </c>
      <c r="AL66" s="149" t="s">
        <v>279</v>
      </c>
      <c r="AM66" s="149" t="s">
        <v>279</v>
      </c>
      <c r="AN66" s="149" t="s">
        <v>279</v>
      </c>
      <c r="AO66" s="149" t="s">
        <v>279</v>
      </c>
      <c r="AP66" s="149" t="s">
        <v>279</v>
      </c>
      <c r="AQ66" s="149" t="s">
        <v>279</v>
      </c>
      <c r="AR66" s="149" t="s">
        <v>279</v>
      </c>
      <c r="AS66" s="145" t="s">
        <v>315</v>
      </c>
      <c r="AT66" s="134"/>
      <c r="AU66" s="121"/>
      <c r="AV66" s="121"/>
      <c r="AW66" s="155"/>
    </row>
    <row r="67" spans="1:49" s="100" customFormat="1" ht="72">
      <c r="A67" s="133" t="s">
        <v>389</v>
      </c>
      <c r="B67" s="161" t="s">
        <v>390</v>
      </c>
      <c r="C67" s="162" t="s">
        <v>387</v>
      </c>
      <c r="D67" s="171" t="s">
        <v>391</v>
      </c>
      <c r="E67" s="143" t="s">
        <v>275</v>
      </c>
      <c r="F67" s="149" t="s">
        <v>279</v>
      </c>
      <c r="G67" s="149" t="s">
        <v>279</v>
      </c>
      <c r="H67" s="149" t="s">
        <v>279</v>
      </c>
      <c r="I67" s="149" t="s">
        <v>279</v>
      </c>
      <c r="J67" s="149" t="s">
        <v>279</v>
      </c>
      <c r="K67" s="149" t="s">
        <v>279</v>
      </c>
      <c r="L67" s="149" t="s">
        <v>279</v>
      </c>
      <c r="M67" s="149" t="s">
        <v>279</v>
      </c>
      <c r="N67" s="149" t="s">
        <v>279</v>
      </c>
      <c r="O67" s="149" t="s">
        <v>279</v>
      </c>
      <c r="P67" s="149" t="s">
        <v>279</v>
      </c>
      <c r="Q67" s="149" t="s">
        <v>279</v>
      </c>
      <c r="R67" s="149" t="s">
        <v>279</v>
      </c>
      <c r="S67" s="149" t="s">
        <v>279</v>
      </c>
      <c r="T67" s="149" t="s">
        <v>279</v>
      </c>
      <c r="U67" s="149" t="s">
        <v>279</v>
      </c>
      <c r="V67" s="149" t="s">
        <v>279</v>
      </c>
      <c r="W67" s="149" t="s">
        <v>279</v>
      </c>
      <c r="X67" s="149" t="s">
        <v>279</v>
      </c>
      <c r="Y67" s="149" t="s">
        <v>279</v>
      </c>
      <c r="Z67" s="149" t="s">
        <v>279</v>
      </c>
      <c r="AA67" s="149" t="s">
        <v>279</v>
      </c>
      <c r="AB67" s="149" t="s">
        <v>279</v>
      </c>
      <c r="AC67" s="149" t="s">
        <v>279</v>
      </c>
      <c r="AD67" s="149" t="s">
        <v>279</v>
      </c>
      <c r="AE67" s="149" t="s">
        <v>279</v>
      </c>
      <c r="AF67" s="149" t="s">
        <v>279</v>
      </c>
      <c r="AG67" s="149" t="s">
        <v>279</v>
      </c>
      <c r="AH67" s="149" t="s">
        <v>279</v>
      </c>
      <c r="AI67" s="149" t="s">
        <v>279</v>
      </c>
      <c r="AJ67" s="149" t="s">
        <v>279</v>
      </c>
      <c r="AK67" s="149" t="s">
        <v>279</v>
      </c>
      <c r="AL67" s="149" t="s">
        <v>279</v>
      </c>
      <c r="AM67" s="149" t="s">
        <v>279</v>
      </c>
      <c r="AN67" s="149" t="s">
        <v>279</v>
      </c>
      <c r="AO67" s="149" t="s">
        <v>279</v>
      </c>
      <c r="AP67" s="149" t="s">
        <v>279</v>
      </c>
      <c r="AQ67" s="149" t="s">
        <v>279</v>
      </c>
      <c r="AR67" s="149" t="s">
        <v>279</v>
      </c>
      <c r="AS67" s="145" t="s">
        <v>307</v>
      </c>
      <c r="AT67" s="134"/>
      <c r="AU67" s="121"/>
      <c r="AV67" s="121"/>
      <c r="AW67" s="155"/>
    </row>
    <row r="68" spans="1:49" s="100" customFormat="1" ht="132">
      <c r="A68" s="133" t="s">
        <v>392</v>
      </c>
      <c r="B68" s="161" t="s">
        <v>393</v>
      </c>
      <c r="C68" s="162" t="s">
        <v>387</v>
      </c>
      <c r="D68" s="171" t="s">
        <v>394</v>
      </c>
      <c r="E68" s="143" t="s">
        <v>275</v>
      </c>
      <c r="F68" s="149" t="s">
        <v>279</v>
      </c>
      <c r="G68" s="149" t="s">
        <v>279</v>
      </c>
      <c r="H68" s="149" t="s">
        <v>279</v>
      </c>
      <c r="I68" s="149" t="s">
        <v>279</v>
      </c>
      <c r="J68" s="149" t="s">
        <v>279</v>
      </c>
      <c r="K68" s="149" t="s">
        <v>279</v>
      </c>
      <c r="L68" s="149" t="s">
        <v>279</v>
      </c>
      <c r="M68" s="149" t="s">
        <v>279</v>
      </c>
      <c r="N68" s="149" t="s">
        <v>279</v>
      </c>
      <c r="O68" s="149" t="s">
        <v>279</v>
      </c>
      <c r="P68" s="149" t="s">
        <v>279</v>
      </c>
      <c r="Q68" s="149" t="s">
        <v>279</v>
      </c>
      <c r="R68" s="149" t="s">
        <v>279</v>
      </c>
      <c r="S68" s="149" t="s">
        <v>279</v>
      </c>
      <c r="T68" s="149" t="s">
        <v>279</v>
      </c>
      <c r="U68" s="149" t="s">
        <v>279</v>
      </c>
      <c r="V68" s="149" t="s">
        <v>279</v>
      </c>
      <c r="W68" s="149" t="s">
        <v>279</v>
      </c>
      <c r="X68" s="149" t="s">
        <v>279</v>
      </c>
      <c r="Y68" s="149" t="s">
        <v>279</v>
      </c>
      <c r="Z68" s="149" t="s">
        <v>279</v>
      </c>
      <c r="AA68" s="149" t="s">
        <v>279</v>
      </c>
      <c r="AB68" s="149" t="s">
        <v>279</v>
      </c>
      <c r="AC68" s="149" t="s">
        <v>279</v>
      </c>
      <c r="AD68" s="149" t="s">
        <v>279</v>
      </c>
      <c r="AE68" s="149" t="s">
        <v>279</v>
      </c>
      <c r="AF68" s="149" t="s">
        <v>279</v>
      </c>
      <c r="AG68" s="149" t="s">
        <v>279</v>
      </c>
      <c r="AH68" s="149" t="s">
        <v>279</v>
      </c>
      <c r="AI68" s="149" t="s">
        <v>279</v>
      </c>
      <c r="AJ68" s="149" t="s">
        <v>279</v>
      </c>
      <c r="AK68" s="149" t="s">
        <v>279</v>
      </c>
      <c r="AL68" s="149" t="s">
        <v>279</v>
      </c>
      <c r="AM68" s="149" t="s">
        <v>279</v>
      </c>
      <c r="AN68" s="149" t="s">
        <v>279</v>
      </c>
      <c r="AO68" s="149" t="s">
        <v>279</v>
      </c>
      <c r="AP68" s="149" t="s">
        <v>279</v>
      </c>
      <c r="AQ68" s="149" t="s">
        <v>279</v>
      </c>
      <c r="AR68" s="149" t="s">
        <v>279</v>
      </c>
      <c r="AS68" s="145" t="s">
        <v>316</v>
      </c>
      <c r="AT68" s="134"/>
      <c r="AU68" s="121"/>
      <c r="AV68" s="121"/>
      <c r="AW68" s="155"/>
    </row>
    <row r="69" spans="1:49" s="31" customFormat="1" ht="12.75">
      <c r="A69" s="326" t="s">
        <v>395</v>
      </c>
      <c r="B69" s="329" t="s">
        <v>396</v>
      </c>
      <c r="C69" s="332" t="s">
        <v>277</v>
      </c>
      <c r="D69" s="335" t="s">
        <v>397</v>
      </c>
      <c r="E69" s="107" t="s">
        <v>42</v>
      </c>
      <c r="F69" s="123">
        <f>SUM(F70:F72)</f>
        <v>1612.1</v>
      </c>
      <c r="G69" s="123">
        <f t="shared" ref="G69" si="62">SUM(G70:G72)</f>
        <v>0</v>
      </c>
      <c r="H69" s="123">
        <f>G69/F69*100</f>
        <v>0</v>
      </c>
      <c r="I69" s="138">
        <f t="shared" ref="I69:AP69" si="63">I70+I71+I72</f>
        <v>0</v>
      </c>
      <c r="J69" s="138">
        <f t="shared" si="63"/>
        <v>0</v>
      </c>
      <c r="K69" s="123">
        <v>0</v>
      </c>
      <c r="L69" s="138">
        <f t="shared" si="63"/>
        <v>61.4</v>
      </c>
      <c r="M69" s="132">
        <f t="shared" si="63"/>
        <v>0</v>
      </c>
      <c r="N69" s="132">
        <f>M69/L69*100</f>
        <v>0</v>
      </c>
      <c r="O69" s="132">
        <f t="shared" si="63"/>
        <v>207.4</v>
      </c>
      <c r="P69" s="132">
        <f t="shared" si="63"/>
        <v>0</v>
      </c>
      <c r="Q69" s="123">
        <f t="shared" ref="Q69:Q79" si="64">P69/O69*100</f>
        <v>0</v>
      </c>
      <c r="R69" s="132">
        <f t="shared" si="63"/>
        <v>61.4</v>
      </c>
      <c r="S69" s="132">
        <f t="shared" si="63"/>
        <v>0</v>
      </c>
      <c r="T69" s="132">
        <f>S69/R69*100</f>
        <v>0</v>
      </c>
      <c r="U69" s="138">
        <f t="shared" si="63"/>
        <v>61.4</v>
      </c>
      <c r="V69" s="138">
        <f t="shared" si="63"/>
        <v>0</v>
      </c>
      <c r="W69" s="132">
        <f t="shared" ref="W69" si="65">V69/U69*100</f>
        <v>0</v>
      </c>
      <c r="X69" s="132">
        <f t="shared" si="63"/>
        <v>61.4</v>
      </c>
      <c r="Y69" s="132">
        <f t="shared" si="63"/>
        <v>0</v>
      </c>
      <c r="Z69" s="132">
        <f t="shared" ref="Z69" si="66">Y69/X69*100</f>
        <v>0</v>
      </c>
      <c r="AA69" s="132">
        <f t="shared" si="63"/>
        <v>61.4</v>
      </c>
      <c r="AB69" s="132">
        <f t="shared" si="63"/>
        <v>0</v>
      </c>
      <c r="AC69" s="132">
        <f t="shared" ref="AC69" si="67">AB69/AA69*100</f>
        <v>0</v>
      </c>
      <c r="AD69" s="132">
        <f t="shared" si="63"/>
        <v>61.4</v>
      </c>
      <c r="AE69" s="138">
        <f t="shared" si="63"/>
        <v>0</v>
      </c>
      <c r="AF69" s="104">
        <f t="shared" ref="AF69" si="68">AE69/AD69*100</f>
        <v>0</v>
      </c>
      <c r="AG69" s="138">
        <f t="shared" si="63"/>
        <v>61.4</v>
      </c>
      <c r="AH69" s="138">
        <f t="shared" si="63"/>
        <v>0</v>
      </c>
      <c r="AI69" s="132">
        <f t="shared" ref="AI69" si="69">AH69/AG69*100</f>
        <v>0</v>
      </c>
      <c r="AJ69" s="138">
        <f t="shared" si="63"/>
        <v>61.4</v>
      </c>
      <c r="AK69" s="138">
        <f t="shared" si="63"/>
        <v>0</v>
      </c>
      <c r="AL69" s="138">
        <f t="shared" si="63"/>
        <v>0</v>
      </c>
      <c r="AM69" s="138">
        <f t="shared" si="63"/>
        <v>790.7</v>
      </c>
      <c r="AN69" s="138">
        <f t="shared" si="63"/>
        <v>0</v>
      </c>
      <c r="AO69" s="138">
        <f t="shared" si="63"/>
        <v>0</v>
      </c>
      <c r="AP69" s="138">
        <f t="shared" si="63"/>
        <v>122.8</v>
      </c>
      <c r="AQ69" s="104"/>
      <c r="AR69" s="104"/>
      <c r="AS69" s="338" t="s">
        <v>317</v>
      </c>
      <c r="AT69" s="341"/>
      <c r="AU69" s="121"/>
      <c r="AV69" s="121"/>
      <c r="AW69" s="155"/>
    </row>
    <row r="70" spans="1:49" s="31" customFormat="1" ht="36">
      <c r="A70" s="327"/>
      <c r="B70" s="330"/>
      <c r="C70" s="333"/>
      <c r="D70" s="336"/>
      <c r="E70" s="108" t="s">
        <v>3</v>
      </c>
      <c r="F70" s="123">
        <f>I70+L70+O70+R70+U70+X70+AA70+AD70+AG70+AJ70+AM70+AP70</f>
        <v>0</v>
      </c>
      <c r="G70" s="123">
        <f>J70+M70+P70+S70+V70+Y70+AB70+AE70+AH70+AK70+AN70+AQ70</f>
        <v>0</v>
      </c>
      <c r="H70" s="123">
        <v>0</v>
      </c>
      <c r="I70" s="123">
        <v>0</v>
      </c>
      <c r="J70" s="123">
        <v>0</v>
      </c>
      <c r="K70" s="123">
        <v>0</v>
      </c>
      <c r="L70" s="150">
        <v>0</v>
      </c>
      <c r="M70" s="123">
        <v>0</v>
      </c>
      <c r="N70" s="138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32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23">
        <v>0</v>
      </c>
      <c r="AK70" s="123">
        <v>0</v>
      </c>
      <c r="AL70" s="123">
        <v>0</v>
      </c>
      <c r="AM70" s="117">
        <v>0</v>
      </c>
      <c r="AN70" s="117">
        <v>0</v>
      </c>
      <c r="AO70" s="117">
        <v>0</v>
      </c>
      <c r="AP70" s="123">
        <v>0</v>
      </c>
      <c r="AQ70" s="104"/>
      <c r="AR70" s="104"/>
      <c r="AS70" s="339"/>
      <c r="AT70" s="342"/>
      <c r="AU70" s="121"/>
      <c r="AV70" s="121"/>
      <c r="AW70" s="155"/>
    </row>
    <row r="71" spans="1:49" s="31" customFormat="1" ht="12.75">
      <c r="A71" s="327"/>
      <c r="B71" s="330"/>
      <c r="C71" s="333"/>
      <c r="D71" s="336"/>
      <c r="E71" s="108" t="s">
        <v>44</v>
      </c>
      <c r="F71" s="123">
        <f t="shared" ref="F71:G72" si="70">I71+L71+O71+R71+U71+X71+AA71+AD71+AG71+AJ71+AM71+AP71</f>
        <v>1612.1</v>
      </c>
      <c r="G71" s="123">
        <f t="shared" si="70"/>
        <v>0</v>
      </c>
      <c r="H71" s="123">
        <f>G71/F71*100</f>
        <v>0</v>
      </c>
      <c r="I71" s="123">
        <v>0</v>
      </c>
      <c r="J71" s="123">
        <v>0</v>
      </c>
      <c r="K71" s="123">
        <v>0</v>
      </c>
      <c r="L71" s="150">
        <v>61.4</v>
      </c>
      <c r="M71" s="123">
        <v>0</v>
      </c>
      <c r="N71" s="138">
        <f t="shared" ref="N71" si="71">M71/L71*100</f>
        <v>0</v>
      </c>
      <c r="O71" s="123">
        <v>207.4</v>
      </c>
      <c r="P71" s="123">
        <v>0</v>
      </c>
      <c r="Q71" s="123">
        <f t="shared" si="64"/>
        <v>0</v>
      </c>
      <c r="R71" s="123">
        <v>61.4</v>
      </c>
      <c r="S71" s="123">
        <v>0</v>
      </c>
      <c r="T71" s="132">
        <f t="shared" ref="T71:T79" si="72">S71/R71*100</f>
        <v>0</v>
      </c>
      <c r="U71" s="117">
        <v>61.4</v>
      </c>
      <c r="V71" s="117">
        <v>0</v>
      </c>
      <c r="W71" s="132">
        <f t="shared" ref="W71" si="73">V71/U71*100</f>
        <v>0</v>
      </c>
      <c r="X71" s="117">
        <v>61.4</v>
      </c>
      <c r="Y71" s="117">
        <v>0</v>
      </c>
      <c r="Z71" s="132">
        <f t="shared" ref="Z71" si="74">Y71/X71*100</f>
        <v>0</v>
      </c>
      <c r="AA71" s="117">
        <v>61.4</v>
      </c>
      <c r="AB71" s="117">
        <v>0</v>
      </c>
      <c r="AC71" s="132">
        <f t="shared" ref="AC71" si="75">AB71/AA71*100</f>
        <v>0</v>
      </c>
      <c r="AD71" s="117">
        <v>61.4</v>
      </c>
      <c r="AE71" s="117">
        <v>0</v>
      </c>
      <c r="AF71" s="132">
        <f t="shared" ref="AF71" si="76">AE71/AD71*100</f>
        <v>0</v>
      </c>
      <c r="AG71" s="117">
        <v>61.4</v>
      </c>
      <c r="AH71" s="117">
        <v>0</v>
      </c>
      <c r="AI71" s="132">
        <f t="shared" ref="AI71" si="77">AH71/AG71*100</f>
        <v>0</v>
      </c>
      <c r="AJ71" s="123">
        <v>61.4</v>
      </c>
      <c r="AK71" s="123">
        <v>0</v>
      </c>
      <c r="AL71" s="123">
        <v>0</v>
      </c>
      <c r="AM71" s="117">
        <v>790.7</v>
      </c>
      <c r="AN71" s="117">
        <v>0</v>
      </c>
      <c r="AO71" s="117">
        <v>0</v>
      </c>
      <c r="AP71" s="123">
        <v>122.8</v>
      </c>
      <c r="AQ71" s="104"/>
      <c r="AR71" s="104"/>
      <c r="AS71" s="339"/>
      <c r="AT71" s="342"/>
      <c r="AU71" s="121"/>
      <c r="AV71" s="121"/>
      <c r="AW71" s="155"/>
    </row>
    <row r="72" spans="1:49" s="31" customFormat="1" ht="24">
      <c r="A72" s="328"/>
      <c r="B72" s="331"/>
      <c r="C72" s="334"/>
      <c r="D72" s="337"/>
      <c r="E72" s="109" t="s">
        <v>257</v>
      </c>
      <c r="F72" s="123">
        <f t="shared" si="70"/>
        <v>0</v>
      </c>
      <c r="G72" s="123">
        <f t="shared" si="70"/>
        <v>0</v>
      </c>
      <c r="H72" s="123">
        <v>0</v>
      </c>
      <c r="I72" s="123">
        <v>0</v>
      </c>
      <c r="J72" s="123">
        <v>0</v>
      </c>
      <c r="K72" s="123">
        <v>0</v>
      </c>
      <c r="L72" s="150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0</v>
      </c>
      <c r="T72" s="132">
        <v>0</v>
      </c>
      <c r="U72" s="117">
        <v>0</v>
      </c>
      <c r="V72" s="117">
        <v>0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23">
        <v>0</v>
      </c>
      <c r="AK72" s="123">
        <v>0</v>
      </c>
      <c r="AL72" s="123">
        <v>0</v>
      </c>
      <c r="AM72" s="117">
        <v>0</v>
      </c>
      <c r="AN72" s="117">
        <v>0</v>
      </c>
      <c r="AO72" s="117">
        <v>0</v>
      </c>
      <c r="AP72" s="123">
        <v>0</v>
      </c>
      <c r="AQ72" s="104"/>
      <c r="AR72" s="104"/>
      <c r="AS72" s="340"/>
      <c r="AT72" s="343"/>
      <c r="AU72" s="121"/>
      <c r="AV72" s="121"/>
      <c r="AW72" s="155"/>
    </row>
    <row r="73" spans="1:49" s="31" customFormat="1" ht="12.75">
      <c r="A73" s="326" t="s">
        <v>398</v>
      </c>
      <c r="B73" s="329" t="s">
        <v>258</v>
      </c>
      <c r="C73" s="332" t="s">
        <v>277</v>
      </c>
      <c r="D73" s="335" t="s">
        <v>400</v>
      </c>
      <c r="E73" s="107" t="s">
        <v>42</v>
      </c>
      <c r="F73" s="123">
        <f>SUM(F74:F76)</f>
        <v>455.1</v>
      </c>
      <c r="G73" s="123">
        <f t="shared" ref="G73" si="78">SUM(G74:G76)</f>
        <v>0</v>
      </c>
      <c r="H73" s="123">
        <f>G73/F73*100</f>
        <v>0</v>
      </c>
      <c r="I73" s="138">
        <f t="shared" ref="I73:AP73" si="79">I74+I75+I76</f>
        <v>0</v>
      </c>
      <c r="J73" s="138">
        <f t="shared" si="79"/>
        <v>0</v>
      </c>
      <c r="K73" s="123">
        <v>0</v>
      </c>
      <c r="L73" s="138">
        <f t="shared" si="79"/>
        <v>0</v>
      </c>
      <c r="M73" s="132">
        <f t="shared" si="79"/>
        <v>0</v>
      </c>
      <c r="N73" s="132">
        <v>0</v>
      </c>
      <c r="O73" s="132">
        <f t="shared" si="79"/>
        <v>0</v>
      </c>
      <c r="P73" s="132">
        <f t="shared" si="79"/>
        <v>0</v>
      </c>
      <c r="Q73" s="123">
        <v>0</v>
      </c>
      <c r="R73" s="132">
        <f t="shared" si="79"/>
        <v>0</v>
      </c>
      <c r="S73" s="132">
        <f t="shared" si="79"/>
        <v>0</v>
      </c>
      <c r="T73" s="132">
        <v>0</v>
      </c>
      <c r="U73" s="132">
        <f t="shared" si="79"/>
        <v>0</v>
      </c>
      <c r="V73" s="132">
        <f t="shared" si="79"/>
        <v>0</v>
      </c>
      <c r="W73" s="132">
        <f t="shared" si="79"/>
        <v>0</v>
      </c>
      <c r="X73" s="132">
        <f t="shared" si="79"/>
        <v>0</v>
      </c>
      <c r="Y73" s="132">
        <f t="shared" si="79"/>
        <v>0</v>
      </c>
      <c r="Z73" s="138">
        <f t="shared" si="79"/>
        <v>0</v>
      </c>
      <c r="AA73" s="138">
        <f t="shared" si="79"/>
        <v>0</v>
      </c>
      <c r="AB73" s="138">
        <f t="shared" si="79"/>
        <v>0</v>
      </c>
      <c r="AC73" s="138">
        <f t="shared" si="79"/>
        <v>0</v>
      </c>
      <c r="AD73" s="132">
        <f t="shared" si="79"/>
        <v>0</v>
      </c>
      <c r="AE73" s="132">
        <f t="shared" si="79"/>
        <v>0</v>
      </c>
      <c r="AF73" s="132">
        <f t="shared" si="79"/>
        <v>0</v>
      </c>
      <c r="AG73" s="132">
        <f t="shared" si="79"/>
        <v>0</v>
      </c>
      <c r="AH73" s="132">
        <f t="shared" si="79"/>
        <v>0</v>
      </c>
      <c r="AI73" s="132">
        <f t="shared" si="79"/>
        <v>0</v>
      </c>
      <c r="AJ73" s="132">
        <f t="shared" si="79"/>
        <v>0</v>
      </c>
      <c r="AK73" s="132">
        <f t="shared" si="79"/>
        <v>0</v>
      </c>
      <c r="AL73" s="132">
        <f t="shared" si="79"/>
        <v>0</v>
      </c>
      <c r="AM73" s="132">
        <f t="shared" si="79"/>
        <v>455.1</v>
      </c>
      <c r="AN73" s="132">
        <f t="shared" si="79"/>
        <v>0</v>
      </c>
      <c r="AO73" s="132">
        <f t="shared" si="79"/>
        <v>0</v>
      </c>
      <c r="AP73" s="132">
        <f t="shared" si="79"/>
        <v>0</v>
      </c>
      <c r="AQ73" s="104"/>
      <c r="AR73" s="104"/>
      <c r="AS73" s="344" t="s">
        <v>281</v>
      </c>
      <c r="AT73" s="347" t="s">
        <v>300</v>
      </c>
      <c r="AU73" s="121"/>
      <c r="AV73" s="121"/>
      <c r="AW73" s="155"/>
    </row>
    <row r="74" spans="1:49" s="31" customFormat="1" ht="36">
      <c r="A74" s="327"/>
      <c r="B74" s="330"/>
      <c r="C74" s="333"/>
      <c r="D74" s="336"/>
      <c r="E74" s="108" t="s">
        <v>3</v>
      </c>
      <c r="F74" s="123">
        <f>I74+L74+O74+R74+U74+X74+AA74+AD74+AG74+AJ74+AM74+AP74</f>
        <v>0</v>
      </c>
      <c r="G74" s="123">
        <f>J74+M74+P74+S74+V74+Y74+AB74+AE74+AH74+AK74+AN74+AQ74</f>
        <v>0</v>
      </c>
      <c r="H74" s="123">
        <v>0</v>
      </c>
      <c r="I74" s="123">
        <v>0</v>
      </c>
      <c r="J74" s="123">
        <v>0</v>
      </c>
      <c r="K74" s="123">
        <v>0</v>
      </c>
      <c r="L74" s="150">
        <v>0</v>
      </c>
      <c r="M74" s="123">
        <v>0</v>
      </c>
      <c r="N74" s="138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38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23">
        <v>0</v>
      </c>
      <c r="AK74" s="123">
        <v>0</v>
      </c>
      <c r="AL74" s="123">
        <v>0</v>
      </c>
      <c r="AM74" s="117">
        <v>0</v>
      </c>
      <c r="AN74" s="117">
        <v>0</v>
      </c>
      <c r="AO74" s="117">
        <v>0</v>
      </c>
      <c r="AP74" s="123">
        <v>0</v>
      </c>
      <c r="AQ74" s="104"/>
      <c r="AR74" s="104"/>
      <c r="AS74" s="345"/>
      <c r="AT74" s="348"/>
      <c r="AU74" s="121"/>
      <c r="AV74" s="121"/>
      <c r="AW74" s="155"/>
    </row>
    <row r="75" spans="1:49" s="31" customFormat="1" ht="12.75">
      <c r="A75" s="327"/>
      <c r="B75" s="330"/>
      <c r="C75" s="333"/>
      <c r="D75" s="336"/>
      <c r="E75" s="108" t="s">
        <v>44</v>
      </c>
      <c r="F75" s="123">
        <f t="shared" ref="F75:G76" si="80">I75+L75+O75+R75+U75+X75+AA75+AD75+AG75+AJ75+AM75+AP75</f>
        <v>455.1</v>
      </c>
      <c r="G75" s="123">
        <f t="shared" si="80"/>
        <v>0</v>
      </c>
      <c r="H75" s="123">
        <f>G75/F75*100</f>
        <v>0</v>
      </c>
      <c r="I75" s="123">
        <v>0</v>
      </c>
      <c r="J75" s="123">
        <v>0</v>
      </c>
      <c r="K75" s="123">
        <v>0</v>
      </c>
      <c r="L75" s="150">
        <v>0</v>
      </c>
      <c r="M75" s="123">
        <v>0</v>
      </c>
      <c r="N75" s="138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38">
        <v>0</v>
      </c>
      <c r="U75" s="117">
        <v>0</v>
      </c>
      <c r="V75" s="117">
        <v>0</v>
      </c>
      <c r="W75" s="117">
        <v>0</v>
      </c>
      <c r="X75" s="117">
        <v>0</v>
      </c>
      <c r="Y75" s="117">
        <v>0</v>
      </c>
      <c r="Z75" s="117">
        <v>0</v>
      </c>
      <c r="AA75" s="117">
        <v>0</v>
      </c>
      <c r="AB75" s="117">
        <v>0</v>
      </c>
      <c r="AC75" s="117">
        <v>0</v>
      </c>
      <c r="AD75" s="117">
        <v>0</v>
      </c>
      <c r="AE75" s="117">
        <v>0</v>
      </c>
      <c r="AF75" s="117">
        <v>0</v>
      </c>
      <c r="AG75" s="117">
        <v>0</v>
      </c>
      <c r="AH75" s="117">
        <v>0</v>
      </c>
      <c r="AI75" s="117">
        <v>0</v>
      </c>
      <c r="AJ75" s="123">
        <v>0</v>
      </c>
      <c r="AK75" s="123">
        <v>0</v>
      </c>
      <c r="AL75" s="123">
        <v>0</v>
      </c>
      <c r="AM75" s="117">
        <v>455.1</v>
      </c>
      <c r="AN75" s="117">
        <v>0</v>
      </c>
      <c r="AO75" s="117">
        <v>0</v>
      </c>
      <c r="AP75" s="123">
        <v>0</v>
      </c>
      <c r="AQ75" s="104"/>
      <c r="AR75" s="104"/>
      <c r="AS75" s="345"/>
      <c r="AT75" s="348"/>
      <c r="AU75" s="121"/>
      <c r="AV75" s="121"/>
      <c r="AW75" s="155"/>
    </row>
    <row r="76" spans="1:49" s="31" customFormat="1" ht="24">
      <c r="A76" s="328"/>
      <c r="B76" s="331"/>
      <c r="C76" s="334"/>
      <c r="D76" s="337"/>
      <c r="E76" s="109" t="s">
        <v>257</v>
      </c>
      <c r="F76" s="123">
        <f t="shared" si="80"/>
        <v>0</v>
      </c>
      <c r="G76" s="123">
        <f t="shared" si="80"/>
        <v>0</v>
      </c>
      <c r="H76" s="123">
        <v>0</v>
      </c>
      <c r="I76" s="123">
        <v>0</v>
      </c>
      <c r="J76" s="123">
        <v>0</v>
      </c>
      <c r="K76" s="123">
        <v>0</v>
      </c>
      <c r="L76" s="150">
        <v>0</v>
      </c>
      <c r="M76" s="123">
        <v>0</v>
      </c>
      <c r="N76" s="123">
        <v>0</v>
      </c>
      <c r="O76" s="123">
        <v>0</v>
      </c>
      <c r="P76" s="123">
        <v>0</v>
      </c>
      <c r="Q76" s="123">
        <v>0</v>
      </c>
      <c r="R76" s="123">
        <v>0</v>
      </c>
      <c r="S76" s="123">
        <v>0</v>
      </c>
      <c r="T76" s="138">
        <v>0</v>
      </c>
      <c r="U76" s="117">
        <v>0</v>
      </c>
      <c r="V76" s="117">
        <v>0</v>
      </c>
      <c r="W76" s="117">
        <v>0</v>
      </c>
      <c r="X76" s="117">
        <v>0</v>
      </c>
      <c r="Y76" s="117">
        <v>0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17">
        <v>0</v>
      </c>
      <c r="AJ76" s="123">
        <v>0</v>
      </c>
      <c r="AK76" s="123">
        <v>0</v>
      </c>
      <c r="AL76" s="123">
        <v>0</v>
      </c>
      <c r="AM76" s="117">
        <v>0</v>
      </c>
      <c r="AN76" s="117">
        <v>0</v>
      </c>
      <c r="AO76" s="117">
        <v>0</v>
      </c>
      <c r="AP76" s="123">
        <v>0</v>
      </c>
      <c r="AQ76" s="104"/>
      <c r="AR76" s="104"/>
      <c r="AS76" s="346"/>
      <c r="AT76" s="349"/>
      <c r="AU76" s="121"/>
      <c r="AV76" s="121"/>
      <c r="AW76" s="155"/>
    </row>
    <row r="77" spans="1:49" s="31" customFormat="1" ht="12.75">
      <c r="A77" s="326" t="s">
        <v>399</v>
      </c>
      <c r="B77" s="329" t="s">
        <v>295</v>
      </c>
      <c r="C77" s="332" t="s">
        <v>401</v>
      </c>
      <c r="D77" s="335" t="s">
        <v>402</v>
      </c>
      <c r="E77" s="107" t="s">
        <v>42</v>
      </c>
      <c r="F77" s="123">
        <f>SUM(F78:F80)</f>
        <v>8560.9000000000015</v>
      </c>
      <c r="G77" s="123">
        <f t="shared" ref="G77" si="81">SUM(G78:G80)</f>
        <v>0</v>
      </c>
      <c r="H77" s="123">
        <f>G77/F77*100</f>
        <v>0</v>
      </c>
      <c r="I77" s="132">
        <f t="shared" ref="I77:AP77" si="82">I78+I79+I80</f>
        <v>0</v>
      </c>
      <c r="J77" s="132">
        <f t="shared" si="82"/>
        <v>0</v>
      </c>
      <c r="K77" s="123">
        <v>0</v>
      </c>
      <c r="L77" s="132">
        <f t="shared" si="82"/>
        <v>2276.1</v>
      </c>
      <c r="M77" s="132">
        <f t="shared" si="82"/>
        <v>0</v>
      </c>
      <c r="N77" s="132">
        <f>M77/L77*100</f>
        <v>0</v>
      </c>
      <c r="O77" s="132">
        <f t="shared" si="82"/>
        <v>1934</v>
      </c>
      <c r="P77" s="132">
        <f t="shared" si="82"/>
        <v>0</v>
      </c>
      <c r="Q77" s="123">
        <f t="shared" si="64"/>
        <v>0</v>
      </c>
      <c r="R77" s="132">
        <f t="shared" si="82"/>
        <v>267.2</v>
      </c>
      <c r="S77" s="132">
        <f t="shared" si="82"/>
        <v>0</v>
      </c>
      <c r="T77" s="132">
        <f t="shared" si="72"/>
        <v>0</v>
      </c>
      <c r="U77" s="132">
        <f t="shared" si="82"/>
        <v>1159.2</v>
      </c>
      <c r="V77" s="132">
        <f t="shared" si="82"/>
        <v>0</v>
      </c>
      <c r="W77" s="138">
        <f t="shared" ref="W77" si="83">V77/U77*100</f>
        <v>0</v>
      </c>
      <c r="X77" s="132">
        <f t="shared" si="82"/>
        <v>1227.2</v>
      </c>
      <c r="Y77" s="132">
        <f t="shared" si="82"/>
        <v>0</v>
      </c>
      <c r="Z77" s="132">
        <f t="shared" si="82"/>
        <v>0</v>
      </c>
      <c r="AA77" s="132">
        <f t="shared" si="82"/>
        <v>1014.2</v>
      </c>
      <c r="AB77" s="132">
        <f t="shared" si="82"/>
        <v>0</v>
      </c>
      <c r="AC77" s="117">
        <f>AB77/AA77*100</f>
        <v>0</v>
      </c>
      <c r="AD77" s="132">
        <f t="shared" si="82"/>
        <v>89.2</v>
      </c>
      <c r="AE77" s="132">
        <f t="shared" si="82"/>
        <v>0</v>
      </c>
      <c r="AF77" s="104">
        <f t="shared" ref="AF77" si="84">AE77/AD77*100</f>
        <v>0</v>
      </c>
      <c r="AG77" s="132">
        <f t="shared" si="82"/>
        <v>139.19999999999999</v>
      </c>
      <c r="AH77" s="132">
        <f t="shared" si="82"/>
        <v>0</v>
      </c>
      <c r="AI77" s="104">
        <f t="shared" ref="AI77" si="85">AH77/AG77*100</f>
        <v>0</v>
      </c>
      <c r="AJ77" s="132">
        <f t="shared" si="82"/>
        <v>101.2</v>
      </c>
      <c r="AK77" s="132">
        <f t="shared" si="82"/>
        <v>0</v>
      </c>
      <c r="AL77" s="132">
        <f t="shared" si="82"/>
        <v>0</v>
      </c>
      <c r="AM77" s="132">
        <f t="shared" si="82"/>
        <v>104.2</v>
      </c>
      <c r="AN77" s="132">
        <f t="shared" si="82"/>
        <v>0</v>
      </c>
      <c r="AO77" s="132">
        <f t="shared" si="82"/>
        <v>0</v>
      </c>
      <c r="AP77" s="132">
        <f t="shared" si="82"/>
        <v>249.20000000000002</v>
      </c>
      <c r="AQ77" s="104"/>
      <c r="AR77" s="104"/>
      <c r="AS77" s="338" t="s">
        <v>320</v>
      </c>
      <c r="AT77" s="341"/>
      <c r="AU77" s="121"/>
      <c r="AV77" s="121"/>
      <c r="AW77" s="155"/>
    </row>
    <row r="78" spans="1:49" s="31" customFormat="1" ht="36">
      <c r="A78" s="327"/>
      <c r="B78" s="330"/>
      <c r="C78" s="333"/>
      <c r="D78" s="336"/>
      <c r="E78" s="108" t="s">
        <v>3</v>
      </c>
      <c r="F78" s="123">
        <f>I78+L78+O78+R78+U78+X78+AA78+AD78+AG78+AJ78+AM78+AP78</f>
        <v>0</v>
      </c>
      <c r="G78" s="123">
        <f>J78+M78+P78+S78+V78+Y78+AB78+AE78+AH78+AK78+AN78+AQ78</f>
        <v>0</v>
      </c>
      <c r="H78" s="123">
        <v>0</v>
      </c>
      <c r="I78" s="123">
        <v>0</v>
      </c>
      <c r="J78" s="123">
        <v>0</v>
      </c>
      <c r="K78" s="123">
        <v>0</v>
      </c>
      <c r="L78" s="150">
        <v>0</v>
      </c>
      <c r="M78" s="123">
        <v>0</v>
      </c>
      <c r="N78" s="138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38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23">
        <v>0</v>
      </c>
      <c r="AK78" s="123">
        <v>0</v>
      </c>
      <c r="AL78" s="123">
        <v>0</v>
      </c>
      <c r="AM78" s="117">
        <v>0</v>
      </c>
      <c r="AN78" s="117">
        <v>0</v>
      </c>
      <c r="AO78" s="117">
        <v>0</v>
      </c>
      <c r="AP78" s="123">
        <v>0</v>
      </c>
      <c r="AQ78" s="104"/>
      <c r="AR78" s="104"/>
      <c r="AS78" s="339"/>
      <c r="AT78" s="342"/>
      <c r="AU78" s="121"/>
      <c r="AV78" s="121"/>
      <c r="AW78" s="155"/>
    </row>
    <row r="79" spans="1:49" s="31" customFormat="1" ht="12.75">
      <c r="A79" s="327"/>
      <c r="B79" s="330"/>
      <c r="C79" s="333"/>
      <c r="D79" s="336"/>
      <c r="E79" s="108" t="s">
        <v>44</v>
      </c>
      <c r="F79" s="123">
        <f t="shared" ref="F79:G80" si="86">I79+L79+O79+R79+U79+X79+AA79+AD79+AG79+AJ79+AM79+AP79</f>
        <v>8560.9000000000015</v>
      </c>
      <c r="G79" s="123">
        <f t="shared" si="86"/>
        <v>0</v>
      </c>
      <c r="H79" s="123">
        <f>G79/F79*100</f>
        <v>0</v>
      </c>
      <c r="I79" s="123">
        <v>0</v>
      </c>
      <c r="J79" s="123">
        <v>0</v>
      </c>
      <c r="K79" s="123">
        <v>0</v>
      </c>
      <c r="L79" s="150">
        <f>2231.1+45</f>
        <v>2276.1</v>
      </c>
      <c r="M79" s="123">
        <v>0</v>
      </c>
      <c r="N79" s="138">
        <f t="shared" ref="N79" si="87">M79/L79*100</f>
        <v>0</v>
      </c>
      <c r="O79" s="123">
        <f>1844+40+50</f>
        <v>1934</v>
      </c>
      <c r="P79" s="123">
        <v>0</v>
      </c>
      <c r="Q79" s="123">
        <f t="shared" si="64"/>
        <v>0</v>
      </c>
      <c r="R79" s="123">
        <f>229.2+38</f>
        <v>267.2</v>
      </c>
      <c r="S79" s="123">
        <v>0</v>
      </c>
      <c r="T79" s="138">
        <f t="shared" si="72"/>
        <v>0</v>
      </c>
      <c r="U79" s="117">
        <f>1129.2+30</f>
        <v>1159.2</v>
      </c>
      <c r="V79" s="117">
        <v>0</v>
      </c>
      <c r="W79" s="138">
        <f t="shared" ref="W79" si="88">V79/U79*100</f>
        <v>0</v>
      </c>
      <c r="X79" s="117">
        <f>1149.2+28+50</f>
        <v>1227.2</v>
      </c>
      <c r="Y79" s="117">
        <v>0</v>
      </c>
      <c r="Z79" s="117">
        <f>Y79/X79*100</f>
        <v>0</v>
      </c>
      <c r="AA79" s="117">
        <f>994.2+20</f>
        <v>1014.2</v>
      </c>
      <c r="AB79" s="117">
        <v>0</v>
      </c>
      <c r="AC79" s="117">
        <f>AB79/AA79*100</f>
        <v>0</v>
      </c>
      <c r="AD79" s="117">
        <f>69.2+20</f>
        <v>89.2</v>
      </c>
      <c r="AE79" s="117">
        <v>0</v>
      </c>
      <c r="AF79" s="117">
        <f>AE79/AD79*100</f>
        <v>0</v>
      </c>
      <c r="AG79" s="117">
        <f>69.2+20+50</f>
        <v>139.19999999999999</v>
      </c>
      <c r="AH79" s="117">
        <v>0</v>
      </c>
      <c r="AI79" s="104">
        <f t="shared" ref="AI79" si="89">AH79/AG79*100</f>
        <v>0</v>
      </c>
      <c r="AJ79" s="123">
        <f>69.2+32</f>
        <v>101.2</v>
      </c>
      <c r="AK79" s="123">
        <v>0</v>
      </c>
      <c r="AL79" s="123">
        <v>0</v>
      </c>
      <c r="AM79" s="117">
        <f>69.2+35</f>
        <v>104.2</v>
      </c>
      <c r="AN79" s="117">
        <v>0</v>
      </c>
      <c r="AO79" s="117">
        <v>0</v>
      </c>
      <c r="AP79" s="123">
        <f>187.8+61.4+24.7*2-49.4</f>
        <v>249.20000000000002</v>
      </c>
      <c r="AQ79" s="104"/>
      <c r="AR79" s="104"/>
      <c r="AS79" s="339"/>
      <c r="AT79" s="342"/>
      <c r="AU79" s="121"/>
      <c r="AV79" s="121"/>
      <c r="AW79" s="155"/>
    </row>
    <row r="80" spans="1:49" s="31" customFormat="1" ht="24">
      <c r="A80" s="328"/>
      <c r="B80" s="331"/>
      <c r="C80" s="334"/>
      <c r="D80" s="337"/>
      <c r="E80" s="109" t="s">
        <v>257</v>
      </c>
      <c r="F80" s="123">
        <f t="shared" si="86"/>
        <v>0</v>
      </c>
      <c r="G80" s="123">
        <f t="shared" si="86"/>
        <v>0</v>
      </c>
      <c r="H80" s="123">
        <v>0</v>
      </c>
      <c r="I80" s="123">
        <v>0</v>
      </c>
      <c r="J80" s="123">
        <v>0</v>
      </c>
      <c r="K80" s="123">
        <v>0</v>
      </c>
      <c r="L80" s="150">
        <v>0</v>
      </c>
      <c r="M80" s="123">
        <v>0</v>
      </c>
      <c r="N80" s="123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38">
        <v>0</v>
      </c>
      <c r="U80" s="117">
        <v>0</v>
      </c>
      <c r="V80" s="117">
        <v>0</v>
      </c>
      <c r="W80" s="117">
        <v>0</v>
      </c>
      <c r="X80" s="117">
        <v>0</v>
      </c>
      <c r="Y80" s="117">
        <v>0</v>
      </c>
      <c r="Z80" s="117">
        <v>0</v>
      </c>
      <c r="AA80" s="117">
        <v>0</v>
      </c>
      <c r="AB80" s="117">
        <v>0</v>
      </c>
      <c r="AC80" s="117">
        <v>0</v>
      </c>
      <c r="AD80" s="117">
        <v>0</v>
      </c>
      <c r="AE80" s="117">
        <v>0</v>
      </c>
      <c r="AF80" s="117">
        <v>0</v>
      </c>
      <c r="AG80" s="117">
        <v>0</v>
      </c>
      <c r="AH80" s="117">
        <v>0</v>
      </c>
      <c r="AI80" s="117">
        <v>0</v>
      </c>
      <c r="AJ80" s="123">
        <v>0</v>
      </c>
      <c r="AK80" s="123">
        <v>0</v>
      </c>
      <c r="AL80" s="123">
        <v>0</v>
      </c>
      <c r="AM80" s="117">
        <v>0</v>
      </c>
      <c r="AN80" s="117">
        <v>0</v>
      </c>
      <c r="AO80" s="117">
        <v>0</v>
      </c>
      <c r="AP80" s="123">
        <v>0</v>
      </c>
      <c r="AQ80" s="104"/>
      <c r="AR80" s="104"/>
      <c r="AS80" s="340"/>
      <c r="AT80" s="343"/>
      <c r="AU80" s="121"/>
      <c r="AV80" s="121"/>
      <c r="AW80" s="155"/>
    </row>
    <row r="81" spans="1:48" s="100" customFormat="1" ht="12.75">
      <c r="A81" s="308" t="s">
        <v>256</v>
      </c>
      <c r="B81" s="309"/>
      <c r="C81" s="309"/>
      <c r="D81" s="310"/>
      <c r="E81" s="110" t="s">
        <v>42</v>
      </c>
      <c r="F81" s="106">
        <f>F82+F83+F84</f>
        <v>433024.19999999995</v>
      </c>
      <c r="G81" s="106">
        <f t="shared" ref="G81:AP81" si="90">G82+G83+G84</f>
        <v>25267</v>
      </c>
      <c r="H81" s="106">
        <f>G81/F81*100</f>
        <v>5.8350087593256914</v>
      </c>
      <c r="I81" s="106">
        <f t="shared" si="90"/>
        <v>14942.5</v>
      </c>
      <c r="J81" s="106">
        <f t="shared" si="90"/>
        <v>25267</v>
      </c>
      <c r="K81" s="106">
        <f>J81/I81*100</f>
        <v>169.09486364396855</v>
      </c>
      <c r="L81" s="106">
        <f t="shared" si="90"/>
        <v>45743.000000000007</v>
      </c>
      <c r="M81" s="106">
        <f t="shared" si="90"/>
        <v>0</v>
      </c>
      <c r="N81" s="106">
        <f>M81/L81*100</f>
        <v>0</v>
      </c>
      <c r="O81" s="106">
        <f t="shared" si="90"/>
        <v>37993.800000000003</v>
      </c>
      <c r="P81" s="106">
        <f t="shared" si="90"/>
        <v>0</v>
      </c>
      <c r="Q81" s="106">
        <f>P81/O81*100</f>
        <v>0</v>
      </c>
      <c r="R81" s="106">
        <f t="shared" si="90"/>
        <v>43738.3</v>
      </c>
      <c r="S81" s="106">
        <f t="shared" si="90"/>
        <v>0</v>
      </c>
      <c r="T81" s="106">
        <f>S81/R81*100</f>
        <v>0</v>
      </c>
      <c r="U81" s="106">
        <f t="shared" si="90"/>
        <v>35345.399999999994</v>
      </c>
      <c r="V81" s="106">
        <f t="shared" si="90"/>
        <v>0</v>
      </c>
      <c r="W81" s="106">
        <f t="shared" si="90"/>
        <v>0</v>
      </c>
      <c r="X81" s="106">
        <f t="shared" si="90"/>
        <v>38567</v>
      </c>
      <c r="Y81" s="106">
        <f t="shared" si="90"/>
        <v>0</v>
      </c>
      <c r="Z81" s="106" t="e">
        <f t="shared" si="90"/>
        <v>#REF!</v>
      </c>
      <c r="AA81" s="106">
        <f t="shared" si="90"/>
        <v>50633.4</v>
      </c>
      <c r="AB81" s="106">
        <f t="shared" si="90"/>
        <v>0</v>
      </c>
      <c r="AC81" s="106" t="e">
        <f t="shared" si="90"/>
        <v>#REF!</v>
      </c>
      <c r="AD81" s="106">
        <f t="shared" si="90"/>
        <v>36461.199999999997</v>
      </c>
      <c r="AE81" s="106">
        <f t="shared" si="90"/>
        <v>0</v>
      </c>
      <c r="AF81" s="103">
        <f t="shared" ref="AF81:AF84" si="91">AE81/AD81*100</f>
        <v>0</v>
      </c>
      <c r="AG81" s="106">
        <f t="shared" si="90"/>
        <v>28451.69999999999</v>
      </c>
      <c r="AH81" s="106">
        <f t="shared" si="90"/>
        <v>0</v>
      </c>
      <c r="AI81" s="106" t="e">
        <f t="shared" si="90"/>
        <v>#REF!</v>
      </c>
      <c r="AJ81" s="106">
        <f t="shared" si="90"/>
        <v>24958.799999999999</v>
      </c>
      <c r="AK81" s="106">
        <f t="shared" si="90"/>
        <v>0</v>
      </c>
      <c r="AL81" s="106" t="e">
        <f t="shared" si="90"/>
        <v>#REF!</v>
      </c>
      <c r="AM81" s="106">
        <f t="shared" si="90"/>
        <v>25565.599999999995</v>
      </c>
      <c r="AN81" s="106">
        <f t="shared" si="90"/>
        <v>0</v>
      </c>
      <c r="AO81" s="106" t="e">
        <f t="shared" si="90"/>
        <v>#REF!</v>
      </c>
      <c r="AP81" s="106">
        <f t="shared" si="90"/>
        <v>50623.5</v>
      </c>
      <c r="AQ81" s="103">
        <f t="shared" ref="AQ81:AR81" si="92">SUM(AQ82:AQ84)</f>
        <v>0</v>
      </c>
      <c r="AR81" s="103" t="e">
        <f t="shared" si="92"/>
        <v>#REF!</v>
      </c>
      <c r="AS81" s="317"/>
      <c r="AT81" s="320"/>
      <c r="AU81" s="121"/>
      <c r="AV81" s="127"/>
    </row>
    <row r="82" spans="1:48" s="100" customFormat="1" ht="36">
      <c r="A82" s="311"/>
      <c r="B82" s="312"/>
      <c r="C82" s="312"/>
      <c r="D82" s="313"/>
      <c r="E82" s="111" t="s">
        <v>3</v>
      </c>
      <c r="F82" s="106">
        <f t="shared" ref="F82:G84" si="93">F10+F34+F49+F63</f>
        <v>124591.59999999998</v>
      </c>
      <c r="G82" s="106">
        <f t="shared" si="93"/>
        <v>924.5</v>
      </c>
      <c r="H82" s="106">
        <f>G82/F82*100</f>
        <v>0.7420243419299537</v>
      </c>
      <c r="I82" s="106">
        <f t="shared" ref="I82:J84" si="94">I10+I34+I49+I63</f>
        <v>949.99999999999989</v>
      </c>
      <c r="J82" s="106">
        <f t="shared" si="94"/>
        <v>924.5</v>
      </c>
      <c r="K82" s="106">
        <f t="shared" ref="K82:K84" si="95">J82/I82*100</f>
        <v>97.31578947368422</v>
      </c>
      <c r="L82" s="106">
        <f t="shared" ref="L82:M84" si="96">L10+L34+L49+L63</f>
        <v>8876.4</v>
      </c>
      <c r="M82" s="106">
        <f t="shared" si="96"/>
        <v>0</v>
      </c>
      <c r="N82" s="106">
        <f t="shared" ref="N82:N84" si="97">M82/L82*100</f>
        <v>0</v>
      </c>
      <c r="O82" s="106">
        <f t="shared" ref="O82:P84" si="98">O10+O34+O49+O63</f>
        <v>9433.7999999999993</v>
      </c>
      <c r="P82" s="106">
        <f t="shared" si="98"/>
        <v>0</v>
      </c>
      <c r="Q82" s="106">
        <f t="shared" ref="Q82:Q84" si="99">P82/O82*100</f>
        <v>0</v>
      </c>
      <c r="R82" s="106">
        <f t="shared" ref="R82:S84" si="100">R10+R34+R49+R63</f>
        <v>10145.4</v>
      </c>
      <c r="S82" s="106">
        <f t="shared" si="100"/>
        <v>0</v>
      </c>
      <c r="T82" s="106">
        <f t="shared" ref="T82:T84" si="101">S82/R82*100</f>
        <v>0</v>
      </c>
      <c r="U82" s="106">
        <f t="shared" ref="U82:AE84" si="102">U10+U34+U49+U63</f>
        <v>8496.3999999999978</v>
      </c>
      <c r="V82" s="106">
        <f t="shared" si="102"/>
        <v>0</v>
      </c>
      <c r="W82" s="106">
        <f t="shared" si="102"/>
        <v>0</v>
      </c>
      <c r="X82" s="106">
        <f t="shared" si="102"/>
        <v>10177.699999999999</v>
      </c>
      <c r="Y82" s="106">
        <f t="shared" si="102"/>
        <v>0</v>
      </c>
      <c r="Z82" s="106" t="e">
        <f t="shared" si="102"/>
        <v>#REF!</v>
      </c>
      <c r="AA82" s="106">
        <f t="shared" si="102"/>
        <v>11495.900000000001</v>
      </c>
      <c r="AB82" s="106">
        <f t="shared" si="102"/>
        <v>0</v>
      </c>
      <c r="AC82" s="106" t="e">
        <f t="shared" si="102"/>
        <v>#REF!</v>
      </c>
      <c r="AD82" s="106">
        <f t="shared" si="102"/>
        <v>11156.3</v>
      </c>
      <c r="AE82" s="106">
        <f t="shared" si="102"/>
        <v>0</v>
      </c>
      <c r="AF82" s="103">
        <f t="shared" si="91"/>
        <v>0</v>
      </c>
      <c r="AG82" s="106">
        <f t="shared" ref="AG82:AR84" si="103">AG10+AG34+AG49+AG63</f>
        <v>9422.9</v>
      </c>
      <c r="AH82" s="106">
        <f t="shared" si="103"/>
        <v>0</v>
      </c>
      <c r="AI82" s="106" t="e">
        <f t="shared" si="103"/>
        <v>#REF!</v>
      </c>
      <c r="AJ82" s="106">
        <f t="shared" si="103"/>
        <v>9978.1999999999989</v>
      </c>
      <c r="AK82" s="106">
        <f t="shared" si="103"/>
        <v>0</v>
      </c>
      <c r="AL82" s="106" t="e">
        <f t="shared" si="103"/>
        <v>#REF!</v>
      </c>
      <c r="AM82" s="106">
        <f t="shared" si="103"/>
        <v>8872.0999999999985</v>
      </c>
      <c r="AN82" s="106">
        <f t="shared" si="103"/>
        <v>0</v>
      </c>
      <c r="AO82" s="106" t="e">
        <f t="shared" si="103"/>
        <v>#REF!</v>
      </c>
      <c r="AP82" s="106">
        <f t="shared" si="103"/>
        <v>25586.5</v>
      </c>
      <c r="AQ82" s="106">
        <f t="shared" si="103"/>
        <v>0</v>
      </c>
      <c r="AR82" s="106" t="e">
        <f t="shared" si="103"/>
        <v>#REF!</v>
      </c>
      <c r="AS82" s="318"/>
      <c r="AT82" s="321"/>
      <c r="AU82" s="121"/>
      <c r="AV82" s="127"/>
    </row>
    <row r="83" spans="1:48" s="100" customFormat="1" ht="24">
      <c r="A83" s="311"/>
      <c r="B83" s="312"/>
      <c r="C83" s="312"/>
      <c r="D83" s="313"/>
      <c r="E83" s="111" t="s">
        <v>44</v>
      </c>
      <c r="F83" s="106">
        <f t="shared" si="93"/>
        <v>302600.5</v>
      </c>
      <c r="G83" s="106">
        <f t="shared" si="93"/>
        <v>24342.5</v>
      </c>
      <c r="H83" s="106">
        <f>G83/F83*100</f>
        <v>8.044434824132809</v>
      </c>
      <c r="I83" s="106">
        <f t="shared" si="94"/>
        <v>13730.7</v>
      </c>
      <c r="J83" s="106">
        <f t="shared" si="94"/>
        <v>24342.5</v>
      </c>
      <c r="K83" s="106">
        <f t="shared" si="95"/>
        <v>177.2852076004865</v>
      </c>
      <c r="L83" s="106">
        <f t="shared" si="96"/>
        <v>36530.100000000006</v>
      </c>
      <c r="M83" s="106">
        <f t="shared" si="96"/>
        <v>0</v>
      </c>
      <c r="N83" s="106">
        <f t="shared" si="97"/>
        <v>0</v>
      </c>
      <c r="O83" s="106">
        <f t="shared" si="98"/>
        <v>27748.7</v>
      </c>
      <c r="P83" s="106">
        <f t="shared" si="98"/>
        <v>0</v>
      </c>
      <c r="Q83" s="106">
        <f t="shared" si="99"/>
        <v>0</v>
      </c>
      <c r="R83" s="106">
        <f t="shared" si="100"/>
        <v>32852.300000000003</v>
      </c>
      <c r="S83" s="106">
        <f t="shared" si="100"/>
        <v>0</v>
      </c>
      <c r="T83" s="106">
        <f t="shared" si="101"/>
        <v>0</v>
      </c>
      <c r="U83" s="106">
        <f t="shared" si="102"/>
        <v>26369.299999999996</v>
      </c>
      <c r="V83" s="106">
        <f t="shared" si="102"/>
        <v>0</v>
      </c>
      <c r="W83" s="106">
        <f t="shared" si="102"/>
        <v>0</v>
      </c>
      <c r="X83" s="106">
        <f t="shared" si="102"/>
        <v>28036.499999999996</v>
      </c>
      <c r="Y83" s="106">
        <f t="shared" si="102"/>
        <v>0</v>
      </c>
      <c r="Z83" s="106" t="e">
        <f t="shared" si="102"/>
        <v>#REF!</v>
      </c>
      <c r="AA83" s="106">
        <f t="shared" si="102"/>
        <v>38312</v>
      </c>
      <c r="AB83" s="106">
        <f t="shared" si="102"/>
        <v>0</v>
      </c>
      <c r="AC83" s="106" t="e">
        <f t="shared" si="102"/>
        <v>#REF!</v>
      </c>
      <c r="AD83" s="106">
        <f t="shared" si="102"/>
        <v>24785.899999999998</v>
      </c>
      <c r="AE83" s="106">
        <f t="shared" si="102"/>
        <v>0</v>
      </c>
      <c r="AF83" s="106">
        <f t="shared" si="91"/>
        <v>0</v>
      </c>
      <c r="AG83" s="106">
        <f t="shared" si="103"/>
        <v>18727.199999999993</v>
      </c>
      <c r="AH83" s="106">
        <f t="shared" si="103"/>
        <v>0</v>
      </c>
      <c r="AI83" s="106" t="e">
        <f t="shared" si="103"/>
        <v>#REF!</v>
      </c>
      <c r="AJ83" s="106">
        <f t="shared" si="103"/>
        <v>14416.000000000002</v>
      </c>
      <c r="AK83" s="106">
        <f t="shared" si="103"/>
        <v>0</v>
      </c>
      <c r="AL83" s="106" t="e">
        <f t="shared" si="103"/>
        <v>#REF!</v>
      </c>
      <c r="AM83" s="106">
        <f t="shared" si="103"/>
        <v>16251.799999999997</v>
      </c>
      <c r="AN83" s="106">
        <f t="shared" si="103"/>
        <v>0</v>
      </c>
      <c r="AO83" s="106" t="e">
        <f t="shared" si="103"/>
        <v>#REF!</v>
      </c>
      <c r="AP83" s="106">
        <f t="shared" si="103"/>
        <v>24839.999999999996</v>
      </c>
      <c r="AQ83" s="106">
        <f t="shared" si="103"/>
        <v>0</v>
      </c>
      <c r="AR83" s="106" t="e">
        <f t="shared" si="103"/>
        <v>#REF!</v>
      </c>
      <c r="AS83" s="318"/>
      <c r="AT83" s="321"/>
      <c r="AU83" s="121"/>
      <c r="AV83" s="127"/>
    </row>
    <row r="84" spans="1:48" s="100" customFormat="1" ht="24">
      <c r="A84" s="314"/>
      <c r="B84" s="315"/>
      <c r="C84" s="315"/>
      <c r="D84" s="316"/>
      <c r="E84" s="110" t="s">
        <v>257</v>
      </c>
      <c r="F84" s="106">
        <f t="shared" si="93"/>
        <v>5832.1</v>
      </c>
      <c r="G84" s="106">
        <f t="shared" si="93"/>
        <v>0</v>
      </c>
      <c r="H84" s="106">
        <f>G84/F84*100</f>
        <v>0</v>
      </c>
      <c r="I84" s="106">
        <f t="shared" si="94"/>
        <v>261.8</v>
      </c>
      <c r="J84" s="106">
        <f t="shared" si="94"/>
        <v>0</v>
      </c>
      <c r="K84" s="106">
        <f t="shared" si="95"/>
        <v>0</v>
      </c>
      <c r="L84" s="106">
        <f t="shared" si="96"/>
        <v>336.5</v>
      </c>
      <c r="M84" s="106">
        <f t="shared" si="96"/>
        <v>0</v>
      </c>
      <c r="N84" s="106">
        <f t="shared" si="97"/>
        <v>0</v>
      </c>
      <c r="O84" s="106">
        <f t="shared" si="98"/>
        <v>811.3</v>
      </c>
      <c r="P84" s="106">
        <f t="shared" si="98"/>
        <v>0</v>
      </c>
      <c r="Q84" s="106">
        <f t="shared" si="99"/>
        <v>0</v>
      </c>
      <c r="R84" s="106">
        <f t="shared" si="100"/>
        <v>740.6</v>
      </c>
      <c r="S84" s="106">
        <f t="shared" si="100"/>
        <v>0</v>
      </c>
      <c r="T84" s="106">
        <f t="shared" si="101"/>
        <v>0</v>
      </c>
      <c r="U84" s="106">
        <f t="shared" si="102"/>
        <v>479.7</v>
      </c>
      <c r="V84" s="106">
        <f t="shared" si="102"/>
        <v>0</v>
      </c>
      <c r="W84" s="106">
        <f t="shared" si="102"/>
        <v>0</v>
      </c>
      <c r="X84" s="106">
        <f t="shared" si="102"/>
        <v>352.8</v>
      </c>
      <c r="Y84" s="106">
        <f t="shared" si="102"/>
        <v>0</v>
      </c>
      <c r="Z84" s="106" t="e">
        <f t="shared" si="102"/>
        <v>#REF!</v>
      </c>
      <c r="AA84" s="106">
        <f t="shared" si="102"/>
        <v>825.5</v>
      </c>
      <c r="AB84" s="106">
        <f t="shared" si="102"/>
        <v>0</v>
      </c>
      <c r="AC84" s="106" t="e">
        <f t="shared" si="102"/>
        <v>#REF!</v>
      </c>
      <c r="AD84" s="106">
        <f t="shared" si="102"/>
        <v>519</v>
      </c>
      <c r="AE84" s="106">
        <f t="shared" si="102"/>
        <v>0</v>
      </c>
      <c r="AF84" s="106">
        <f t="shared" si="91"/>
        <v>0</v>
      </c>
      <c r="AG84" s="106">
        <f t="shared" si="103"/>
        <v>301.60000000000002</v>
      </c>
      <c r="AH84" s="106">
        <f t="shared" si="103"/>
        <v>0</v>
      </c>
      <c r="AI84" s="106" t="e">
        <f t="shared" si="103"/>
        <v>#REF!</v>
      </c>
      <c r="AJ84" s="106">
        <f t="shared" si="103"/>
        <v>564.6</v>
      </c>
      <c r="AK84" s="106">
        <f t="shared" si="103"/>
        <v>0</v>
      </c>
      <c r="AL84" s="106" t="e">
        <f t="shared" si="103"/>
        <v>#REF!</v>
      </c>
      <c r="AM84" s="106">
        <f t="shared" si="103"/>
        <v>441.7</v>
      </c>
      <c r="AN84" s="106">
        <f t="shared" si="103"/>
        <v>0</v>
      </c>
      <c r="AO84" s="106" t="e">
        <f t="shared" si="103"/>
        <v>#REF!</v>
      </c>
      <c r="AP84" s="106">
        <f t="shared" si="103"/>
        <v>197</v>
      </c>
      <c r="AQ84" s="106">
        <f t="shared" si="103"/>
        <v>0</v>
      </c>
      <c r="AR84" s="106" t="e">
        <f t="shared" si="103"/>
        <v>#REF!</v>
      </c>
      <c r="AS84" s="319"/>
      <c r="AT84" s="322"/>
      <c r="AU84" s="121"/>
      <c r="AV84" s="127"/>
    </row>
    <row r="85" spans="1:48" s="31" customFormat="1" ht="12.75">
      <c r="A85" s="32"/>
      <c r="B85" s="151"/>
      <c r="C85" s="151"/>
      <c r="D85" s="151"/>
      <c r="E85" s="29"/>
      <c r="F85" s="101"/>
      <c r="G85" s="101"/>
      <c r="H85" s="4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151"/>
      <c r="AK85" s="151"/>
      <c r="AL85" s="151"/>
      <c r="AM85" s="99"/>
      <c r="AN85" s="99"/>
      <c r="AO85" s="99"/>
      <c r="AS85" s="131"/>
    </row>
    <row r="86" spans="1:48" s="31" customFormat="1">
      <c r="A86" s="32"/>
      <c r="B86" s="323"/>
      <c r="C86" s="323"/>
      <c r="D86" s="323"/>
      <c r="E86" s="324"/>
      <c r="F86" s="325"/>
      <c r="G86" s="142"/>
      <c r="H86" s="4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151"/>
      <c r="AK86" s="151"/>
      <c r="AL86" s="151"/>
      <c r="AM86" s="99"/>
      <c r="AN86" s="99"/>
      <c r="AO86" s="99"/>
      <c r="AS86" s="131"/>
    </row>
    <row r="87" spans="1:48" s="31" customFormat="1" ht="12.75">
      <c r="A87" s="32"/>
      <c r="E87" s="119"/>
      <c r="F87" s="120"/>
      <c r="G87" s="120"/>
      <c r="H87" s="121"/>
      <c r="P87" s="151"/>
      <c r="Q87" s="151"/>
      <c r="R87" s="151"/>
      <c r="S87" s="151"/>
      <c r="T87" s="151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51"/>
      <c r="AK87" s="151"/>
      <c r="AL87" s="151"/>
      <c r="AM87" s="99"/>
      <c r="AN87" s="99"/>
      <c r="AO87" s="99"/>
      <c r="AS87" s="131"/>
    </row>
    <row r="88" spans="1:48" s="31" customFormat="1" ht="12.75">
      <c r="A88" s="307" t="s">
        <v>282</v>
      </c>
      <c r="B88" s="307"/>
      <c r="C88" s="307"/>
      <c r="D88" s="151"/>
      <c r="E88" s="29"/>
      <c r="F88" s="101"/>
      <c r="G88" s="101"/>
      <c r="H88" s="41"/>
      <c r="I88" s="151"/>
      <c r="J88" s="146" t="s">
        <v>284</v>
      </c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51"/>
      <c r="AK88" s="151"/>
      <c r="AL88" s="151"/>
      <c r="AM88" s="99"/>
      <c r="AN88" s="99"/>
      <c r="AO88" s="99"/>
      <c r="AS88" s="131"/>
    </row>
    <row r="89" spans="1:48" s="31" customFormat="1" ht="12.75">
      <c r="A89" s="307" t="s">
        <v>283</v>
      </c>
      <c r="B89" s="307"/>
      <c r="C89" s="307"/>
      <c r="D89" s="307"/>
      <c r="E89" s="307"/>
      <c r="F89" s="307"/>
      <c r="G89" s="101"/>
      <c r="H89" s="41"/>
      <c r="I89" s="151"/>
      <c r="J89" s="146" t="s">
        <v>285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151"/>
      <c r="AK89" s="151"/>
      <c r="AL89" s="151"/>
      <c r="AM89" s="99"/>
      <c r="AN89" s="99"/>
      <c r="AO89" s="99"/>
      <c r="AS89" s="131"/>
    </row>
    <row r="90" spans="1:48" s="31" customFormat="1" ht="12.75">
      <c r="A90" s="307"/>
      <c r="B90" s="307"/>
      <c r="C90" s="307"/>
      <c r="D90" s="307"/>
      <c r="E90" s="151"/>
      <c r="F90" s="101"/>
      <c r="G90" s="101"/>
      <c r="H90" s="41"/>
      <c r="I90" s="151"/>
      <c r="J90" s="146" t="s">
        <v>286</v>
      </c>
      <c r="K90" s="151"/>
      <c r="L90" s="115"/>
      <c r="M90" s="151"/>
      <c r="N90" s="151"/>
      <c r="O90" s="151"/>
      <c r="P90" s="151"/>
      <c r="Q90" s="151"/>
      <c r="R90" s="151"/>
      <c r="S90" s="151"/>
      <c r="T90" s="151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51"/>
      <c r="AK90" s="151"/>
      <c r="AL90" s="151"/>
      <c r="AM90" s="99"/>
      <c r="AN90" s="99"/>
      <c r="AO90" s="99"/>
      <c r="AS90" s="131"/>
    </row>
    <row r="91" spans="1:48" s="31" customFormat="1" ht="12.75">
      <c r="A91" s="147" t="s">
        <v>288</v>
      </c>
      <c r="B91" s="147"/>
      <c r="C91" s="147"/>
      <c r="D91" s="148"/>
      <c r="E91" s="112" t="s">
        <v>260</v>
      </c>
      <c r="F91" s="113"/>
      <c r="G91" s="113"/>
      <c r="H91" s="114"/>
      <c r="I91" s="115"/>
      <c r="J91" s="146"/>
      <c r="K91" s="115"/>
      <c r="M91" s="115" t="s">
        <v>292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6"/>
      <c r="AQ91" s="116"/>
      <c r="AR91" s="116"/>
      <c r="AS91" s="131"/>
    </row>
    <row r="92" spans="1:48">
      <c r="A92" s="307"/>
      <c r="B92" s="307"/>
      <c r="C92" s="307"/>
      <c r="D92" s="307"/>
      <c r="E92" s="131"/>
      <c r="F92" s="131"/>
      <c r="J92" s="146" t="s">
        <v>287</v>
      </c>
      <c r="AS92" s="131"/>
    </row>
    <row r="93" spans="1:48">
      <c r="A93" s="147" t="s">
        <v>289</v>
      </c>
      <c r="B93" s="147"/>
      <c r="C93" s="147"/>
      <c r="D93" s="148"/>
      <c r="E93" s="131" t="s">
        <v>293</v>
      </c>
      <c r="F93" s="131"/>
      <c r="AS93" s="131"/>
    </row>
    <row r="94" spans="1:48">
      <c r="AS94" s="131"/>
    </row>
    <row r="95" spans="1:48">
      <c r="AS95" s="131"/>
    </row>
    <row r="96" spans="1:48">
      <c r="A96" s="307" t="s">
        <v>404</v>
      </c>
      <c r="B96" s="307"/>
      <c r="C96" s="307"/>
      <c r="D96" s="307"/>
      <c r="AS96" s="131"/>
    </row>
    <row r="97" spans="1:45">
      <c r="A97" s="307" t="s">
        <v>291</v>
      </c>
      <c r="B97" s="307"/>
      <c r="C97" s="307"/>
      <c r="AS97" s="131"/>
    </row>
    <row r="98" spans="1:45">
      <c r="AS98" s="131"/>
    </row>
    <row r="99" spans="1:45">
      <c r="AS99" s="131"/>
    </row>
    <row r="100" spans="1:45">
      <c r="AS100" s="131"/>
    </row>
    <row r="101" spans="1:45">
      <c r="AS101" s="131"/>
    </row>
    <row r="102" spans="1:45">
      <c r="AS102" s="131"/>
    </row>
    <row r="103" spans="1:45">
      <c r="AS103" s="131"/>
    </row>
    <row r="104" spans="1:45">
      <c r="AS104" s="131"/>
    </row>
    <row r="105" spans="1:45">
      <c r="AS105" s="131"/>
    </row>
    <row r="106" spans="1:45">
      <c r="AS106" s="131"/>
    </row>
    <row r="107" spans="1:45">
      <c r="AS107" s="131"/>
    </row>
    <row r="108" spans="1:45">
      <c r="AS108" s="131"/>
    </row>
    <row r="109" spans="1:45">
      <c r="AS109" s="131"/>
    </row>
    <row r="110" spans="1:45">
      <c r="AS110" s="131"/>
    </row>
    <row r="111" spans="1:45">
      <c r="AS111" s="131"/>
    </row>
    <row r="112" spans="1:45">
      <c r="AS112" s="131"/>
    </row>
    <row r="113" spans="45:45">
      <c r="AS113" s="131"/>
    </row>
    <row r="114" spans="45:45">
      <c r="AS114" s="131"/>
    </row>
    <row r="115" spans="45:45">
      <c r="AS115" s="131"/>
    </row>
    <row r="116" spans="45:45">
      <c r="AS116" s="131"/>
    </row>
    <row r="117" spans="45:45">
      <c r="AS117" s="131"/>
    </row>
    <row r="118" spans="45:45">
      <c r="AS118" s="131"/>
    </row>
    <row r="119" spans="45:45">
      <c r="AS119" s="131"/>
    </row>
    <row r="120" spans="45:45">
      <c r="AS120" s="131"/>
    </row>
    <row r="121" spans="45:45">
      <c r="AS121" s="131"/>
    </row>
    <row r="122" spans="45:45">
      <c r="AS122" s="131"/>
    </row>
    <row r="123" spans="45:45">
      <c r="AS123" s="131"/>
    </row>
    <row r="124" spans="45:45">
      <c r="AS124" s="131"/>
    </row>
    <row r="125" spans="45:45">
      <c r="AS125" s="131"/>
    </row>
    <row r="126" spans="45:45">
      <c r="AS126" s="131"/>
    </row>
    <row r="127" spans="45:45">
      <c r="AS127" s="131"/>
    </row>
    <row r="128" spans="45:45">
      <c r="AS128" s="131"/>
    </row>
    <row r="129" spans="45:45">
      <c r="AS129" s="131"/>
    </row>
    <row r="130" spans="45:45">
      <c r="AS130" s="131"/>
    </row>
    <row r="131" spans="45:45">
      <c r="AS131" s="131"/>
    </row>
    <row r="132" spans="45:45">
      <c r="AS132" s="131"/>
    </row>
    <row r="133" spans="45:45">
      <c r="AS133" s="131"/>
    </row>
    <row r="134" spans="45:45">
      <c r="AS134" s="131"/>
    </row>
    <row r="135" spans="45:45">
      <c r="AS135" s="131"/>
    </row>
    <row r="136" spans="45:45">
      <c r="AS136" s="131"/>
    </row>
    <row r="137" spans="45:45">
      <c r="AS137" s="131"/>
    </row>
    <row r="138" spans="45:45">
      <c r="AS138" s="131"/>
    </row>
    <row r="139" spans="45:45">
      <c r="AS139" s="131"/>
    </row>
    <row r="140" spans="45:45">
      <c r="AS140" s="131"/>
    </row>
    <row r="141" spans="45:45">
      <c r="AS141" s="131"/>
    </row>
    <row r="142" spans="45:45">
      <c r="AS142" s="131"/>
    </row>
    <row r="143" spans="45:45">
      <c r="AS143" s="131"/>
    </row>
    <row r="144" spans="45:45">
      <c r="AS144" s="131"/>
    </row>
    <row r="145" spans="45:45">
      <c r="AS145" s="131"/>
    </row>
    <row r="146" spans="45:45">
      <c r="AS146" s="131"/>
    </row>
    <row r="147" spans="45:45">
      <c r="AS147" s="131"/>
    </row>
    <row r="148" spans="45:45">
      <c r="AS148" s="131"/>
    </row>
    <row r="149" spans="45:45">
      <c r="AS149" s="131"/>
    </row>
    <row r="150" spans="45:45">
      <c r="AS150" s="131"/>
    </row>
    <row r="151" spans="45:45">
      <c r="AS151" s="131"/>
    </row>
    <row r="152" spans="45:45">
      <c r="AS152" s="131"/>
    </row>
    <row r="153" spans="45:45">
      <c r="AS153" s="131"/>
    </row>
    <row r="154" spans="45:45">
      <c r="AS154" s="131"/>
    </row>
    <row r="155" spans="45:45">
      <c r="AS155" s="131"/>
    </row>
    <row r="156" spans="45:45">
      <c r="AS156" s="131"/>
    </row>
    <row r="157" spans="45:45">
      <c r="AS157" s="131"/>
    </row>
    <row r="158" spans="45:45">
      <c r="AS158" s="131"/>
    </row>
    <row r="159" spans="45:45">
      <c r="AS159" s="131"/>
    </row>
    <row r="160" spans="45:45">
      <c r="AS160" s="131"/>
    </row>
    <row r="161" spans="45:45">
      <c r="AS161" s="131"/>
    </row>
    <row r="162" spans="45:45">
      <c r="AS162" s="131"/>
    </row>
    <row r="163" spans="45:45">
      <c r="AS163" s="131"/>
    </row>
    <row r="164" spans="45:45">
      <c r="AS164" s="131"/>
    </row>
    <row r="165" spans="45:45">
      <c r="AS165" s="131"/>
    </row>
    <row r="166" spans="45:45">
      <c r="AS166" s="131"/>
    </row>
    <row r="167" spans="45:45">
      <c r="AS167" s="131"/>
    </row>
    <row r="168" spans="45:45">
      <c r="AS168" s="131"/>
    </row>
    <row r="169" spans="45:45">
      <c r="AS169" s="131"/>
    </row>
    <row r="170" spans="45:45">
      <c r="AS170" s="131"/>
    </row>
    <row r="171" spans="45:45">
      <c r="AS171" s="131"/>
    </row>
    <row r="172" spans="45:45">
      <c r="AS172" s="131"/>
    </row>
    <row r="173" spans="45:45">
      <c r="AS173" s="131"/>
    </row>
    <row r="174" spans="45:45">
      <c r="AS174" s="131"/>
    </row>
    <row r="175" spans="45:45">
      <c r="AS175" s="131"/>
    </row>
    <row r="176" spans="45:45">
      <c r="AS176" s="131"/>
    </row>
    <row r="177" spans="45:45">
      <c r="AS177" s="131"/>
    </row>
    <row r="178" spans="45:45">
      <c r="AS178" s="131"/>
    </row>
    <row r="179" spans="45:45">
      <c r="AS179" s="131"/>
    </row>
    <row r="180" spans="45:45">
      <c r="AS180" s="131"/>
    </row>
  </sheetData>
  <mergeCells count="111">
    <mergeCell ref="A90:D90"/>
    <mergeCell ref="A92:D92"/>
    <mergeCell ref="A96:D96"/>
    <mergeCell ref="A97:C97"/>
    <mergeCell ref="A81:D84"/>
    <mergeCell ref="AS81:AS84"/>
    <mergeCell ref="AT81:AT84"/>
    <mergeCell ref="B86:F86"/>
    <mergeCell ref="A88:C88"/>
    <mergeCell ref="A89:F89"/>
    <mergeCell ref="A77:A80"/>
    <mergeCell ref="B77:B80"/>
    <mergeCell ref="C77:C80"/>
    <mergeCell ref="D77:D80"/>
    <mergeCell ref="AS77:AS80"/>
    <mergeCell ref="AT77:AT80"/>
    <mergeCell ref="A73:A76"/>
    <mergeCell ref="B73:B76"/>
    <mergeCell ref="C73:C76"/>
    <mergeCell ref="D73:D76"/>
    <mergeCell ref="AS73:AS76"/>
    <mergeCell ref="AT73:AT76"/>
    <mergeCell ref="A69:A72"/>
    <mergeCell ref="B69:B72"/>
    <mergeCell ref="C69:C72"/>
    <mergeCell ref="D69:D72"/>
    <mergeCell ref="AS69:AS72"/>
    <mergeCell ref="AT69:AT72"/>
    <mergeCell ref="AT56:AT59"/>
    <mergeCell ref="A60:AT60"/>
    <mergeCell ref="A61:AT61"/>
    <mergeCell ref="A62:D65"/>
    <mergeCell ref="AS62:AS65"/>
    <mergeCell ref="AT62:AT65"/>
    <mergeCell ref="A46:AT46"/>
    <mergeCell ref="A47:AT47"/>
    <mergeCell ref="A48:D51"/>
    <mergeCell ref="AS48:AS51"/>
    <mergeCell ref="AT48:AT51"/>
    <mergeCell ref="A56:A59"/>
    <mergeCell ref="B56:B59"/>
    <mergeCell ref="C56:C59"/>
    <mergeCell ref="D56:D59"/>
    <mergeCell ref="AS56:AS59"/>
    <mergeCell ref="A32:AT32"/>
    <mergeCell ref="A33:D36"/>
    <mergeCell ref="AS33:AS36"/>
    <mergeCell ref="AT33:AT36"/>
    <mergeCell ref="A42:A45"/>
    <mergeCell ref="B42:B45"/>
    <mergeCell ref="C42:C45"/>
    <mergeCell ref="D42:D45"/>
    <mergeCell ref="AS42:AS45"/>
    <mergeCell ref="AT42:AT45"/>
    <mergeCell ref="A29:A31"/>
    <mergeCell ref="B29:B31"/>
    <mergeCell ref="C29:C31"/>
    <mergeCell ref="D29:D31"/>
    <mergeCell ref="AS29:AS31"/>
    <mergeCell ref="AT29:AT31"/>
    <mergeCell ref="A25:A28"/>
    <mergeCell ref="B25:B28"/>
    <mergeCell ref="C25:C28"/>
    <mergeCell ref="D25:D28"/>
    <mergeCell ref="AS25:AS28"/>
    <mergeCell ref="AT25:AT28"/>
    <mergeCell ref="A22:A24"/>
    <mergeCell ref="B22:B24"/>
    <mergeCell ref="C22:C24"/>
    <mergeCell ref="D22:D24"/>
    <mergeCell ref="AS22:AS24"/>
    <mergeCell ref="AT22:AT24"/>
    <mergeCell ref="AT13:AT16"/>
    <mergeCell ref="A17:A20"/>
    <mergeCell ref="B17:B20"/>
    <mergeCell ref="C17:C20"/>
    <mergeCell ref="D17:D20"/>
    <mergeCell ref="AS17:AS20"/>
    <mergeCell ref="AT17:AT20"/>
    <mergeCell ref="A8:AT8"/>
    <mergeCell ref="A9:D12"/>
    <mergeCell ref="AS9:AS12"/>
    <mergeCell ref="AT9:AT12"/>
    <mergeCell ref="A13:A16"/>
    <mergeCell ref="B13:B16"/>
    <mergeCell ref="C13:C16"/>
    <mergeCell ref="D13:D16"/>
    <mergeCell ref="AS13:AS16"/>
    <mergeCell ref="AS5:AS6"/>
    <mergeCell ref="AT5:AT6"/>
    <mergeCell ref="O5:Q5"/>
    <mergeCell ref="R5:T5"/>
    <mergeCell ref="U5:W5"/>
    <mergeCell ref="X5:Z5"/>
    <mergeCell ref="AA5:AC5"/>
    <mergeCell ref="AD5:AF5"/>
    <mergeCell ref="A7:AT7"/>
    <mergeCell ref="A2:AR2"/>
    <mergeCell ref="A3:AR3"/>
    <mergeCell ref="A5:A6"/>
    <mergeCell ref="B5:B6"/>
    <mergeCell ref="C5:C6"/>
    <mergeCell ref="D5:D6"/>
    <mergeCell ref="E5:E6"/>
    <mergeCell ref="F5:H5"/>
    <mergeCell ref="I5:K5"/>
    <mergeCell ref="L5:N5"/>
    <mergeCell ref="AG5:AI5"/>
    <mergeCell ref="AJ5:AL5"/>
    <mergeCell ref="AM5:AO5"/>
    <mergeCell ref="AP5:AR5"/>
  </mergeCells>
  <conditionalFormatting sqref="H91 H69:H80 H56:H59 H48:H51 H42:H45 H30:H31 H27:H28 H24 H14 H19">
    <cfRule type="cellIs" dxfId="2" priority="1" stopIfTrue="1" operator="notEqual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80"/>
  <sheetViews>
    <sheetView workbookViewId="0">
      <pane xSplit="4" ySplit="8" topLeftCell="AP69" activePane="bottomRight" state="frozen"/>
      <selection pane="topRight" activeCell="E1" sqref="E1"/>
      <selection pane="bottomLeft" activeCell="A9" sqref="A9"/>
      <selection pane="bottomRight" activeCell="AT69" sqref="AT69:AT72"/>
    </sheetView>
  </sheetViews>
  <sheetFormatPr defaultRowHeight="15"/>
  <cols>
    <col min="2" max="3" width="23.7109375" customWidth="1"/>
    <col min="4" max="4" width="11.140625" customWidth="1"/>
    <col min="5" max="5" width="13.28515625" customWidth="1"/>
    <col min="6" max="6" width="10.85546875" customWidth="1"/>
    <col min="7" max="7" width="10.7109375" customWidth="1"/>
    <col min="10" max="11" width="9.140625" customWidth="1"/>
    <col min="12" max="12" width="8.85546875" customWidth="1"/>
    <col min="13" max="13" width="9.140625" style="122" customWidth="1"/>
    <col min="14" max="14" width="9.140625" customWidth="1"/>
    <col min="16" max="16" width="9.140625" customWidth="1"/>
    <col min="17" max="17" width="10.7109375" customWidth="1"/>
    <col min="19" max="20" width="9.140625" hidden="1" customWidth="1"/>
    <col min="22" max="23" width="9.140625" hidden="1" customWidth="1"/>
    <col min="25" max="26" width="9.140625" hidden="1" customWidth="1"/>
    <col min="27" max="27" width="9.28515625" style="122" customWidth="1"/>
    <col min="28" max="29" width="9.140625" hidden="1" customWidth="1"/>
    <col min="30" max="30" width="9.140625" style="122"/>
    <col min="31" max="32" width="9.140625" style="122" hidden="1" customWidth="1"/>
    <col min="33" max="33" width="9.140625" style="122"/>
    <col min="34" max="35" width="9.140625" hidden="1" customWidth="1"/>
    <col min="37" max="38" width="9.140625" hidden="1" customWidth="1"/>
    <col min="39" max="39" width="9.140625" style="122"/>
    <col min="40" max="41" width="9.140625" hidden="1" customWidth="1"/>
    <col min="42" max="42" width="9.140625" style="125"/>
    <col min="43" max="43" width="10.42578125" hidden="1" customWidth="1"/>
    <col min="44" max="44" width="9.140625" hidden="1" customWidth="1"/>
    <col min="45" max="45" width="48.7109375" style="130" customWidth="1"/>
    <col min="46" max="46" width="44.7109375" customWidth="1"/>
    <col min="47" max="50" width="9.140625" customWidth="1"/>
  </cols>
  <sheetData>
    <row r="1" spans="1:49" s="31" customFormat="1" ht="12.75">
      <c r="A1" s="151"/>
      <c r="B1" s="151"/>
      <c r="C1" s="151"/>
      <c r="D1" s="151"/>
      <c r="E1" s="29"/>
      <c r="F1" s="29"/>
      <c r="G1" s="29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Q1" s="151"/>
      <c r="AR1" s="151"/>
      <c r="AS1" s="151"/>
    </row>
    <row r="2" spans="1:49" s="118" customFormat="1" ht="15.75">
      <c r="A2" s="401" t="s">
        <v>405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196"/>
    </row>
    <row r="3" spans="1:49" s="118" customFormat="1" ht="15.75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197"/>
    </row>
    <row r="4" spans="1:49" s="31" customFormat="1" ht="12.75">
      <c r="A4" s="30"/>
      <c r="B4" s="151"/>
      <c r="C4" s="151"/>
      <c r="D4" s="151"/>
      <c r="E4" s="29"/>
      <c r="F4" s="29"/>
      <c r="G4" s="29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02"/>
      <c r="AQ4" s="102"/>
      <c r="AR4" s="102"/>
      <c r="AS4" s="102"/>
    </row>
    <row r="5" spans="1:49" s="31" customFormat="1" ht="12.75">
      <c r="A5" s="400" t="s">
        <v>0</v>
      </c>
      <c r="B5" s="400" t="s">
        <v>261</v>
      </c>
      <c r="C5" s="403" t="s">
        <v>47</v>
      </c>
      <c r="D5" s="403" t="s">
        <v>262</v>
      </c>
      <c r="E5" s="400" t="s">
        <v>1</v>
      </c>
      <c r="F5" s="400" t="s">
        <v>263</v>
      </c>
      <c r="G5" s="400"/>
      <c r="H5" s="400"/>
      <c r="I5" s="400" t="s">
        <v>18</v>
      </c>
      <c r="J5" s="400"/>
      <c r="K5" s="400"/>
      <c r="L5" s="400" t="s">
        <v>19</v>
      </c>
      <c r="M5" s="400"/>
      <c r="N5" s="400"/>
      <c r="O5" s="400" t="s">
        <v>23</v>
      </c>
      <c r="P5" s="400"/>
      <c r="Q5" s="400"/>
      <c r="R5" s="400" t="s">
        <v>25</v>
      </c>
      <c r="S5" s="400"/>
      <c r="T5" s="400"/>
      <c r="U5" s="400" t="s">
        <v>26</v>
      </c>
      <c r="V5" s="400"/>
      <c r="W5" s="400"/>
      <c r="X5" s="400" t="s">
        <v>27</v>
      </c>
      <c r="Y5" s="400"/>
      <c r="Z5" s="400"/>
      <c r="AA5" s="400" t="s">
        <v>29</v>
      </c>
      <c r="AB5" s="400"/>
      <c r="AC5" s="400"/>
      <c r="AD5" s="400" t="s">
        <v>30</v>
      </c>
      <c r="AE5" s="400"/>
      <c r="AF5" s="400"/>
      <c r="AG5" s="400" t="s">
        <v>31</v>
      </c>
      <c r="AH5" s="400"/>
      <c r="AI5" s="400"/>
      <c r="AJ5" s="400" t="s">
        <v>33</v>
      </c>
      <c r="AK5" s="400"/>
      <c r="AL5" s="400"/>
      <c r="AM5" s="400" t="s">
        <v>34</v>
      </c>
      <c r="AN5" s="400"/>
      <c r="AO5" s="400"/>
      <c r="AP5" s="400" t="s">
        <v>35</v>
      </c>
      <c r="AQ5" s="400"/>
      <c r="AR5" s="400"/>
      <c r="AS5" s="398" t="s">
        <v>273</v>
      </c>
      <c r="AT5" s="399" t="s">
        <v>274</v>
      </c>
      <c r="AU5" s="32"/>
      <c r="AV5" s="32"/>
    </row>
    <row r="6" spans="1:49" s="31" customFormat="1" ht="25.5">
      <c r="A6" s="400"/>
      <c r="B6" s="400"/>
      <c r="C6" s="404"/>
      <c r="D6" s="404"/>
      <c r="E6" s="400"/>
      <c r="F6" s="195" t="s">
        <v>264</v>
      </c>
      <c r="G6" s="195" t="s">
        <v>265</v>
      </c>
      <c r="H6" s="128" t="s">
        <v>266</v>
      </c>
      <c r="I6" s="195" t="s">
        <v>264</v>
      </c>
      <c r="J6" s="195" t="s">
        <v>265</v>
      </c>
      <c r="K6" s="128" t="s">
        <v>266</v>
      </c>
      <c r="L6" s="195" t="s">
        <v>264</v>
      </c>
      <c r="M6" s="195" t="s">
        <v>265</v>
      </c>
      <c r="N6" s="128" t="s">
        <v>266</v>
      </c>
      <c r="O6" s="195" t="s">
        <v>264</v>
      </c>
      <c r="P6" s="195" t="s">
        <v>265</v>
      </c>
      <c r="Q6" s="128" t="s">
        <v>266</v>
      </c>
      <c r="R6" s="195" t="s">
        <v>264</v>
      </c>
      <c r="S6" s="195" t="s">
        <v>265</v>
      </c>
      <c r="T6" s="128" t="s">
        <v>266</v>
      </c>
      <c r="U6" s="195" t="s">
        <v>264</v>
      </c>
      <c r="V6" s="195" t="s">
        <v>265</v>
      </c>
      <c r="W6" s="128" t="s">
        <v>266</v>
      </c>
      <c r="X6" s="195" t="s">
        <v>264</v>
      </c>
      <c r="Y6" s="195" t="s">
        <v>265</v>
      </c>
      <c r="Z6" s="128" t="s">
        <v>266</v>
      </c>
      <c r="AA6" s="195" t="s">
        <v>264</v>
      </c>
      <c r="AB6" s="195" t="s">
        <v>265</v>
      </c>
      <c r="AC6" s="128" t="s">
        <v>266</v>
      </c>
      <c r="AD6" s="195" t="s">
        <v>264</v>
      </c>
      <c r="AE6" s="195" t="s">
        <v>265</v>
      </c>
      <c r="AF6" s="128" t="s">
        <v>266</v>
      </c>
      <c r="AG6" s="195" t="s">
        <v>264</v>
      </c>
      <c r="AH6" s="195" t="s">
        <v>265</v>
      </c>
      <c r="AI6" s="128" t="s">
        <v>266</v>
      </c>
      <c r="AJ6" s="195" t="s">
        <v>264</v>
      </c>
      <c r="AK6" s="195" t="s">
        <v>265</v>
      </c>
      <c r="AL6" s="128" t="s">
        <v>266</v>
      </c>
      <c r="AM6" s="195" t="s">
        <v>264</v>
      </c>
      <c r="AN6" s="195" t="s">
        <v>265</v>
      </c>
      <c r="AO6" s="128" t="s">
        <v>266</v>
      </c>
      <c r="AP6" s="195" t="s">
        <v>264</v>
      </c>
      <c r="AQ6" s="195" t="s">
        <v>265</v>
      </c>
      <c r="AR6" s="128" t="s">
        <v>266</v>
      </c>
      <c r="AS6" s="398"/>
      <c r="AT6" s="399"/>
    </row>
    <row r="7" spans="1:49" s="31" customFormat="1" ht="15.75">
      <c r="A7" s="350" t="s">
        <v>322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2"/>
    </row>
    <row r="8" spans="1:49" s="31" customFormat="1" ht="15.75">
      <c r="A8" s="350" t="s">
        <v>294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2"/>
    </row>
    <row r="9" spans="1:49" s="100" customFormat="1" ht="12.75">
      <c r="A9" s="386" t="s">
        <v>267</v>
      </c>
      <c r="B9" s="387"/>
      <c r="C9" s="387"/>
      <c r="D9" s="388"/>
      <c r="E9" s="129" t="s">
        <v>42</v>
      </c>
      <c r="F9" s="106">
        <f>F10+F11+F12</f>
        <v>388439.29999999993</v>
      </c>
      <c r="G9" s="106">
        <f t="shared" ref="G9:AP9" si="0">G10+G11+G12</f>
        <v>82185.999999999985</v>
      </c>
      <c r="H9" s="106">
        <f t="shared" ref="H9:H17" si="1">G9/F9*100</f>
        <v>21.158003322526838</v>
      </c>
      <c r="I9" s="106">
        <f t="shared" si="0"/>
        <v>13186.399999999998</v>
      </c>
      <c r="J9" s="106">
        <f t="shared" si="0"/>
        <v>24711</v>
      </c>
      <c r="K9" s="106">
        <f>J9/I9*100</f>
        <v>187.39762179214952</v>
      </c>
      <c r="L9" s="106">
        <f t="shared" si="0"/>
        <v>40103.200000000004</v>
      </c>
      <c r="M9" s="106">
        <f t="shared" si="0"/>
        <v>31148.600000000002</v>
      </c>
      <c r="N9" s="106">
        <f>M9/L9*100</f>
        <v>77.67110853996688</v>
      </c>
      <c r="O9" s="106">
        <f t="shared" si="0"/>
        <v>34440.199999999997</v>
      </c>
      <c r="P9" s="106">
        <f t="shared" si="0"/>
        <v>26326.399999999998</v>
      </c>
      <c r="Q9" s="106">
        <f>P9/O9*100</f>
        <v>76.440903362930527</v>
      </c>
      <c r="R9" s="106">
        <f t="shared" si="0"/>
        <v>39588</v>
      </c>
      <c r="S9" s="106">
        <f t="shared" si="0"/>
        <v>0</v>
      </c>
      <c r="T9" s="106">
        <f>S9/R9*100</f>
        <v>0</v>
      </c>
      <c r="U9" s="106">
        <f t="shared" si="0"/>
        <v>31792.799999999996</v>
      </c>
      <c r="V9" s="106">
        <f t="shared" si="0"/>
        <v>0</v>
      </c>
      <c r="W9" s="106">
        <f>V9/U9*100</f>
        <v>0</v>
      </c>
      <c r="X9" s="106">
        <f t="shared" si="0"/>
        <v>37441.399999999994</v>
      </c>
      <c r="Y9" s="106">
        <f t="shared" si="0"/>
        <v>0</v>
      </c>
      <c r="Z9" s="106" t="e">
        <f t="shared" si="0"/>
        <v>#REF!</v>
      </c>
      <c r="AA9" s="106">
        <f t="shared" si="0"/>
        <v>46006.5</v>
      </c>
      <c r="AB9" s="106">
        <f t="shared" si="0"/>
        <v>0</v>
      </c>
      <c r="AC9" s="106" t="e">
        <f t="shared" si="0"/>
        <v>#REF!</v>
      </c>
      <c r="AD9" s="106">
        <f t="shared" si="0"/>
        <v>33870.399999999994</v>
      </c>
      <c r="AE9" s="106">
        <f t="shared" si="0"/>
        <v>0</v>
      </c>
      <c r="AF9" s="106">
        <f>AE9/AD9*100</f>
        <v>0</v>
      </c>
      <c r="AG9" s="106">
        <f t="shared" si="0"/>
        <v>24791.399999999998</v>
      </c>
      <c r="AH9" s="106">
        <f t="shared" si="0"/>
        <v>0</v>
      </c>
      <c r="AI9" s="106" t="e">
        <f t="shared" si="0"/>
        <v>#REF!</v>
      </c>
      <c r="AJ9" s="106">
        <f t="shared" si="0"/>
        <v>21830.899999999998</v>
      </c>
      <c r="AK9" s="106">
        <f t="shared" si="0"/>
        <v>0</v>
      </c>
      <c r="AL9" s="106" t="e">
        <f t="shared" si="0"/>
        <v>#REF!</v>
      </c>
      <c r="AM9" s="106">
        <f t="shared" si="0"/>
        <v>21887.199999999997</v>
      </c>
      <c r="AN9" s="106">
        <f t="shared" si="0"/>
        <v>0</v>
      </c>
      <c r="AO9" s="106" t="e">
        <f t="shared" si="0"/>
        <v>#REF!</v>
      </c>
      <c r="AP9" s="106">
        <f t="shared" si="0"/>
        <v>43500.899999999994</v>
      </c>
      <c r="AQ9" s="106" t="e">
        <f>#REF!+#REF!</f>
        <v>#REF!</v>
      </c>
      <c r="AR9" s="106" t="e">
        <f>#REF!+#REF!</f>
        <v>#REF!</v>
      </c>
      <c r="AS9" s="317"/>
      <c r="AT9" s="395"/>
      <c r="AU9" s="127"/>
    </row>
    <row r="10" spans="1:49" s="100" customFormat="1" ht="36">
      <c r="A10" s="389"/>
      <c r="B10" s="390"/>
      <c r="C10" s="390"/>
      <c r="D10" s="391"/>
      <c r="E10" s="111" t="s">
        <v>3</v>
      </c>
      <c r="F10" s="106">
        <f>F14+F18+F23+F26+F30</f>
        <v>94533.999999999971</v>
      </c>
      <c r="G10" s="106">
        <f>G14+G18+G23+G26+G30</f>
        <v>13891.1</v>
      </c>
      <c r="H10" s="106">
        <f t="shared" si="1"/>
        <v>14.694289885120702</v>
      </c>
      <c r="I10" s="106">
        <f>I14+I18+I23+I26+I30</f>
        <v>849.99999999999989</v>
      </c>
      <c r="J10" s="106">
        <f>J14+J18+J23+J26+J30</f>
        <v>826.6</v>
      </c>
      <c r="K10" s="106">
        <f t="shared" ref="K10:K12" si="2">J10/I10*100</f>
        <v>97.247058823529429</v>
      </c>
      <c r="L10" s="106">
        <f>L14+L18+L23+L26+L30</f>
        <v>6698.4</v>
      </c>
      <c r="M10" s="106">
        <f>M14+M18+M23+M26+M30</f>
        <v>6531.9000000000005</v>
      </c>
      <c r="N10" s="106">
        <f t="shared" ref="N10:N12" si="3">M10/L10*100</f>
        <v>97.514331780723779</v>
      </c>
      <c r="O10" s="106">
        <f>O14+O18+O23+O26+O30</f>
        <v>7010.7999999999993</v>
      </c>
      <c r="P10" s="106">
        <f>P14+P18+P23+P26+P30</f>
        <v>6532.6</v>
      </c>
      <c r="Q10" s="106">
        <f t="shared" ref="Q10:Q12" si="4">P10/O10*100</f>
        <v>93.179095110401107</v>
      </c>
      <c r="R10" s="106">
        <f>R14+R18+R23+R26+R30</f>
        <v>7150.7999999999993</v>
      </c>
      <c r="S10" s="106">
        <f>S14+S18+S23+S26+S30</f>
        <v>0</v>
      </c>
      <c r="T10" s="106">
        <f t="shared" ref="T10:T12" si="5">S10/R10*100</f>
        <v>0</v>
      </c>
      <c r="U10" s="106">
        <f>U14+U18+U23+U26+U30</f>
        <v>6616.3999999999987</v>
      </c>
      <c r="V10" s="106">
        <f>V14+V18+V23+V26+V30</f>
        <v>0</v>
      </c>
      <c r="W10" s="106">
        <f t="shared" ref="W10:W12" si="6">V10/U10*100</f>
        <v>0</v>
      </c>
      <c r="X10" s="106">
        <f>X14+X18+X23+X26+X30</f>
        <v>7788.7999999999993</v>
      </c>
      <c r="Y10" s="106">
        <f>Y14+Y18+Y23+Y26+Y30</f>
        <v>0</v>
      </c>
      <c r="Z10" s="106" t="e">
        <f>Z14+Z18+Z23+Z26+#REF!+#REF!+#REF!+#REF!+#REF!+#REF!+#REF!+#REF!+#REF!+#REF!</f>
        <v>#REF!</v>
      </c>
      <c r="AA10" s="106">
        <f>AA14+AA18+AA23+AA26+AA30</f>
        <v>8153.3</v>
      </c>
      <c r="AB10" s="106">
        <f>AB14+AB18+AB23+AB26+AB30</f>
        <v>0</v>
      </c>
      <c r="AC10" s="106" t="e">
        <f>AC14+AC18+AC23+AC26+#REF!+#REF!+#REF!+#REF!+#REF!+#REF!+#REF!+#REF!+#REF!+#REF!</f>
        <v>#REF!</v>
      </c>
      <c r="AD10" s="106">
        <f>AD14+AD18+AD23+AD26+AD30</f>
        <v>9168.0999999999985</v>
      </c>
      <c r="AE10" s="106">
        <f>AE14+AE18+AE23+AE26+AE30</f>
        <v>0</v>
      </c>
      <c r="AF10" s="106">
        <f t="shared" ref="AF10:AF25" si="7">AE10/AD10*100</f>
        <v>0</v>
      </c>
      <c r="AG10" s="106">
        <f>AG14+AG18+AG23+AG26+AG30</f>
        <v>6977.7</v>
      </c>
      <c r="AH10" s="106">
        <f>AH14+AH18+AH23+AH26+AH30</f>
        <v>0</v>
      </c>
      <c r="AI10" s="106" t="e">
        <f>AI14+AI18+AI23+AI26+#REF!+#REF!+#REF!+#REF!+#REF!+#REF!+#REF!+#REF!+#REF!+#REF!</f>
        <v>#REF!</v>
      </c>
      <c r="AJ10" s="106">
        <f>AJ14+AJ18+AJ23+AJ26+AJ30</f>
        <v>7065.1999999999989</v>
      </c>
      <c r="AK10" s="106">
        <f>AK14+AK18+AK23+AK26+AK30</f>
        <v>0</v>
      </c>
      <c r="AL10" s="106" t="e">
        <f>AL14+AL18+AL23+AL26+#REF!+#REF!+#REF!+#REF!+#REF!+#REF!+#REF!+#REF!+#REF!+#REF!</f>
        <v>#REF!</v>
      </c>
      <c r="AM10" s="106">
        <f>AM14+AM18+AM23+AM26+AM30</f>
        <v>7081.0999999999995</v>
      </c>
      <c r="AN10" s="106">
        <f>AN14+AN18+AN23+AN26+AN30</f>
        <v>0</v>
      </c>
      <c r="AO10" s="106" t="e">
        <f>AO14+AO18+AO23+AO26+#REF!+#REF!+#REF!+#REF!+#REF!+#REF!+#REF!+#REF!+#REF!+#REF!</f>
        <v>#REF!</v>
      </c>
      <c r="AP10" s="106">
        <f>AP14+AP18+AP23+AP26+AP30</f>
        <v>19973.399999999998</v>
      </c>
      <c r="AQ10" s="106">
        <f>AQ14+AQ18+AQ23+AQ26+AQ30</f>
        <v>0</v>
      </c>
      <c r="AR10" s="106" t="e">
        <f>AR14+AR18+AR23+AR26+#REF!+#REF!+#REF!+#REF!+#REF!+#REF!+#REF!+#REF!+#REF!+#REF!</f>
        <v>#REF!</v>
      </c>
      <c r="AS10" s="318"/>
      <c r="AT10" s="396"/>
      <c r="AU10" s="127"/>
    </row>
    <row r="11" spans="1:49" s="100" customFormat="1" ht="24">
      <c r="A11" s="389"/>
      <c r="B11" s="390"/>
      <c r="C11" s="390"/>
      <c r="D11" s="391"/>
      <c r="E11" s="111" t="s">
        <v>44</v>
      </c>
      <c r="F11" s="106">
        <f>F15+F19+F24+F27+F31</f>
        <v>288073.19999999995</v>
      </c>
      <c r="G11" s="106">
        <f>G15+G19+G24+G27+G31</f>
        <v>67488.999999999985</v>
      </c>
      <c r="H11" s="106">
        <f t="shared" si="1"/>
        <v>23.427726008528388</v>
      </c>
      <c r="I11" s="106">
        <f>I15+I19+I24+I27+I31</f>
        <v>12074.599999999999</v>
      </c>
      <c r="J11" s="106">
        <f>J15+J19+J24+J27+J31</f>
        <v>23884.400000000001</v>
      </c>
      <c r="K11" s="106">
        <f t="shared" si="2"/>
        <v>197.80696669040799</v>
      </c>
      <c r="L11" s="106">
        <f>L15+L19+L24+L27+L31</f>
        <v>33068.300000000003</v>
      </c>
      <c r="M11" s="106">
        <f>M15+M19+M24+M27+M31</f>
        <v>24395.100000000002</v>
      </c>
      <c r="N11" s="106">
        <f t="shared" si="3"/>
        <v>73.771860059331757</v>
      </c>
      <c r="O11" s="106">
        <f>O15+O19+O24+O27+O31</f>
        <v>26703.1</v>
      </c>
      <c r="P11" s="106">
        <f>P15+P19+P24+P27+P31</f>
        <v>19209.5</v>
      </c>
      <c r="Q11" s="106">
        <f t="shared" si="4"/>
        <v>71.937340608393782</v>
      </c>
      <c r="R11" s="106">
        <f>R15+R19+R24+R27+R31</f>
        <v>31696.600000000002</v>
      </c>
      <c r="S11" s="106">
        <f>S15+S19+S24+S27+S31</f>
        <v>0</v>
      </c>
      <c r="T11" s="106">
        <f t="shared" si="5"/>
        <v>0</v>
      </c>
      <c r="U11" s="106">
        <f>U15+U19+U24+U27+U31</f>
        <v>24696.699999999997</v>
      </c>
      <c r="V11" s="106">
        <f>V15+V19+V24+V27+V31</f>
        <v>0</v>
      </c>
      <c r="W11" s="106">
        <f t="shared" si="6"/>
        <v>0</v>
      </c>
      <c r="X11" s="106">
        <f>X15+X19+X24+X27+X31</f>
        <v>29200.899999999994</v>
      </c>
      <c r="Y11" s="106">
        <f>Y15+Y19+Y24+Y27+Y31</f>
        <v>0</v>
      </c>
      <c r="Z11" s="106" t="e">
        <f>Z15+Z19+Z24+Z27+#REF!+#REF!+#REF!+#REF!+#REF!+#REF!+#REF!+#REF!+#REF!+#REF!</f>
        <v>#REF!</v>
      </c>
      <c r="AA11" s="106">
        <f>AA15+AA19+AA24+AA27+AA31</f>
        <v>37184.1</v>
      </c>
      <c r="AB11" s="106">
        <f>AB15+AB19+AB24+AB27+AB31</f>
        <v>0</v>
      </c>
      <c r="AC11" s="106" t="e">
        <f>AC15+AC19+AC24+AC27+#REF!+#REF!+#REF!+#REF!+#REF!+#REF!+#REF!+#REF!+#REF!+#REF!</f>
        <v>#REF!</v>
      </c>
      <c r="AD11" s="106">
        <f>AD15+AD19+AD24+AD27+AD31</f>
        <v>24183.3</v>
      </c>
      <c r="AE11" s="106">
        <f>AE15+AE19+AE24+AE27+AE31</f>
        <v>0</v>
      </c>
      <c r="AF11" s="106">
        <f t="shared" si="7"/>
        <v>0</v>
      </c>
      <c r="AG11" s="106">
        <f>AG15+AG19+AG24+AG27+AG31</f>
        <v>17512.099999999999</v>
      </c>
      <c r="AH11" s="106">
        <f>AH15+AH19+AH24+AH27+AH31</f>
        <v>0</v>
      </c>
      <c r="AI11" s="106" t="e">
        <f>AI15+AI19+AI24+AI27+#REF!+#REF!+#REF!+#REF!+#REF!+#REF!+#REF!+#REF!+#REF!+#REF!</f>
        <v>#REF!</v>
      </c>
      <c r="AJ11" s="106">
        <f>AJ15+AJ19+AJ24+AJ27+AJ31</f>
        <v>14201.1</v>
      </c>
      <c r="AK11" s="106">
        <f>AK15+AK19+AK24+AK27+AK31</f>
        <v>0</v>
      </c>
      <c r="AL11" s="106" t="e">
        <f>AL15+AL19+AL24+AL27+#REF!+#REF!+#REF!+#REF!+#REF!+#REF!+#REF!+#REF!+#REF!+#REF!</f>
        <v>#REF!</v>
      </c>
      <c r="AM11" s="106">
        <f>AM15+AM19+AM24+AM27+AM31</f>
        <v>14279.699999999997</v>
      </c>
      <c r="AN11" s="106">
        <f>AN15+AN19+AN24+AN27+AN31</f>
        <v>0</v>
      </c>
      <c r="AO11" s="106" t="e">
        <f>AO15+AO19+AO24+AO27+#REF!+#REF!+#REF!+#REF!+#REF!+#REF!+#REF!+#REF!+#REF!+#REF!</f>
        <v>#REF!</v>
      </c>
      <c r="AP11" s="106">
        <f>AP15+AP19+AP24+AP27+AP31</f>
        <v>23272.699999999997</v>
      </c>
      <c r="AQ11" s="106">
        <f>AQ15+AQ19+AQ24+AQ27+AQ31</f>
        <v>0</v>
      </c>
      <c r="AR11" s="106" t="e">
        <f>AR15+AR19+AR24+AR27+#REF!+#REF!+#REF!+#REF!+#REF!+#REF!+#REF!+#REF!+#REF!+#REF!</f>
        <v>#REF!</v>
      </c>
      <c r="AS11" s="318"/>
      <c r="AT11" s="396"/>
      <c r="AU11" s="127"/>
    </row>
    <row r="12" spans="1:49" s="100" customFormat="1" ht="24">
      <c r="A12" s="392"/>
      <c r="B12" s="393"/>
      <c r="C12" s="393"/>
      <c r="D12" s="394"/>
      <c r="E12" s="110" t="s">
        <v>257</v>
      </c>
      <c r="F12" s="106">
        <f>F16+F20+F28</f>
        <v>5832.0999999999995</v>
      </c>
      <c r="G12" s="106">
        <f>G16+G20+G28</f>
        <v>805.9</v>
      </c>
      <c r="H12" s="106">
        <f t="shared" si="1"/>
        <v>13.818350165463556</v>
      </c>
      <c r="I12" s="106">
        <f>I16+I20+I28</f>
        <v>261.8</v>
      </c>
      <c r="J12" s="106">
        <f>J16+J20+J28</f>
        <v>0</v>
      </c>
      <c r="K12" s="106">
        <f t="shared" si="2"/>
        <v>0</v>
      </c>
      <c r="L12" s="106">
        <f>L16+L20+L28</f>
        <v>336.5</v>
      </c>
      <c r="M12" s="106">
        <f>M16+M20+M28</f>
        <v>221.6</v>
      </c>
      <c r="N12" s="106">
        <f t="shared" si="3"/>
        <v>65.854383358098062</v>
      </c>
      <c r="O12" s="106">
        <f>O16+O20+O28</f>
        <v>726.3</v>
      </c>
      <c r="P12" s="106">
        <f>P16+P20+P28</f>
        <v>584.29999999999995</v>
      </c>
      <c r="Q12" s="106">
        <f t="shared" si="4"/>
        <v>80.448850337326178</v>
      </c>
      <c r="R12" s="106">
        <f>R16+R20+R28</f>
        <v>740.6</v>
      </c>
      <c r="S12" s="106">
        <f>S16+S20+S28</f>
        <v>0</v>
      </c>
      <c r="T12" s="106">
        <f t="shared" si="5"/>
        <v>0</v>
      </c>
      <c r="U12" s="106">
        <f>U16+U20+U28</f>
        <v>479.7</v>
      </c>
      <c r="V12" s="106">
        <f>V16+V20+V28</f>
        <v>0</v>
      </c>
      <c r="W12" s="106">
        <f t="shared" si="6"/>
        <v>0</v>
      </c>
      <c r="X12" s="106">
        <f>X16+X20+X28</f>
        <v>451.70000000000005</v>
      </c>
      <c r="Y12" s="106">
        <f>Y16+Y20+Y28</f>
        <v>0</v>
      </c>
      <c r="Z12" s="106" t="e">
        <f>Z16+Z20+#REF!+Z28+#REF!+#REF!+#REF!+#REF!+#REF!+#REF!+#REF!+#REF!+#REF!+#REF!</f>
        <v>#REF!</v>
      </c>
      <c r="AA12" s="106">
        <f>AA16+AA20+AA28</f>
        <v>669.1</v>
      </c>
      <c r="AB12" s="106">
        <f>AB16+AB20+AB28</f>
        <v>0</v>
      </c>
      <c r="AC12" s="106" t="e">
        <f>AC16+AC20+#REF!+AC28+#REF!+#REF!+#REF!+#REF!+#REF!+#REF!+#REF!+#REF!+#REF!+#REF!</f>
        <v>#REF!</v>
      </c>
      <c r="AD12" s="106">
        <f>AD16+AD20+AD28</f>
        <v>519</v>
      </c>
      <c r="AE12" s="106">
        <f>AE16+AE20+AE28</f>
        <v>0</v>
      </c>
      <c r="AF12" s="106">
        <f t="shared" si="7"/>
        <v>0</v>
      </c>
      <c r="AG12" s="106">
        <f>AG16+AG20+AG28</f>
        <v>301.60000000000002</v>
      </c>
      <c r="AH12" s="106">
        <f>AH16+AH20+AH28</f>
        <v>0</v>
      </c>
      <c r="AI12" s="106" t="e">
        <f>AI16+AI20+#REF!+AI28+#REF!+#REF!+#REF!+#REF!+#REF!+#REF!+#REF!+#REF!+#REF!+#REF!+#REF!</f>
        <v>#REF!</v>
      </c>
      <c r="AJ12" s="106">
        <f>AJ16+AJ20+AJ28</f>
        <v>564.6</v>
      </c>
      <c r="AK12" s="106">
        <f>AK16+AK20+AK28</f>
        <v>0</v>
      </c>
      <c r="AL12" s="106" t="e">
        <f>AL16+AL20+#REF!+AL28+#REF!+#REF!+#REF!+#REF!+#REF!+#REF!+#REF!+#REF!+#REF!+#REF!+#REF!</f>
        <v>#REF!</v>
      </c>
      <c r="AM12" s="106">
        <f>AM16+AM20+AM28</f>
        <v>526.4</v>
      </c>
      <c r="AN12" s="106">
        <f>AN16+AN20+AN28</f>
        <v>0</v>
      </c>
      <c r="AO12" s="106" t="e">
        <f>AO16+AO20+#REF!+AO28+#REF!+#REF!+#REF!+#REF!+#REF!+#REF!+#REF!+#REF!+#REF!+#REF!+#REF!</f>
        <v>#REF!</v>
      </c>
      <c r="AP12" s="106">
        <f>AP16+AP20+AP28</f>
        <v>254.8</v>
      </c>
      <c r="AQ12" s="106">
        <f>AQ16+AQ20+AQ28</f>
        <v>0</v>
      </c>
      <c r="AR12" s="106" t="e">
        <f>AR16+AR20+#REF!+AR28+#REF!+#REF!+#REF!+#REF!+#REF!+#REF!+#REF!+#REF!+#REF!+#REF!</f>
        <v>#REF!</v>
      </c>
      <c r="AS12" s="319"/>
      <c r="AT12" s="397"/>
      <c r="AU12" s="127"/>
    </row>
    <row r="13" spans="1:49" s="31" customFormat="1" ht="12.75">
      <c r="A13" s="365" t="s">
        <v>323</v>
      </c>
      <c r="B13" s="329" t="s">
        <v>324</v>
      </c>
      <c r="C13" s="332" t="s">
        <v>325</v>
      </c>
      <c r="D13" s="332" t="s">
        <v>326</v>
      </c>
      <c r="E13" s="107" t="s">
        <v>42</v>
      </c>
      <c r="F13" s="104">
        <f>SUM(F14:F16)</f>
        <v>301286.39999999991</v>
      </c>
      <c r="G13" s="123">
        <f t="shared" ref="G13:P13" si="8">SUM(G14:G16)</f>
        <v>61490.299999999996</v>
      </c>
      <c r="H13" s="123">
        <f t="shared" si="1"/>
        <v>20.40925179496984</v>
      </c>
      <c r="I13" s="123">
        <f t="shared" si="8"/>
        <v>6660</v>
      </c>
      <c r="J13" s="123">
        <f t="shared" si="8"/>
        <v>18204.3</v>
      </c>
      <c r="K13" s="123">
        <f>J13/I13*100</f>
        <v>273.33783783783781</v>
      </c>
      <c r="L13" s="123">
        <f t="shared" si="8"/>
        <v>32305.4</v>
      </c>
      <c r="M13" s="123">
        <f t="shared" si="8"/>
        <v>23626.699999999997</v>
      </c>
      <c r="N13" s="123">
        <f>M13/L13*100</f>
        <v>73.135451039145153</v>
      </c>
      <c r="O13" s="123">
        <f t="shared" si="8"/>
        <v>27055.399999999998</v>
      </c>
      <c r="P13" s="123">
        <f t="shared" si="8"/>
        <v>19659.3</v>
      </c>
      <c r="Q13" s="123">
        <f>P13/O13*100</f>
        <v>72.66312824796529</v>
      </c>
      <c r="R13" s="123">
        <f t="shared" ref="R13:AR13" si="9">SUM(R14:R16)</f>
        <v>31994.9</v>
      </c>
      <c r="S13" s="123">
        <f t="shared" si="9"/>
        <v>0</v>
      </c>
      <c r="T13" s="123">
        <f>S13/R13*100</f>
        <v>0</v>
      </c>
      <c r="U13" s="123">
        <f t="shared" si="9"/>
        <v>24241.5</v>
      </c>
      <c r="V13" s="123">
        <f t="shared" si="9"/>
        <v>0</v>
      </c>
      <c r="W13" s="123">
        <f>V13/U13*100</f>
        <v>0</v>
      </c>
      <c r="X13" s="123">
        <f t="shared" si="9"/>
        <v>27456.999999999996</v>
      </c>
      <c r="Y13" s="123">
        <f t="shared" si="9"/>
        <v>0</v>
      </c>
      <c r="Z13" s="123">
        <f t="shared" si="9"/>
        <v>0</v>
      </c>
      <c r="AA13" s="104">
        <f t="shared" si="9"/>
        <v>37585.5</v>
      </c>
      <c r="AB13" s="123">
        <f t="shared" si="9"/>
        <v>0</v>
      </c>
      <c r="AC13" s="123">
        <f t="shared" si="9"/>
        <v>0</v>
      </c>
      <c r="AD13" s="104">
        <f t="shared" si="9"/>
        <v>26895.1</v>
      </c>
      <c r="AE13" s="104">
        <f t="shared" si="9"/>
        <v>0</v>
      </c>
      <c r="AF13" s="104">
        <f t="shared" si="7"/>
        <v>0</v>
      </c>
      <c r="AG13" s="104">
        <f t="shared" si="9"/>
        <v>18474.699999999997</v>
      </c>
      <c r="AH13" s="123">
        <f t="shared" si="9"/>
        <v>0</v>
      </c>
      <c r="AI13" s="123">
        <v>0</v>
      </c>
      <c r="AJ13" s="123">
        <f t="shared" si="9"/>
        <v>15428.3</v>
      </c>
      <c r="AK13" s="123">
        <f t="shared" si="9"/>
        <v>0</v>
      </c>
      <c r="AL13" s="123">
        <f t="shared" si="9"/>
        <v>0</v>
      </c>
      <c r="AM13" s="104">
        <f t="shared" si="9"/>
        <v>16324.299999999997</v>
      </c>
      <c r="AN13" s="123">
        <f t="shared" si="9"/>
        <v>0</v>
      </c>
      <c r="AO13" s="123">
        <f t="shared" si="9"/>
        <v>0</v>
      </c>
      <c r="AP13" s="104">
        <f t="shared" si="9"/>
        <v>36864.300000000003</v>
      </c>
      <c r="AQ13" s="123">
        <f t="shared" si="9"/>
        <v>0</v>
      </c>
      <c r="AR13" s="123">
        <f t="shared" si="9"/>
        <v>0</v>
      </c>
      <c r="AS13" s="338" t="s">
        <v>430</v>
      </c>
      <c r="AT13" s="444" t="s">
        <v>428</v>
      </c>
      <c r="AU13" s="121"/>
      <c r="AV13" s="121"/>
      <c r="AW13" s="155"/>
    </row>
    <row r="14" spans="1:49" s="31" customFormat="1" ht="36">
      <c r="A14" s="366"/>
      <c r="B14" s="330"/>
      <c r="C14" s="333"/>
      <c r="D14" s="333"/>
      <c r="E14" s="108" t="s">
        <v>3</v>
      </c>
      <c r="F14" s="123">
        <f>I14+L14+O14+R14+U14+X14+AA14+AD14+AG14+AJ14+AM14+AP14</f>
        <v>91986.599999999977</v>
      </c>
      <c r="G14" s="123">
        <f>J14+M14+P14+S14+V14+Y14+AB14+AE14+AH14+AK14+AN14+AQ14</f>
        <v>13734.2</v>
      </c>
      <c r="H14" s="123">
        <f t="shared" si="1"/>
        <v>14.930652942928649</v>
      </c>
      <c r="I14" s="123">
        <f>47.4+15+887.2+85-184.6</f>
        <v>849.99999999999989</v>
      </c>
      <c r="J14" s="123">
        <v>826.6</v>
      </c>
      <c r="K14" s="123">
        <f>J14/I14*100</f>
        <v>97.247058823529429</v>
      </c>
      <c r="L14" s="123">
        <f>5300+92.5+1181.4</f>
        <v>6573.9</v>
      </c>
      <c r="M14" s="123">
        <v>6488.1</v>
      </c>
      <c r="N14" s="123">
        <f>M14/L14*100</f>
        <v>98.694838680235492</v>
      </c>
      <c r="O14" s="123">
        <f>5300+79.4+1165.4-6.3+184.6-147.7+295.4</f>
        <v>6870.7999999999993</v>
      </c>
      <c r="P14" s="123">
        <v>6419.5</v>
      </c>
      <c r="Q14" s="123">
        <f>P14/O14*100</f>
        <v>93.431623682831699</v>
      </c>
      <c r="R14" s="123">
        <f>5300+226+5+1479.9</f>
        <v>7010.9</v>
      </c>
      <c r="S14" s="123">
        <v>0</v>
      </c>
      <c r="T14" s="123">
        <v>0</v>
      </c>
      <c r="U14" s="117">
        <f>5300+19.7+79.4+21+897.9+136</f>
        <v>6453.9999999999991</v>
      </c>
      <c r="V14" s="117">
        <v>0</v>
      </c>
      <c r="W14" s="117">
        <v>0</v>
      </c>
      <c r="X14" s="117">
        <f>6259+53.9+5+1168.2-27.8+0.1</f>
        <v>7458.4</v>
      </c>
      <c r="Y14" s="117">
        <v>0</v>
      </c>
      <c r="Z14" s="117">
        <v>0</v>
      </c>
      <c r="AA14" s="123">
        <f>5350+60+305.7+5+2083.4</f>
        <v>7804.1</v>
      </c>
      <c r="AB14" s="123">
        <v>0</v>
      </c>
      <c r="AC14" s="123">
        <v>0</v>
      </c>
      <c r="AD14" s="117">
        <f>7486+216.1+5+1166.4-53.2</f>
        <v>8820.2999999999993</v>
      </c>
      <c r="AE14" s="117">
        <v>0</v>
      </c>
      <c r="AF14" s="117">
        <v>0</v>
      </c>
      <c r="AG14" s="117">
        <f>108.1+5300+71+123+136.5+561.4+365.7-0.1</f>
        <v>6665.5999999999995</v>
      </c>
      <c r="AH14" s="117">
        <v>0</v>
      </c>
      <c r="AI14" s="123">
        <v>0</v>
      </c>
      <c r="AJ14" s="123">
        <f>5250+113.9+5+1439.4</f>
        <v>6808.2999999999993</v>
      </c>
      <c r="AK14" s="123">
        <v>0</v>
      </c>
      <c r="AL14" s="123">
        <v>0</v>
      </c>
      <c r="AM14" s="117">
        <f>5250+100.2+79.5+325.1+1162.1</f>
        <v>6916.9</v>
      </c>
      <c r="AN14" s="117">
        <v>0</v>
      </c>
      <c r="AO14" s="117">
        <v>0</v>
      </c>
      <c r="AP14" s="117">
        <f>11.1+17482.4+151.9+226.6+1870.8-217.2-85+395.6-82.8</f>
        <v>19753.399999999998</v>
      </c>
      <c r="AQ14" s="123"/>
      <c r="AR14" s="123"/>
      <c r="AS14" s="339"/>
      <c r="AT14" s="445"/>
      <c r="AU14" s="121"/>
      <c r="AV14" s="121"/>
      <c r="AW14" s="155"/>
    </row>
    <row r="15" spans="1:49" s="31" customFormat="1" ht="12.75">
      <c r="A15" s="366"/>
      <c r="B15" s="330"/>
      <c r="C15" s="333"/>
      <c r="D15" s="333"/>
      <c r="E15" s="108" t="s">
        <v>44</v>
      </c>
      <c r="F15" s="123">
        <f t="shared" ref="F15:G16" si="10">I15+L15+O15+R15+U15+X15+AA15+AD15+AG15+AJ15+AM15+AP15</f>
        <v>203467.69999999998</v>
      </c>
      <c r="G15" s="123">
        <f t="shared" si="10"/>
        <v>46950.2</v>
      </c>
      <c r="H15" s="123">
        <f t="shared" si="1"/>
        <v>23.075013871980662</v>
      </c>
      <c r="I15" s="123">
        <v>5548.2</v>
      </c>
      <c r="J15" s="123">
        <v>17377.7</v>
      </c>
      <c r="K15" s="123">
        <f>J15/I15*100</f>
        <v>313.213294401788</v>
      </c>
      <c r="L15" s="123">
        <f>517.2+2195.7+21252+496.8+361.9+645.7-74+0.3-0.6</f>
        <v>25395.000000000004</v>
      </c>
      <c r="M15" s="123">
        <v>16917</v>
      </c>
      <c r="N15" s="123">
        <f t="shared" ref="N15:N22" si="11">M15/L15*100</f>
        <v>66.615475487300628</v>
      </c>
      <c r="O15" s="123">
        <f>938.9+1669.1+15140.2+361.8+251.7+81+61.3-1+41.1+913.8+0.4</f>
        <v>19458.3</v>
      </c>
      <c r="P15" s="123">
        <v>12655.5</v>
      </c>
      <c r="Q15" s="123">
        <f t="shared" ref="Q15:Q22" si="12">P15/O15*100</f>
        <v>65.039083578729901</v>
      </c>
      <c r="R15" s="123">
        <f>662.3+2139.5+21249.9+500+398.9+68.6+40-815.8</f>
        <v>24243.4</v>
      </c>
      <c r="S15" s="123">
        <v>0</v>
      </c>
      <c r="T15" s="123">
        <f t="shared" ref="T15:T22" si="13">S15/R15*100</f>
        <v>0</v>
      </c>
      <c r="U15" s="117">
        <f>114.6+1286.2+14324.5+500+499.1+290.4+293</f>
        <v>17307.8</v>
      </c>
      <c r="V15" s="117">
        <v>0</v>
      </c>
      <c r="W15" s="123">
        <f t="shared" ref="W15" si="14">V15/U15*100</f>
        <v>0</v>
      </c>
      <c r="X15" s="117">
        <f>334.2+1608.2+15696.6+500+535.6+174.6-0.2-122.8+820.7</f>
        <v>19546.899999999998</v>
      </c>
      <c r="Y15" s="117">
        <v>0</v>
      </c>
      <c r="Z15" s="117">
        <f>Y15/X15*100</f>
        <v>0</v>
      </c>
      <c r="AA15" s="105">
        <f>456.7+2982.6+24667.5+500+461.9+43.6</f>
        <v>29112.3</v>
      </c>
      <c r="AB15" s="117">
        <v>0</v>
      </c>
      <c r="AC15" s="117">
        <f>AB15/AA15*100</f>
        <v>0</v>
      </c>
      <c r="AD15" s="105">
        <f>205.2+996.9+15105+500+466.9+281.8</f>
        <v>17555.8</v>
      </c>
      <c r="AE15" s="105">
        <v>0</v>
      </c>
      <c r="AF15" s="117">
        <f>AE15/AD15*100</f>
        <v>0</v>
      </c>
      <c r="AG15" s="105">
        <f>410.5+1275+9041.8+500+537.9+527.3-0.2-784.8</f>
        <v>11507.499999999998</v>
      </c>
      <c r="AH15" s="117">
        <v>0</v>
      </c>
      <c r="AI15" s="117">
        <v>0</v>
      </c>
      <c r="AJ15" s="123">
        <f>340.9+1654.3+2843.2+250+761.9+280.1+1925</f>
        <v>8055.4</v>
      </c>
      <c r="AK15" s="123">
        <v>0</v>
      </c>
      <c r="AL15" s="123">
        <v>0</v>
      </c>
      <c r="AM15" s="105">
        <f>165.1+1038+6305.7+250+841.9+280.3</f>
        <v>8880.9999999999982</v>
      </c>
      <c r="AN15" s="117">
        <v>0</v>
      </c>
      <c r="AO15" s="117">
        <v>0</v>
      </c>
      <c r="AP15" s="104">
        <f>257+1140.6+13806+958+795.4-41.1-98+74.1-0.3+0.6-36.2</f>
        <v>16856.099999999999</v>
      </c>
      <c r="AQ15" s="123"/>
      <c r="AR15" s="123"/>
      <c r="AS15" s="339"/>
      <c r="AT15" s="445"/>
      <c r="AU15" s="121"/>
      <c r="AV15" s="121"/>
      <c r="AW15" s="155"/>
    </row>
    <row r="16" spans="1:49" s="31" customFormat="1" ht="71.25" customHeight="1">
      <c r="A16" s="367"/>
      <c r="B16" s="331"/>
      <c r="C16" s="334"/>
      <c r="D16" s="334"/>
      <c r="E16" s="109" t="s">
        <v>257</v>
      </c>
      <c r="F16" s="123">
        <f t="shared" si="10"/>
        <v>5832.0999999999995</v>
      </c>
      <c r="G16" s="123">
        <f t="shared" si="10"/>
        <v>805.9</v>
      </c>
      <c r="H16" s="123">
        <f t="shared" si="1"/>
        <v>13.818350165463556</v>
      </c>
      <c r="I16" s="123">
        <v>261.8</v>
      </c>
      <c r="J16" s="123">
        <v>0</v>
      </c>
      <c r="K16" s="123">
        <f>J16/I16*100</f>
        <v>0</v>
      </c>
      <c r="L16" s="123">
        <v>336.5</v>
      </c>
      <c r="M16" s="123">
        <v>221.6</v>
      </c>
      <c r="N16" s="123">
        <f t="shared" si="11"/>
        <v>65.854383358098062</v>
      </c>
      <c r="O16" s="123">
        <f>811.3-84.7-0.3</f>
        <v>726.3</v>
      </c>
      <c r="P16" s="123">
        <v>584.29999999999995</v>
      </c>
      <c r="Q16" s="123">
        <f t="shared" si="12"/>
        <v>80.448850337326178</v>
      </c>
      <c r="R16" s="123">
        <v>740.6</v>
      </c>
      <c r="S16" s="123">
        <v>0</v>
      </c>
      <c r="T16" s="123">
        <v>0</v>
      </c>
      <c r="U16" s="117">
        <v>479.7</v>
      </c>
      <c r="V16" s="117">
        <v>0</v>
      </c>
      <c r="W16" s="117">
        <v>0</v>
      </c>
      <c r="X16" s="117">
        <f>352.8+98.9</f>
        <v>451.70000000000005</v>
      </c>
      <c r="Y16" s="117">
        <v>0</v>
      </c>
      <c r="Z16" s="117">
        <v>0</v>
      </c>
      <c r="AA16" s="123">
        <f>825.5-156.4</f>
        <v>669.1</v>
      </c>
      <c r="AB16" s="123">
        <v>0</v>
      </c>
      <c r="AC16" s="123">
        <v>0</v>
      </c>
      <c r="AD16" s="117">
        <f>457.7+61.3</f>
        <v>519</v>
      </c>
      <c r="AE16" s="117">
        <v>0</v>
      </c>
      <c r="AF16" s="117">
        <v>0</v>
      </c>
      <c r="AG16" s="117">
        <v>301.60000000000002</v>
      </c>
      <c r="AH16" s="117"/>
      <c r="AI16" s="117"/>
      <c r="AJ16" s="123">
        <v>564.6</v>
      </c>
      <c r="AK16" s="123">
        <v>0</v>
      </c>
      <c r="AL16" s="123">
        <v>0</v>
      </c>
      <c r="AM16" s="117">
        <f>441.7+84.7</f>
        <v>526.4</v>
      </c>
      <c r="AN16" s="117">
        <v>0</v>
      </c>
      <c r="AO16" s="117">
        <v>0</v>
      </c>
      <c r="AP16" s="117">
        <f>197+57.8</f>
        <v>254.8</v>
      </c>
      <c r="AQ16" s="123"/>
      <c r="AR16" s="123"/>
      <c r="AS16" s="340"/>
      <c r="AT16" s="446"/>
      <c r="AU16" s="121"/>
      <c r="AV16" s="121"/>
      <c r="AW16" s="155"/>
    </row>
    <row r="17" spans="1:49" s="31" customFormat="1" ht="12.75">
      <c r="A17" s="365" t="s">
        <v>327</v>
      </c>
      <c r="B17" s="329" t="s">
        <v>328</v>
      </c>
      <c r="C17" s="332" t="s">
        <v>329</v>
      </c>
      <c r="D17" s="335" t="s">
        <v>330</v>
      </c>
      <c r="E17" s="107" t="s">
        <v>42</v>
      </c>
      <c r="F17" s="123">
        <f>SUM(F18:F20)</f>
        <v>77800</v>
      </c>
      <c r="G17" s="123">
        <f t="shared" ref="G17:P17" si="15">SUM(G18:G20)</f>
        <v>18872.599999999999</v>
      </c>
      <c r="H17" s="123">
        <f t="shared" si="1"/>
        <v>24.257840616966579</v>
      </c>
      <c r="I17" s="123">
        <f t="shared" si="15"/>
        <v>6091.6</v>
      </c>
      <c r="J17" s="123">
        <f t="shared" si="15"/>
        <v>6082.4</v>
      </c>
      <c r="K17" s="123">
        <f>J17/I17*100</f>
        <v>99.848972355374599</v>
      </c>
      <c r="L17" s="123">
        <f t="shared" si="15"/>
        <v>6886.9</v>
      </c>
      <c r="M17" s="123">
        <f t="shared" si="15"/>
        <v>6744.5</v>
      </c>
      <c r="N17" s="123">
        <f t="shared" si="11"/>
        <v>97.932306262614532</v>
      </c>
      <c r="O17" s="123">
        <f t="shared" si="15"/>
        <v>6537.7</v>
      </c>
      <c r="P17" s="123">
        <f t="shared" si="15"/>
        <v>6045.7</v>
      </c>
      <c r="Q17" s="123">
        <f t="shared" si="12"/>
        <v>92.474417608639129</v>
      </c>
      <c r="R17" s="123">
        <f t="shared" ref="R17:AB17" si="16">SUM(R18:R20)</f>
        <v>6898.7</v>
      </c>
      <c r="S17" s="123">
        <f t="shared" si="16"/>
        <v>0</v>
      </c>
      <c r="T17" s="123">
        <f t="shared" si="13"/>
        <v>0</v>
      </c>
      <c r="U17" s="123">
        <f t="shared" si="16"/>
        <v>6826.3</v>
      </c>
      <c r="V17" s="123">
        <f t="shared" si="16"/>
        <v>0</v>
      </c>
      <c r="W17" s="123">
        <f t="shared" ref="W17" si="17">V17/U17*100</f>
        <v>0</v>
      </c>
      <c r="X17" s="123">
        <f t="shared" si="16"/>
        <v>9052.9</v>
      </c>
      <c r="Y17" s="123">
        <f t="shared" si="16"/>
        <v>0</v>
      </c>
      <c r="Z17" s="123">
        <f>Y17/X17*100</f>
        <v>0</v>
      </c>
      <c r="AA17" s="104">
        <f t="shared" si="16"/>
        <v>7429.2</v>
      </c>
      <c r="AB17" s="123">
        <f t="shared" si="16"/>
        <v>0</v>
      </c>
      <c r="AC17" s="123">
        <f>SUM(AC18:AC20)</f>
        <v>0</v>
      </c>
      <c r="AD17" s="104">
        <f t="shared" ref="AD17:AR17" si="18">SUM(AD18:AD20)</f>
        <v>6016.2</v>
      </c>
      <c r="AE17" s="104">
        <f t="shared" si="18"/>
        <v>0</v>
      </c>
      <c r="AF17" s="104">
        <f t="shared" si="7"/>
        <v>0</v>
      </c>
      <c r="AG17" s="104">
        <f t="shared" si="18"/>
        <v>5470</v>
      </c>
      <c r="AH17" s="123">
        <f t="shared" si="18"/>
        <v>0</v>
      </c>
      <c r="AI17" s="123">
        <f t="shared" si="18"/>
        <v>0</v>
      </c>
      <c r="AJ17" s="123">
        <f t="shared" si="18"/>
        <v>5538.5</v>
      </c>
      <c r="AK17" s="123">
        <f t="shared" si="18"/>
        <v>0</v>
      </c>
      <c r="AL17" s="123">
        <f t="shared" si="18"/>
        <v>0</v>
      </c>
      <c r="AM17" s="104">
        <f t="shared" si="18"/>
        <v>5036.7</v>
      </c>
      <c r="AN17" s="123">
        <f t="shared" si="18"/>
        <v>0</v>
      </c>
      <c r="AO17" s="123">
        <f t="shared" si="18"/>
        <v>0</v>
      </c>
      <c r="AP17" s="104">
        <f t="shared" si="18"/>
        <v>6015.3</v>
      </c>
      <c r="AQ17" s="123">
        <f t="shared" si="18"/>
        <v>0</v>
      </c>
      <c r="AR17" s="123">
        <f t="shared" si="18"/>
        <v>0</v>
      </c>
      <c r="AS17" s="338" t="s">
        <v>408</v>
      </c>
      <c r="AT17" s="444" t="s">
        <v>406</v>
      </c>
      <c r="AU17" s="121"/>
      <c r="AV17" s="121"/>
      <c r="AW17" s="155"/>
    </row>
    <row r="18" spans="1:49" s="31" customFormat="1" ht="36">
      <c r="A18" s="366"/>
      <c r="B18" s="330"/>
      <c r="C18" s="333"/>
      <c r="D18" s="336"/>
      <c r="E18" s="108" t="s">
        <v>3</v>
      </c>
      <c r="F18" s="123">
        <f>I18+L18+O18+R18+U18+X18+AA18+AD18+AG18+AJ18+AM18+AP18</f>
        <v>0</v>
      </c>
      <c r="G18" s="123">
        <f>J18+M18+P18+S18+V18+Y18+AB18+AE18+AH18+AK18+AN18+AQ18</f>
        <v>0</v>
      </c>
      <c r="H18" s="123">
        <v>0</v>
      </c>
      <c r="I18" s="104">
        <v>0</v>
      </c>
      <c r="J18" s="104">
        <v>0</v>
      </c>
      <c r="K18" s="123">
        <v>0</v>
      </c>
      <c r="L18" s="126">
        <v>0</v>
      </c>
      <c r="M18" s="104">
        <v>0</v>
      </c>
      <c r="N18" s="123">
        <v>0</v>
      </c>
      <c r="O18" s="104">
        <v>0</v>
      </c>
      <c r="P18" s="104">
        <v>0</v>
      </c>
      <c r="Q18" s="123">
        <v>0</v>
      </c>
      <c r="R18" s="104">
        <v>0</v>
      </c>
      <c r="S18" s="104">
        <v>0</v>
      </c>
      <c r="T18" s="123">
        <v>0</v>
      </c>
      <c r="U18" s="105">
        <v>0</v>
      </c>
      <c r="V18" s="105">
        <v>0</v>
      </c>
      <c r="W18" s="123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17">
        <v>0</v>
      </c>
      <c r="AD18" s="105">
        <v>0</v>
      </c>
      <c r="AE18" s="105">
        <v>0</v>
      </c>
      <c r="AF18" s="117">
        <v>0</v>
      </c>
      <c r="AG18" s="105">
        <v>0</v>
      </c>
      <c r="AH18" s="105">
        <v>0</v>
      </c>
      <c r="AI18" s="117">
        <v>0</v>
      </c>
      <c r="AJ18" s="104">
        <v>0</v>
      </c>
      <c r="AK18" s="104">
        <v>0</v>
      </c>
      <c r="AL18" s="104">
        <v>0</v>
      </c>
      <c r="AM18" s="105">
        <v>0</v>
      </c>
      <c r="AN18" s="105">
        <v>0</v>
      </c>
      <c r="AO18" s="105">
        <v>0</v>
      </c>
      <c r="AP18" s="104">
        <v>0</v>
      </c>
      <c r="AQ18" s="104"/>
      <c r="AR18" s="104"/>
      <c r="AS18" s="339"/>
      <c r="AT18" s="445"/>
      <c r="AU18" s="121"/>
      <c r="AV18" s="121"/>
      <c r="AW18" s="155"/>
    </row>
    <row r="19" spans="1:49" s="31" customFormat="1" ht="12.75">
      <c r="A19" s="366"/>
      <c r="B19" s="330"/>
      <c r="C19" s="333"/>
      <c r="D19" s="336"/>
      <c r="E19" s="108" t="s">
        <v>44</v>
      </c>
      <c r="F19" s="123">
        <f t="shared" ref="F19:G20" si="19">I19+L19+O19+R19+U19+X19+AA19+AD19+AG19+AJ19+AM19+AP19</f>
        <v>77800</v>
      </c>
      <c r="G19" s="123">
        <f t="shared" si="19"/>
        <v>18872.599999999999</v>
      </c>
      <c r="H19" s="123">
        <f>G19/F19*100</f>
        <v>24.257840616966579</v>
      </c>
      <c r="I19" s="123">
        <v>6091.6</v>
      </c>
      <c r="J19" s="123">
        <v>6082.4</v>
      </c>
      <c r="K19" s="123">
        <f t="shared" ref="K19" si="20">J19/I19*100</f>
        <v>99.848972355374599</v>
      </c>
      <c r="L19" s="123">
        <v>6886.9</v>
      </c>
      <c r="M19" s="123">
        <v>6744.5</v>
      </c>
      <c r="N19" s="123">
        <v>0</v>
      </c>
      <c r="O19" s="123">
        <v>6537.7</v>
      </c>
      <c r="P19" s="123">
        <v>6045.7</v>
      </c>
      <c r="Q19" s="123">
        <v>0</v>
      </c>
      <c r="R19" s="123">
        <v>6898.7</v>
      </c>
      <c r="S19" s="123">
        <v>0</v>
      </c>
      <c r="T19" s="123">
        <v>0</v>
      </c>
      <c r="U19" s="117">
        <v>6826.3</v>
      </c>
      <c r="V19" s="117">
        <v>0</v>
      </c>
      <c r="W19" s="117">
        <v>0</v>
      </c>
      <c r="X19" s="117">
        <v>9052.9</v>
      </c>
      <c r="Y19" s="117">
        <v>0</v>
      </c>
      <c r="Z19" s="117">
        <v>0</v>
      </c>
      <c r="AA19" s="123">
        <v>7429.2</v>
      </c>
      <c r="AB19" s="123">
        <v>0</v>
      </c>
      <c r="AC19" s="123">
        <v>0</v>
      </c>
      <c r="AD19" s="117">
        <v>6016.2</v>
      </c>
      <c r="AE19" s="117">
        <v>0</v>
      </c>
      <c r="AF19" s="117">
        <v>0</v>
      </c>
      <c r="AG19" s="117">
        <v>5470</v>
      </c>
      <c r="AH19" s="117">
        <v>0</v>
      </c>
      <c r="AI19" s="117">
        <v>0</v>
      </c>
      <c r="AJ19" s="123">
        <v>5538.5</v>
      </c>
      <c r="AK19" s="123">
        <v>0</v>
      </c>
      <c r="AL19" s="123">
        <v>0</v>
      </c>
      <c r="AM19" s="117">
        <v>5036.7</v>
      </c>
      <c r="AN19" s="117">
        <v>0</v>
      </c>
      <c r="AO19" s="117">
        <v>0</v>
      </c>
      <c r="AP19" s="117">
        <v>6015.3</v>
      </c>
      <c r="AQ19" s="123"/>
      <c r="AR19" s="123"/>
      <c r="AS19" s="339"/>
      <c r="AT19" s="445"/>
      <c r="AU19" s="121"/>
      <c r="AV19" s="121"/>
      <c r="AW19" s="155"/>
    </row>
    <row r="20" spans="1:49" s="31" customFormat="1" ht="73.5" customHeight="1">
      <c r="A20" s="367"/>
      <c r="B20" s="331"/>
      <c r="C20" s="334"/>
      <c r="D20" s="337"/>
      <c r="E20" s="109" t="s">
        <v>257</v>
      </c>
      <c r="F20" s="123">
        <f t="shared" si="19"/>
        <v>0</v>
      </c>
      <c r="G20" s="123">
        <f t="shared" si="19"/>
        <v>0</v>
      </c>
      <c r="H20" s="123">
        <v>0</v>
      </c>
      <c r="I20" s="104">
        <v>0</v>
      </c>
      <c r="J20" s="104">
        <v>0</v>
      </c>
      <c r="K20" s="123">
        <v>0</v>
      </c>
      <c r="L20" s="126">
        <v>0</v>
      </c>
      <c r="M20" s="104">
        <v>0</v>
      </c>
      <c r="N20" s="123">
        <v>0</v>
      </c>
      <c r="O20" s="104">
        <v>0</v>
      </c>
      <c r="P20" s="104">
        <v>0</v>
      </c>
      <c r="Q20" s="123">
        <v>0</v>
      </c>
      <c r="R20" s="104">
        <v>0</v>
      </c>
      <c r="S20" s="104">
        <v>0</v>
      </c>
      <c r="T20" s="123">
        <v>0</v>
      </c>
      <c r="U20" s="105">
        <v>0</v>
      </c>
      <c r="V20" s="105">
        <v>0</v>
      </c>
      <c r="W20" s="123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17">
        <v>0</v>
      </c>
      <c r="AD20" s="105">
        <v>0</v>
      </c>
      <c r="AE20" s="105">
        <v>0</v>
      </c>
      <c r="AF20" s="117">
        <v>0</v>
      </c>
      <c r="AG20" s="105">
        <v>0</v>
      </c>
      <c r="AH20" s="105">
        <v>0</v>
      </c>
      <c r="AI20" s="117">
        <v>0</v>
      </c>
      <c r="AJ20" s="104">
        <v>0</v>
      </c>
      <c r="AK20" s="104">
        <v>0</v>
      </c>
      <c r="AL20" s="104">
        <v>0</v>
      </c>
      <c r="AM20" s="105">
        <v>0</v>
      </c>
      <c r="AN20" s="105">
        <v>0</v>
      </c>
      <c r="AO20" s="105">
        <v>0</v>
      </c>
      <c r="AP20" s="104">
        <v>0</v>
      </c>
      <c r="AQ20" s="104">
        <v>0</v>
      </c>
      <c r="AR20" s="104">
        <v>0</v>
      </c>
      <c r="AS20" s="340"/>
      <c r="AT20" s="446"/>
      <c r="AU20" s="121"/>
      <c r="AV20" s="121"/>
      <c r="AW20" s="155"/>
    </row>
    <row r="21" spans="1:49" s="31" customFormat="1" ht="59.25" customHeight="1">
      <c r="A21" s="190" t="s">
        <v>331</v>
      </c>
      <c r="B21" s="210" t="s">
        <v>332</v>
      </c>
      <c r="C21" s="186" t="s">
        <v>333</v>
      </c>
      <c r="D21" s="187" t="s">
        <v>346</v>
      </c>
      <c r="E21" s="143" t="s">
        <v>275</v>
      </c>
      <c r="F21" s="149" t="s">
        <v>279</v>
      </c>
      <c r="G21" s="149" t="s">
        <v>279</v>
      </c>
      <c r="H21" s="149" t="s">
        <v>279</v>
      </c>
      <c r="I21" s="149" t="s">
        <v>279</v>
      </c>
      <c r="J21" s="149" t="s">
        <v>279</v>
      </c>
      <c r="K21" s="149" t="s">
        <v>279</v>
      </c>
      <c r="L21" s="149" t="s">
        <v>279</v>
      </c>
      <c r="M21" s="149" t="s">
        <v>279</v>
      </c>
      <c r="N21" s="149" t="s">
        <v>279</v>
      </c>
      <c r="O21" s="149" t="s">
        <v>279</v>
      </c>
      <c r="P21" s="149" t="s">
        <v>279</v>
      </c>
      <c r="Q21" s="149" t="s">
        <v>279</v>
      </c>
      <c r="R21" s="149" t="s">
        <v>279</v>
      </c>
      <c r="S21" s="149" t="s">
        <v>279</v>
      </c>
      <c r="T21" s="149" t="s">
        <v>279</v>
      </c>
      <c r="U21" s="149" t="s">
        <v>279</v>
      </c>
      <c r="V21" s="149" t="s">
        <v>279</v>
      </c>
      <c r="W21" s="149" t="s">
        <v>279</v>
      </c>
      <c r="X21" s="149" t="s">
        <v>279</v>
      </c>
      <c r="Y21" s="149" t="s">
        <v>279</v>
      </c>
      <c r="Z21" s="149" t="s">
        <v>279</v>
      </c>
      <c r="AA21" s="149" t="s">
        <v>279</v>
      </c>
      <c r="AB21" s="149" t="s">
        <v>279</v>
      </c>
      <c r="AC21" s="149" t="s">
        <v>279</v>
      </c>
      <c r="AD21" s="149" t="s">
        <v>279</v>
      </c>
      <c r="AE21" s="149" t="s">
        <v>279</v>
      </c>
      <c r="AF21" s="149" t="s">
        <v>279</v>
      </c>
      <c r="AG21" s="149" t="s">
        <v>279</v>
      </c>
      <c r="AH21" s="149" t="s">
        <v>279</v>
      </c>
      <c r="AI21" s="149" t="s">
        <v>279</v>
      </c>
      <c r="AJ21" s="149" t="s">
        <v>279</v>
      </c>
      <c r="AK21" s="149" t="s">
        <v>279</v>
      </c>
      <c r="AL21" s="149" t="s">
        <v>279</v>
      </c>
      <c r="AM21" s="149" t="s">
        <v>279</v>
      </c>
      <c r="AN21" s="149" t="s">
        <v>279</v>
      </c>
      <c r="AO21" s="149" t="s">
        <v>279</v>
      </c>
      <c r="AP21" s="149" t="s">
        <v>279</v>
      </c>
      <c r="AQ21" s="149" t="s">
        <v>279</v>
      </c>
      <c r="AR21" s="149" t="s">
        <v>279</v>
      </c>
      <c r="AS21" s="188"/>
      <c r="AT21" s="189"/>
      <c r="AU21" s="121"/>
      <c r="AV21" s="121"/>
      <c r="AW21" s="155"/>
    </row>
    <row r="22" spans="1:49" s="31" customFormat="1" ht="12.75">
      <c r="A22" s="365" t="s">
        <v>334</v>
      </c>
      <c r="B22" s="329" t="s">
        <v>335</v>
      </c>
      <c r="C22" s="332" t="s">
        <v>268</v>
      </c>
      <c r="D22" s="335" t="s">
        <v>336</v>
      </c>
      <c r="E22" s="107" t="s">
        <v>42</v>
      </c>
      <c r="F22" s="123">
        <f>SUM(F23:F24)</f>
        <v>3987.3</v>
      </c>
      <c r="G22" s="123">
        <f>SUM(G23:G24)</f>
        <v>954.4</v>
      </c>
      <c r="H22" s="123">
        <f>G22/F22*100</f>
        <v>23.935996789807636</v>
      </c>
      <c r="I22" s="123">
        <f>SUM(I23:I24)</f>
        <v>326</v>
      </c>
      <c r="J22" s="123">
        <f>SUM(J23:J24)</f>
        <v>326.39999999999998</v>
      </c>
      <c r="K22" s="123">
        <f t="shared" ref="K22:K26" si="21">J22/I22*100</f>
        <v>100.12269938650307</v>
      </c>
      <c r="L22" s="123">
        <f>SUM(L23:L24)</f>
        <v>326</v>
      </c>
      <c r="M22" s="123">
        <f>SUM(M23:M24)</f>
        <v>313.89999999999998</v>
      </c>
      <c r="N22" s="123">
        <f t="shared" si="11"/>
        <v>96.288343558282193</v>
      </c>
      <c r="O22" s="123">
        <f>SUM(O23:O24)</f>
        <v>326</v>
      </c>
      <c r="P22" s="123">
        <f>SUM(P23:P24)</f>
        <v>314.10000000000002</v>
      </c>
      <c r="Q22" s="123">
        <f t="shared" si="12"/>
        <v>96.349693251533751</v>
      </c>
      <c r="R22" s="123">
        <f>SUM(R23:R24)</f>
        <v>326</v>
      </c>
      <c r="S22" s="123">
        <f>SUM(S23:S24)</f>
        <v>0</v>
      </c>
      <c r="T22" s="123">
        <f t="shared" si="13"/>
        <v>0</v>
      </c>
      <c r="U22" s="123">
        <f>SUM(U23:U24)</f>
        <v>326</v>
      </c>
      <c r="V22" s="123">
        <f>SUM(V23:V24)</f>
        <v>0</v>
      </c>
      <c r="W22" s="123">
        <f t="shared" ref="W22" si="22">V22/U22*100</f>
        <v>0</v>
      </c>
      <c r="X22" s="123">
        <f t="shared" ref="X22:AE22" si="23">SUM(X23:X24)</f>
        <v>326</v>
      </c>
      <c r="Y22" s="123">
        <f t="shared" si="23"/>
        <v>0</v>
      </c>
      <c r="Z22" s="123">
        <f t="shared" si="23"/>
        <v>0</v>
      </c>
      <c r="AA22" s="104">
        <f t="shared" si="23"/>
        <v>326</v>
      </c>
      <c r="AB22" s="123">
        <f t="shared" si="23"/>
        <v>0</v>
      </c>
      <c r="AC22" s="123">
        <f t="shared" si="23"/>
        <v>0</v>
      </c>
      <c r="AD22" s="104">
        <f t="shared" si="23"/>
        <v>326</v>
      </c>
      <c r="AE22" s="104">
        <f t="shared" si="23"/>
        <v>0</v>
      </c>
      <c r="AF22" s="104">
        <f t="shared" si="7"/>
        <v>0</v>
      </c>
      <c r="AG22" s="104">
        <f t="shared" ref="AG22:AR22" si="24">SUM(AG23:AG24)</f>
        <v>326</v>
      </c>
      <c r="AH22" s="123">
        <f t="shared" si="24"/>
        <v>0</v>
      </c>
      <c r="AI22" s="123">
        <f t="shared" si="24"/>
        <v>0</v>
      </c>
      <c r="AJ22" s="123">
        <f t="shared" si="24"/>
        <v>326</v>
      </c>
      <c r="AK22" s="123">
        <f t="shared" si="24"/>
        <v>0</v>
      </c>
      <c r="AL22" s="123">
        <f t="shared" si="24"/>
        <v>0</v>
      </c>
      <c r="AM22" s="104">
        <f t="shared" si="24"/>
        <v>326</v>
      </c>
      <c r="AN22" s="123">
        <f t="shared" si="24"/>
        <v>0</v>
      </c>
      <c r="AO22" s="123">
        <f t="shared" si="24"/>
        <v>0</v>
      </c>
      <c r="AP22" s="104">
        <f t="shared" si="24"/>
        <v>401.3</v>
      </c>
      <c r="AQ22" s="123">
        <f t="shared" si="24"/>
        <v>0</v>
      </c>
      <c r="AR22" s="123">
        <f t="shared" si="24"/>
        <v>0</v>
      </c>
      <c r="AS22" s="338" t="s">
        <v>410</v>
      </c>
      <c r="AT22" s="341"/>
      <c r="AU22" s="121"/>
      <c r="AV22" s="121"/>
      <c r="AW22" s="155"/>
    </row>
    <row r="23" spans="1:49" s="31" customFormat="1" ht="36">
      <c r="A23" s="366"/>
      <c r="B23" s="330"/>
      <c r="C23" s="333"/>
      <c r="D23" s="336"/>
      <c r="E23" s="108" t="s">
        <v>3</v>
      </c>
      <c r="F23" s="123">
        <f>I23+L23+O23+R23+U23+X23+AA23+AD23+AG23+AJ23+AM23+AP23</f>
        <v>0</v>
      </c>
      <c r="G23" s="123">
        <f>J23+M23+P23+S23+V23+Y23+AB23+AE23+AH23+AK23+AN23+AQ23</f>
        <v>0</v>
      </c>
      <c r="H23" s="123">
        <v>0</v>
      </c>
      <c r="I23" s="104">
        <v>0</v>
      </c>
      <c r="J23" s="104">
        <v>0</v>
      </c>
      <c r="K23" s="123">
        <v>0</v>
      </c>
      <c r="L23" s="126">
        <v>0</v>
      </c>
      <c r="M23" s="104">
        <v>0</v>
      </c>
      <c r="N23" s="123">
        <v>0</v>
      </c>
      <c r="O23" s="104">
        <v>0</v>
      </c>
      <c r="P23" s="104">
        <v>0</v>
      </c>
      <c r="Q23" s="123">
        <v>0</v>
      </c>
      <c r="R23" s="104">
        <v>0</v>
      </c>
      <c r="S23" s="104">
        <v>0</v>
      </c>
      <c r="T23" s="123">
        <v>0</v>
      </c>
      <c r="U23" s="105">
        <v>0</v>
      </c>
      <c r="V23" s="105">
        <v>0</v>
      </c>
      <c r="W23" s="123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17">
        <v>0</v>
      </c>
      <c r="AD23" s="105">
        <v>0</v>
      </c>
      <c r="AE23" s="105">
        <v>0</v>
      </c>
      <c r="AF23" s="117">
        <v>0</v>
      </c>
      <c r="AG23" s="105">
        <v>0</v>
      </c>
      <c r="AH23" s="105">
        <v>0</v>
      </c>
      <c r="AI23" s="117">
        <v>0</v>
      </c>
      <c r="AJ23" s="104">
        <v>0</v>
      </c>
      <c r="AK23" s="104">
        <v>0</v>
      </c>
      <c r="AL23" s="104">
        <v>0</v>
      </c>
      <c r="AM23" s="105">
        <v>0</v>
      </c>
      <c r="AN23" s="105">
        <v>0</v>
      </c>
      <c r="AO23" s="105">
        <v>0</v>
      </c>
      <c r="AP23" s="104">
        <v>0</v>
      </c>
      <c r="AQ23" s="104"/>
      <c r="AR23" s="104"/>
      <c r="AS23" s="339"/>
      <c r="AT23" s="342"/>
      <c r="AU23" s="121"/>
      <c r="AV23" s="121"/>
      <c r="AW23" s="155"/>
    </row>
    <row r="24" spans="1:49" s="31" customFormat="1" ht="23.25" customHeight="1">
      <c r="A24" s="366"/>
      <c r="B24" s="330"/>
      <c r="C24" s="333"/>
      <c r="D24" s="336"/>
      <c r="E24" s="108" t="s">
        <v>44</v>
      </c>
      <c r="F24" s="123">
        <f t="shared" ref="F24:G24" si="25">I24+L24+O24+R24+U24+X24+AA24+AD24+AG24+AJ24+AM24+AP24</f>
        <v>3987.3</v>
      </c>
      <c r="G24" s="123">
        <f t="shared" si="25"/>
        <v>954.4</v>
      </c>
      <c r="H24" s="123">
        <v>0</v>
      </c>
      <c r="I24" s="123">
        <v>326</v>
      </c>
      <c r="J24" s="123">
        <v>326.39999999999998</v>
      </c>
      <c r="K24" s="123">
        <f t="shared" si="21"/>
        <v>100.12269938650307</v>
      </c>
      <c r="L24" s="123">
        <v>326</v>
      </c>
      <c r="M24" s="123">
        <v>313.89999999999998</v>
      </c>
      <c r="N24" s="123">
        <f t="shared" ref="N24" si="26">M24/L24*100</f>
        <v>96.288343558282193</v>
      </c>
      <c r="O24" s="123">
        <v>326</v>
      </c>
      <c r="P24" s="123">
        <v>314.10000000000002</v>
      </c>
      <c r="Q24" s="123">
        <f t="shared" ref="Q24" si="27">P24/O24*100</f>
        <v>96.349693251533751</v>
      </c>
      <c r="R24" s="123">
        <v>326</v>
      </c>
      <c r="S24" s="123">
        <v>0</v>
      </c>
      <c r="T24" s="123">
        <v>0</v>
      </c>
      <c r="U24" s="117">
        <v>326</v>
      </c>
      <c r="V24" s="117">
        <v>0</v>
      </c>
      <c r="W24" s="117">
        <v>0</v>
      </c>
      <c r="X24" s="117">
        <v>326</v>
      </c>
      <c r="Y24" s="117">
        <v>0</v>
      </c>
      <c r="Z24" s="117">
        <v>0</v>
      </c>
      <c r="AA24" s="123">
        <v>326</v>
      </c>
      <c r="AB24" s="123">
        <v>0</v>
      </c>
      <c r="AC24" s="123">
        <v>0</v>
      </c>
      <c r="AD24" s="117">
        <v>326</v>
      </c>
      <c r="AE24" s="117">
        <v>0</v>
      </c>
      <c r="AF24" s="117">
        <v>0</v>
      </c>
      <c r="AG24" s="117">
        <v>326</v>
      </c>
      <c r="AH24" s="117">
        <v>0</v>
      </c>
      <c r="AI24" s="117"/>
      <c r="AJ24" s="123">
        <v>326</v>
      </c>
      <c r="AK24" s="123">
        <v>0</v>
      </c>
      <c r="AL24" s="123">
        <v>0</v>
      </c>
      <c r="AM24" s="117">
        <v>326</v>
      </c>
      <c r="AN24" s="117">
        <v>0</v>
      </c>
      <c r="AO24" s="117">
        <v>0</v>
      </c>
      <c r="AP24" s="117">
        <v>401.3</v>
      </c>
      <c r="AQ24" s="123"/>
      <c r="AR24" s="123"/>
      <c r="AS24" s="339"/>
      <c r="AT24" s="342"/>
      <c r="AU24" s="121"/>
      <c r="AV24" s="121"/>
      <c r="AW24" s="155"/>
    </row>
    <row r="25" spans="1:49" s="31" customFormat="1" ht="12.75">
      <c r="A25" s="365" t="s">
        <v>337</v>
      </c>
      <c r="B25" s="374" t="s">
        <v>338</v>
      </c>
      <c r="C25" s="332" t="s">
        <v>339</v>
      </c>
      <c r="D25" s="335" t="s">
        <v>340</v>
      </c>
      <c r="E25" s="107" t="s">
        <v>42</v>
      </c>
      <c r="F25" s="123">
        <f>SUM(F26:F28)</f>
        <v>5215.6000000000004</v>
      </c>
      <c r="G25" s="123">
        <f t="shared" ref="G25:P25" si="28">SUM(G26:G28)</f>
        <v>868.69999999999993</v>
      </c>
      <c r="H25" s="123">
        <f>G25/F25*100</f>
        <v>16.655801825293349</v>
      </c>
      <c r="I25" s="123">
        <f t="shared" si="28"/>
        <v>108.8</v>
      </c>
      <c r="J25" s="123">
        <f t="shared" si="28"/>
        <v>97.9</v>
      </c>
      <c r="K25" s="123">
        <f t="shared" si="21"/>
        <v>89.981617647058826</v>
      </c>
      <c r="L25" s="123">
        <f t="shared" si="28"/>
        <v>584.9</v>
      </c>
      <c r="M25" s="123">
        <f t="shared" si="28"/>
        <v>463.5</v>
      </c>
      <c r="N25" s="123">
        <f t="shared" ref="N25:N26" si="29">M25/L25*100</f>
        <v>79.244315267567117</v>
      </c>
      <c r="O25" s="123">
        <f t="shared" si="28"/>
        <v>371.1</v>
      </c>
      <c r="P25" s="123">
        <f t="shared" si="28"/>
        <v>307.29999999999995</v>
      </c>
      <c r="Q25" s="123">
        <f t="shared" ref="Q25:Q26" si="30">P25/O25*100</f>
        <v>82.807868499056838</v>
      </c>
      <c r="R25" s="123">
        <f t="shared" ref="R25:Z25" si="31">SUM(R26:R28)</f>
        <v>368.4</v>
      </c>
      <c r="S25" s="123">
        <f t="shared" si="31"/>
        <v>0</v>
      </c>
      <c r="T25" s="123">
        <v>0</v>
      </c>
      <c r="U25" s="123">
        <f t="shared" si="31"/>
        <v>399</v>
      </c>
      <c r="V25" s="123">
        <f t="shared" si="31"/>
        <v>0</v>
      </c>
      <c r="W25" s="123">
        <f t="shared" si="31"/>
        <v>0</v>
      </c>
      <c r="X25" s="123">
        <f t="shared" si="31"/>
        <v>605.5</v>
      </c>
      <c r="Y25" s="123">
        <f t="shared" si="31"/>
        <v>0</v>
      </c>
      <c r="Z25" s="123">
        <f t="shared" si="31"/>
        <v>0</v>
      </c>
      <c r="AA25" s="104">
        <f t="shared" ref="AA25:AB25" si="32">SUM(AA26:AA28)</f>
        <v>665.80000000000007</v>
      </c>
      <c r="AB25" s="123">
        <f t="shared" si="32"/>
        <v>0</v>
      </c>
      <c r="AC25" s="123">
        <f>SUM(AC26:AC28)</f>
        <v>0</v>
      </c>
      <c r="AD25" s="104">
        <f t="shared" ref="AD25:AR25" si="33">SUM(AD26:AD28)</f>
        <v>633.1</v>
      </c>
      <c r="AE25" s="104">
        <f t="shared" si="33"/>
        <v>0</v>
      </c>
      <c r="AF25" s="104">
        <f t="shared" si="7"/>
        <v>0</v>
      </c>
      <c r="AG25" s="104">
        <f t="shared" si="33"/>
        <v>520.70000000000005</v>
      </c>
      <c r="AH25" s="123">
        <f t="shared" si="33"/>
        <v>0</v>
      </c>
      <c r="AI25" s="104">
        <f t="shared" ref="AI25" si="34">AH25/AG25*100</f>
        <v>0</v>
      </c>
      <c r="AJ25" s="123">
        <f t="shared" si="33"/>
        <v>538.09999999999991</v>
      </c>
      <c r="AK25" s="123">
        <f t="shared" si="33"/>
        <v>0</v>
      </c>
      <c r="AL25" s="123">
        <f t="shared" si="33"/>
        <v>0</v>
      </c>
      <c r="AM25" s="104">
        <f t="shared" si="33"/>
        <v>200.2</v>
      </c>
      <c r="AN25" s="123">
        <f t="shared" si="33"/>
        <v>0</v>
      </c>
      <c r="AO25" s="123">
        <f t="shared" si="33"/>
        <v>0</v>
      </c>
      <c r="AP25" s="104">
        <f t="shared" si="33"/>
        <v>220</v>
      </c>
      <c r="AQ25" s="123">
        <f t="shared" si="33"/>
        <v>0</v>
      </c>
      <c r="AR25" s="123">
        <f t="shared" si="33"/>
        <v>0</v>
      </c>
      <c r="AS25" s="338" t="s">
        <v>407</v>
      </c>
      <c r="AT25" s="426" t="s">
        <v>409</v>
      </c>
      <c r="AU25" s="121"/>
      <c r="AV25" s="121"/>
      <c r="AW25" s="155"/>
    </row>
    <row r="26" spans="1:49" s="31" customFormat="1" ht="36">
      <c r="A26" s="366"/>
      <c r="B26" s="375"/>
      <c r="C26" s="333"/>
      <c r="D26" s="336"/>
      <c r="E26" s="108" t="s">
        <v>3</v>
      </c>
      <c r="F26" s="123">
        <f>I26+L26+O26+R26+U26+X26+AA26+AD26+AG26+AJ26+AM26+AP26</f>
        <v>2547.4</v>
      </c>
      <c r="G26" s="123">
        <f>J26+M26+P26+S26+V26+Y26+AB26+AE26+AH26+AK26+AN26+AQ26</f>
        <v>156.89999999999998</v>
      </c>
      <c r="H26" s="123">
        <f>G26/F26*100</f>
        <v>6.1592211666797505</v>
      </c>
      <c r="I26" s="104">
        <v>0</v>
      </c>
      <c r="J26" s="104">
        <v>0</v>
      </c>
      <c r="K26" s="123" t="e">
        <f t="shared" si="21"/>
        <v>#DIV/0!</v>
      </c>
      <c r="L26" s="126">
        <v>124.5</v>
      </c>
      <c r="M26" s="104">
        <v>43.8</v>
      </c>
      <c r="N26" s="123">
        <f t="shared" si="29"/>
        <v>35.180722891566262</v>
      </c>
      <c r="O26" s="104">
        <f>124.6+15.4</f>
        <v>140</v>
      </c>
      <c r="P26" s="104">
        <v>113.1</v>
      </c>
      <c r="Q26" s="123">
        <f t="shared" si="30"/>
        <v>80.785714285714278</v>
      </c>
      <c r="R26" s="104">
        <f>124.5+15.4</f>
        <v>139.9</v>
      </c>
      <c r="S26" s="104">
        <v>0</v>
      </c>
      <c r="T26" s="123">
        <v>0</v>
      </c>
      <c r="U26" s="105">
        <f>141.4+21</f>
        <v>162.4</v>
      </c>
      <c r="V26" s="105">
        <v>0</v>
      </c>
      <c r="W26" s="105">
        <v>0</v>
      </c>
      <c r="X26" s="105">
        <f>141.4+189</f>
        <v>330.4</v>
      </c>
      <c r="Y26" s="105">
        <v>0</v>
      </c>
      <c r="Z26" s="105">
        <f>Y26/X26*100</f>
        <v>0</v>
      </c>
      <c r="AA26" s="105">
        <f>165.8+183.4</f>
        <v>349.20000000000005</v>
      </c>
      <c r="AB26" s="105">
        <v>0</v>
      </c>
      <c r="AC26" s="105">
        <f>AB26/AA26*100</f>
        <v>0</v>
      </c>
      <c r="AD26" s="105">
        <f>165.8+182</f>
        <v>347.8</v>
      </c>
      <c r="AE26" s="105">
        <v>0</v>
      </c>
      <c r="AF26" s="105">
        <f>AE26/AD26*100</f>
        <v>0</v>
      </c>
      <c r="AG26" s="105">
        <f>140.4+122.7+49</f>
        <v>312.10000000000002</v>
      </c>
      <c r="AH26" s="105">
        <v>0</v>
      </c>
      <c r="AI26" s="105">
        <f>AH26/AG26*100</f>
        <v>0</v>
      </c>
      <c r="AJ26" s="104">
        <f>235.9+21</f>
        <v>256.89999999999998</v>
      </c>
      <c r="AK26" s="104">
        <v>0</v>
      </c>
      <c r="AL26" s="104">
        <v>0</v>
      </c>
      <c r="AM26" s="105">
        <f>143.2+21</f>
        <v>164.2</v>
      </c>
      <c r="AN26" s="105">
        <v>0</v>
      </c>
      <c r="AO26" s="105">
        <v>0</v>
      </c>
      <c r="AP26" s="104">
        <v>220</v>
      </c>
      <c r="AQ26" s="104"/>
      <c r="AR26" s="104"/>
      <c r="AS26" s="339"/>
      <c r="AT26" s="427"/>
      <c r="AU26" s="121"/>
      <c r="AV26" s="121"/>
      <c r="AW26" s="155"/>
    </row>
    <row r="27" spans="1:49" s="31" customFormat="1" ht="12.75">
      <c r="A27" s="366"/>
      <c r="B27" s="375"/>
      <c r="C27" s="333"/>
      <c r="D27" s="336"/>
      <c r="E27" s="108" t="s">
        <v>44</v>
      </c>
      <c r="F27" s="123">
        <f t="shared" ref="F27:G28" si="35">I27+L27+O27+R27+U27+X27+AA27+AD27+AG27+AJ27+AM27+AP27</f>
        <v>2668.2</v>
      </c>
      <c r="G27" s="123">
        <f t="shared" si="35"/>
        <v>711.8</v>
      </c>
      <c r="H27" s="123">
        <v>0</v>
      </c>
      <c r="I27" s="123">
        <v>108.8</v>
      </c>
      <c r="J27" s="123">
        <v>97.9</v>
      </c>
      <c r="K27" s="123">
        <v>0</v>
      </c>
      <c r="L27" s="123">
        <v>460.4</v>
      </c>
      <c r="M27" s="123">
        <v>419.7</v>
      </c>
      <c r="N27" s="123">
        <v>0</v>
      </c>
      <c r="O27" s="123">
        <v>231.1</v>
      </c>
      <c r="P27" s="123">
        <v>194.2</v>
      </c>
      <c r="Q27" s="123">
        <v>0</v>
      </c>
      <c r="R27" s="123">
        <v>228.5</v>
      </c>
      <c r="S27" s="123">
        <v>0</v>
      </c>
      <c r="T27" s="123">
        <v>0</v>
      </c>
      <c r="U27" s="117">
        <v>236.6</v>
      </c>
      <c r="V27" s="117">
        <v>0</v>
      </c>
      <c r="W27" s="117">
        <v>0</v>
      </c>
      <c r="X27" s="117">
        <v>275.10000000000002</v>
      </c>
      <c r="Y27" s="117">
        <v>0</v>
      </c>
      <c r="Z27" s="117">
        <v>0</v>
      </c>
      <c r="AA27" s="123">
        <v>316.60000000000002</v>
      </c>
      <c r="AB27" s="123">
        <v>0</v>
      </c>
      <c r="AC27" s="123">
        <v>0</v>
      </c>
      <c r="AD27" s="117">
        <v>285.3</v>
      </c>
      <c r="AE27" s="117">
        <v>0</v>
      </c>
      <c r="AF27" s="117">
        <v>0</v>
      </c>
      <c r="AG27" s="117">
        <v>208.6</v>
      </c>
      <c r="AH27" s="117">
        <v>0</v>
      </c>
      <c r="AI27" s="117">
        <v>0</v>
      </c>
      <c r="AJ27" s="123">
        <v>281.2</v>
      </c>
      <c r="AK27" s="123">
        <v>0</v>
      </c>
      <c r="AL27" s="123">
        <v>0</v>
      </c>
      <c r="AM27" s="117">
        <v>36</v>
      </c>
      <c r="AN27" s="117">
        <v>0</v>
      </c>
      <c r="AO27" s="117">
        <v>0</v>
      </c>
      <c r="AP27" s="117">
        <v>0</v>
      </c>
      <c r="AQ27" s="123"/>
      <c r="AR27" s="123"/>
      <c r="AS27" s="339"/>
      <c r="AT27" s="427"/>
      <c r="AU27" s="121"/>
      <c r="AV27" s="121"/>
      <c r="AW27" s="155"/>
    </row>
    <row r="28" spans="1:49" s="31" customFormat="1" ht="87" customHeight="1">
      <c r="A28" s="367"/>
      <c r="B28" s="376"/>
      <c r="C28" s="334"/>
      <c r="D28" s="337"/>
      <c r="E28" s="109" t="s">
        <v>257</v>
      </c>
      <c r="F28" s="123">
        <f t="shared" si="35"/>
        <v>0</v>
      </c>
      <c r="G28" s="123">
        <f t="shared" si="35"/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23">
        <v>0</v>
      </c>
      <c r="AB28" s="123">
        <v>0</v>
      </c>
      <c r="AC28" s="123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23">
        <v>0</v>
      </c>
      <c r="AK28" s="123">
        <v>0</v>
      </c>
      <c r="AL28" s="123">
        <v>0</v>
      </c>
      <c r="AM28" s="117">
        <v>0</v>
      </c>
      <c r="AN28" s="117">
        <v>0</v>
      </c>
      <c r="AO28" s="117">
        <v>0</v>
      </c>
      <c r="AP28" s="117">
        <v>0</v>
      </c>
      <c r="AQ28" s="123"/>
      <c r="AR28" s="123"/>
      <c r="AS28" s="340"/>
      <c r="AT28" s="428"/>
      <c r="AU28" s="121"/>
      <c r="AV28" s="121"/>
      <c r="AW28" s="155"/>
    </row>
    <row r="29" spans="1:49" s="31" customFormat="1" ht="12.75">
      <c r="A29" s="365" t="s">
        <v>341</v>
      </c>
      <c r="B29" s="329" t="s">
        <v>342</v>
      </c>
      <c r="C29" s="332" t="s">
        <v>268</v>
      </c>
      <c r="D29" s="335" t="s">
        <v>343</v>
      </c>
      <c r="E29" s="107" t="s">
        <v>42</v>
      </c>
      <c r="F29" s="123">
        <f>SUM(F30:F31)</f>
        <v>150</v>
      </c>
      <c r="G29" s="123">
        <f>SUM(G30:G31)</f>
        <v>0</v>
      </c>
      <c r="H29" s="123">
        <f>G29/F29*100</f>
        <v>0</v>
      </c>
      <c r="I29" s="123">
        <f>SUM(I30:I31)</f>
        <v>0</v>
      </c>
      <c r="J29" s="123">
        <f>SUM(J30:J31)</f>
        <v>0</v>
      </c>
      <c r="K29" s="123">
        <f>SUM(K30:K31)</f>
        <v>0</v>
      </c>
      <c r="L29" s="123">
        <f>SUM(L30:L31)</f>
        <v>0</v>
      </c>
      <c r="M29" s="123">
        <f>SUM(M30:M31)</f>
        <v>0</v>
      </c>
      <c r="N29" s="123">
        <v>0</v>
      </c>
      <c r="O29" s="123">
        <f>SUM(O30:O31)</f>
        <v>150</v>
      </c>
      <c r="P29" s="123">
        <f>SUM(P30:P31)</f>
        <v>0</v>
      </c>
      <c r="Q29" s="123">
        <v>0</v>
      </c>
      <c r="R29" s="123">
        <f>SUM(R30:R31)</f>
        <v>0</v>
      </c>
      <c r="S29" s="123">
        <f>SUM(S30:S31)</f>
        <v>0</v>
      </c>
      <c r="T29" s="123">
        <v>0</v>
      </c>
      <c r="U29" s="123">
        <f t="shared" ref="U29:AH29" si="36">SUM(U30:U31)</f>
        <v>0</v>
      </c>
      <c r="V29" s="123">
        <f t="shared" si="36"/>
        <v>0</v>
      </c>
      <c r="W29" s="123">
        <f t="shared" si="36"/>
        <v>0</v>
      </c>
      <c r="X29" s="123">
        <f t="shared" si="36"/>
        <v>0</v>
      </c>
      <c r="Y29" s="123">
        <f t="shared" si="36"/>
        <v>0</v>
      </c>
      <c r="Z29" s="123">
        <f t="shared" si="36"/>
        <v>0</v>
      </c>
      <c r="AA29" s="104">
        <f t="shared" si="36"/>
        <v>0</v>
      </c>
      <c r="AB29" s="123">
        <f t="shared" si="36"/>
        <v>0</v>
      </c>
      <c r="AC29" s="123">
        <f t="shared" si="36"/>
        <v>0</v>
      </c>
      <c r="AD29" s="104">
        <f t="shared" si="36"/>
        <v>0</v>
      </c>
      <c r="AE29" s="104">
        <f t="shared" si="36"/>
        <v>0</v>
      </c>
      <c r="AF29" s="104">
        <f t="shared" si="36"/>
        <v>0</v>
      </c>
      <c r="AG29" s="104">
        <f t="shared" si="36"/>
        <v>0</v>
      </c>
      <c r="AH29" s="123">
        <f t="shared" si="36"/>
        <v>0</v>
      </c>
      <c r="AI29" s="117">
        <v>0</v>
      </c>
      <c r="AJ29" s="123">
        <f t="shared" ref="AJ29:AR29" si="37">SUM(AJ30:AJ31)</f>
        <v>0</v>
      </c>
      <c r="AK29" s="123">
        <f t="shared" si="37"/>
        <v>0</v>
      </c>
      <c r="AL29" s="123">
        <f t="shared" si="37"/>
        <v>0</v>
      </c>
      <c r="AM29" s="104">
        <f t="shared" si="37"/>
        <v>0</v>
      </c>
      <c r="AN29" s="123">
        <f t="shared" si="37"/>
        <v>0</v>
      </c>
      <c r="AO29" s="123">
        <f t="shared" si="37"/>
        <v>0</v>
      </c>
      <c r="AP29" s="104">
        <f t="shared" si="37"/>
        <v>0</v>
      </c>
      <c r="AQ29" s="123">
        <f t="shared" si="37"/>
        <v>0</v>
      </c>
      <c r="AR29" s="123">
        <f t="shared" si="37"/>
        <v>0</v>
      </c>
      <c r="AS29" s="338"/>
      <c r="AT29" s="441" t="s">
        <v>411</v>
      </c>
      <c r="AU29" s="121"/>
      <c r="AV29" s="121"/>
      <c r="AW29" s="155"/>
    </row>
    <row r="30" spans="1:49" s="31" customFormat="1" ht="36">
      <c r="A30" s="366"/>
      <c r="B30" s="330"/>
      <c r="C30" s="333"/>
      <c r="D30" s="336"/>
      <c r="E30" s="108" t="s">
        <v>3</v>
      </c>
      <c r="F30" s="123">
        <f>I30+L30+O30+R30+U30+X30+AA30+AD30+AG30+AJ30+AM30+AP30</f>
        <v>0</v>
      </c>
      <c r="G30" s="123">
        <f>J30+M30+P30+S30+V30+Y30+AB30+AE30+AH30+AK30+AN30+AQ30</f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23">
        <v>0</v>
      </c>
      <c r="AB30" s="123">
        <v>0</v>
      </c>
      <c r="AC30" s="123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23">
        <v>0</v>
      </c>
      <c r="AK30" s="123">
        <v>0</v>
      </c>
      <c r="AL30" s="123">
        <v>0</v>
      </c>
      <c r="AM30" s="117">
        <v>0</v>
      </c>
      <c r="AN30" s="117">
        <v>0</v>
      </c>
      <c r="AO30" s="117">
        <v>0</v>
      </c>
      <c r="AP30" s="117">
        <v>0</v>
      </c>
      <c r="AQ30" s="123"/>
      <c r="AR30" s="123"/>
      <c r="AS30" s="339"/>
      <c r="AT30" s="442"/>
      <c r="AU30" s="121"/>
      <c r="AV30" s="121"/>
      <c r="AW30" s="155"/>
    </row>
    <row r="31" spans="1:49" s="31" customFormat="1" ht="49.5" customHeight="1">
      <c r="A31" s="366"/>
      <c r="B31" s="330"/>
      <c r="C31" s="333"/>
      <c r="D31" s="336"/>
      <c r="E31" s="108" t="s">
        <v>44</v>
      </c>
      <c r="F31" s="123">
        <f t="shared" ref="F31:G31" si="38">I31+L31+O31+R31+U31+X31+AA31+AD31+AG31+AJ31+AM31+AP31</f>
        <v>150</v>
      </c>
      <c r="G31" s="123">
        <f t="shared" si="38"/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150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23">
        <v>0</v>
      </c>
      <c r="AB31" s="123">
        <v>0</v>
      </c>
      <c r="AC31" s="123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23">
        <v>0</v>
      </c>
      <c r="AK31" s="123">
        <v>0</v>
      </c>
      <c r="AL31" s="123">
        <v>0</v>
      </c>
      <c r="AM31" s="117">
        <v>0</v>
      </c>
      <c r="AN31" s="117">
        <v>0</v>
      </c>
      <c r="AO31" s="117">
        <v>0</v>
      </c>
      <c r="AP31" s="117">
        <v>0</v>
      </c>
      <c r="AQ31" s="123"/>
      <c r="AR31" s="123"/>
      <c r="AS31" s="339"/>
      <c r="AT31" s="443"/>
      <c r="AU31" s="121"/>
      <c r="AV31" s="121"/>
      <c r="AW31" s="155"/>
    </row>
    <row r="32" spans="1:49" s="31" customFormat="1" ht="15.75">
      <c r="A32" s="350" t="s">
        <v>344</v>
      </c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2"/>
    </row>
    <row r="33" spans="1:49" s="100" customFormat="1" ht="12.75">
      <c r="A33" s="353" t="s">
        <v>345</v>
      </c>
      <c r="B33" s="354"/>
      <c r="C33" s="354"/>
      <c r="D33" s="355"/>
      <c r="E33" s="129" t="s">
        <v>42</v>
      </c>
      <c r="F33" s="106">
        <f>F34+F35+F36</f>
        <v>33940.800000000003</v>
      </c>
      <c r="G33" s="106">
        <f t="shared" ref="G33:AR33" si="39">G34+G35+G36</f>
        <v>5142.1000000000004</v>
      </c>
      <c r="H33" s="106">
        <f>G33/F33*100</f>
        <v>15.150202705887899</v>
      </c>
      <c r="I33" s="106">
        <f t="shared" si="39"/>
        <v>556</v>
      </c>
      <c r="J33" s="106">
        <f t="shared" si="39"/>
        <v>556</v>
      </c>
      <c r="K33" s="106">
        <f>J33/I33*100</f>
        <v>100</v>
      </c>
      <c r="L33" s="106">
        <f t="shared" si="39"/>
        <v>2428</v>
      </c>
      <c r="M33" s="106">
        <f t="shared" si="39"/>
        <v>2369.3000000000002</v>
      </c>
      <c r="N33" s="106">
        <f>M33/L33*100</f>
        <v>97.582372322899516</v>
      </c>
      <c r="O33" s="106">
        <f t="shared" si="39"/>
        <v>2242</v>
      </c>
      <c r="P33" s="106">
        <f t="shared" si="39"/>
        <v>2216.8000000000002</v>
      </c>
      <c r="Q33" s="106">
        <f>P33/O33*100</f>
        <v>98.876003568242652</v>
      </c>
      <c r="R33" s="106">
        <f t="shared" si="39"/>
        <v>3060</v>
      </c>
      <c r="S33" s="106">
        <f t="shared" si="39"/>
        <v>0</v>
      </c>
      <c r="T33" s="106">
        <f>S33/R33*100</f>
        <v>0</v>
      </c>
      <c r="U33" s="106">
        <f t="shared" si="39"/>
        <v>2489</v>
      </c>
      <c r="V33" s="106">
        <f t="shared" si="39"/>
        <v>0</v>
      </c>
      <c r="W33" s="106">
        <f t="shared" si="39"/>
        <v>0</v>
      </c>
      <c r="X33" s="106">
        <f t="shared" si="39"/>
        <v>2628</v>
      </c>
      <c r="Y33" s="106">
        <f t="shared" si="39"/>
        <v>0</v>
      </c>
      <c r="Z33" s="106">
        <f t="shared" si="39"/>
        <v>0</v>
      </c>
      <c r="AA33" s="106">
        <f t="shared" si="39"/>
        <v>3576</v>
      </c>
      <c r="AB33" s="106">
        <f t="shared" si="39"/>
        <v>0</v>
      </c>
      <c r="AC33" s="106">
        <f t="shared" si="39"/>
        <v>0</v>
      </c>
      <c r="AD33" s="106">
        <f t="shared" si="39"/>
        <v>2569</v>
      </c>
      <c r="AE33" s="106">
        <f t="shared" si="39"/>
        <v>0</v>
      </c>
      <c r="AF33" s="106">
        <f t="shared" ref="AF33:AF35" si="40">AE33/AD33*100</f>
        <v>0</v>
      </c>
      <c r="AG33" s="106">
        <f t="shared" si="39"/>
        <v>2544</v>
      </c>
      <c r="AH33" s="106">
        <f t="shared" si="39"/>
        <v>0</v>
      </c>
      <c r="AI33" s="106">
        <f t="shared" si="39"/>
        <v>0</v>
      </c>
      <c r="AJ33" s="106">
        <f t="shared" si="39"/>
        <v>2984</v>
      </c>
      <c r="AK33" s="106">
        <f t="shared" si="39"/>
        <v>0</v>
      </c>
      <c r="AL33" s="106">
        <f t="shared" si="39"/>
        <v>0</v>
      </c>
      <c r="AM33" s="106">
        <f t="shared" si="39"/>
        <v>2265.6</v>
      </c>
      <c r="AN33" s="106">
        <f t="shared" si="39"/>
        <v>0</v>
      </c>
      <c r="AO33" s="106">
        <f t="shared" si="39"/>
        <v>0</v>
      </c>
      <c r="AP33" s="106">
        <f t="shared" si="39"/>
        <v>6599.2</v>
      </c>
      <c r="AQ33" s="106">
        <f t="shared" si="39"/>
        <v>0</v>
      </c>
      <c r="AR33" s="106">
        <f t="shared" si="39"/>
        <v>0</v>
      </c>
      <c r="AS33" s="368"/>
      <c r="AT33" s="362"/>
      <c r="AU33" s="121"/>
      <c r="AV33" s="121"/>
      <c r="AW33" s="155"/>
    </row>
    <row r="34" spans="1:49" s="100" customFormat="1" ht="36">
      <c r="A34" s="356"/>
      <c r="B34" s="357"/>
      <c r="C34" s="357"/>
      <c r="D34" s="358"/>
      <c r="E34" s="111" t="s">
        <v>3</v>
      </c>
      <c r="F34" s="106">
        <f>F43</f>
        <v>30600.9</v>
      </c>
      <c r="G34" s="106">
        <f t="shared" ref="G34:AR36" si="41">G43</f>
        <v>4083.1000000000004</v>
      </c>
      <c r="H34" s="106">
        <f>G34/F34*100</f>
        <v>13.343071609004964</v>
      </c>
      <c r="I34" s="106">
        <f t="shared" si="41"/>
        <v>0</v>
      </c>
      <c r="J34" s="106">
        <f t="shared" si="41"/>
        <v>0</v>
      </c>
      <c r="K34" s="106" t="e">
        <f t="shared" ref="K34:K35" si="42">J34/I34*100</f>
        <v>#DIV/0!</v>
      </c>
      <c r="L34" s="106">
        <f t="shared" si="41"/>
        <v>2178</v>
      </c>
      <c r="M34" s="106">
        <f t="shared" si="41"/>
        <v>2119.3000000000002</v>
      </c>
      <c r="N34" s="106">
        <f t="shared" ref="N34:N35" si="43">M34/L34*100</f>
        <v>97.304866850321403</v>
      </c>
      <c r="O34" s="106">
        <f t="shared" si="41"/>
        <v>1989</v>
      </c>
      <c r="P34" s="106">
        <f t="shared" si="41"/>
        <v>1963.8</v>
      </c>
      <c r="Q34" s="106">
        <f t="shared" ref="Q34:Q35" si="44">P34/O34*100</f>
        <v>98.733031674208135</v>
      </c>
      <c r="R34" s="106">
        <f t="shared" si="41"/>
        <v>3010</v>
      </c>
      <c r="S34" s="106">
        <f t="shared" si="41"/>
        <v>0</v>
      </c>
      <c r="T34" s="106">
        <f t="shared" ref="T34:T35" si="45">S34/R34*100</f>
        <v>0</v>
      </c>
      <c r="U34" s="106">
        <f t="shared" si="41"/>
        <v>2037</v>
      </c>
      <c r="V34" s="106">
        <f t="shared" si="41"/>
        <v>0</v>
      </c>
      <c r="W34" s="106">
        <f t="shared" si="41"/>
        <v>0</v>
      </c>
      <c r="X34" s="106">
        <f t="shared" si="41"/>
        <v>2578</v>
      </c>
      <c r="Y34" s="106">
        <f t="shared" si="41"/>
        <v>0</v>
      </c>
      <c r="Z34" s="106">
        <f t="shared" si="41"/>
        <v>0</v>
      </c>
      <c r="AA34" s="106">
        <f t="shared" si="41"/>
        <v>3526</v>
      </c>
      <c r="AB34" s="106">
        <f t="shared" si="41"/>
        <v>0</v>
      </c>
      <c r="AC34" s="106">
        <f t="shared" si="41"/>
        <v>0</v>
      </c>
      <c r="AD34" s="106">
        <f t="shared" si="41"/>
        <v>2117</v>
      </c>
      <c r="AE34" s="106">
        <f t="shared" si="41"/>
        <v>0</v>
      </c>
      <c r="AF34" s="106">
        <f t="shared" si="40"/>
        <v>0</v>
      </c>
      <c r="AG34" s="106">
        <f t="shared" si="41"/>
        <v>2494</v>
      </c>
      <c r="AH34" s="106">
        <f t="shared" si="41"/>
        <v>0</v>
      </c>
      <c r="AI34" s="106">
        <f t="shared" si="41"/>
        <v>0</v>
      </c>
      <c r="AJ34" s="106">
        <f t="shared" si="41"/>
        <v>2934</v>
      </c>
      <c r="AK34" s="106">
        <f t="shared" si="41"/>
        <v>0</v>
      </c>
      <c r="AL34" s="106">
        <f t="shared" si="41"/>
        <v>0</v>
      </c>
      <c r="AM34" s="106">
        <f t="shared" si="41"/>
        <v>1812</v>
      </c>
      <c r="AN34" s="106">
        <f t="shared" si="41"/>
        <v>0</v>
      </c>
      <c r="AO34" s="106">
        <f t="shared" si="41"/>
        <v>0</v>
      </c>
      <c r="AP34" s="106">
        <f t="shared" si="41"/>
        <v>5925.9</v>
      </c>
      <c r="AQ34" s="106">
        <f t="shared" si="41"/>
        <v>0</v>
      </c>
      <c r="AR34" s="106">
        <f t="shared" si="41"/>
        <v>0</v>
      </c>
      <c r="AS34" s="369"/>
      <c r="AT34" s="363"/>
      <c r="AU34" s="121"/>
      <c r="AV34" s="121"/>
      <c r="AW34" s="155"/>
    </row>
    <row r="35" spans="1:49" s="100" customFormat="1" ht="24">
      <c r="A35" s="356"/>
      <c r="B35" s="357"/>
      <c r="C35" s="357"/>
      <c r="D35" s="358"/>
      <c r="E35" s="111" t="s">
        <v>44</v>
      </c>
      <c r="F35" s="106">
        <f>F44</f>
        <v>3339.8999999999996</v>
      </c>
      <c r="G35" s="106">
        <f t="shared" si="41"/>
        <v>1059</v>
      </c>
      <c r="H35" s="106">
        <f>G35/F35*100</f>
        <v>31.70753615377706</v>
      </c>
      <c r="I35" s="106">
        <f t="shared" si="41"/>
        <v>556</v>
      </c>
      <c r="J35" s="106">
        <f t="shared" si="41"/>
        <v>556</v>
      </c>
      <c r="K35" s="106">
        <f t="shared" si="42"/>
        <v>100</v>
      </c>
      <c r="L35" s="106">
        <f t="shared" si="41"/>
        <v>250</v>
      </c>
      <c r="M35" s="106">
        <f t="shared" si="41"/>
        <v>250</v>
      </c>
      <c r="N35" s="106">
        <f t="shared" si="43"/>
        <v>100</v>
      </c>
      <c r="O35" s="106">
        <f t="shared" si="41"/>
        <v>253</v>
      </c>
      <c r="P35" s="106">
        <f t="shared" si="41"/>
        <v>253</v>
      </c>
      <c r="Q35" s="106">
        <f t="shared" si="44"/>
        <v>100</v>
      </c>
      <c r="R35" s="106">
        <f t="shared" si="41"/>
        <v>50</v>
      </c>
      <c r="S35" s="106">
        <f t="shared" si="41"/>
        <v>0</v>
      </c>
      <c r="T35" s="106">
        <f t="shared" si="45"/>
        <v>0</v>
      </c>
      <c r="U35" s="106">
        <f t="shared" si="41"/>
        <v>452</v>
      </c>
      <c r="V35" s="106">
        <f t="shared" si="41"/>
        <v>0</v>
      </c>
      <c r="W35" s="106">
        <f t="shared" si="41"/>
        <v>0</v>
      </c>
      <c r="X35" s="106">
        <f t="shared" si="41"/>
        <v>50</v>
      </c>
      <c r="Y35" s="106">
        <f t="shared" si="41"/>
        <v>0</v>
      </c>
      <c r="Z35" s="106">
        <f t="shared" si="41"/>
        <v>0</v>
      </c>
      <c r="AA35" s="106">
        <f t="shared" si="41"/>
        <v>50</v>
      </c>
      <c r="AB35" s="106">
        <f t="shared" si="41"/>
        <v>0</v>
      </c>
      <c r="AC35" s="106">
        <f t="shared" si="41"/>
        <v>0</v>
      </c>
      <c r="AD35" s="106">
        <f t="shared" si="41"/>
        <v>452</v>
      </c>
      <c r="AE35" s="106">
        <f t="shared" si="41"/>
        <v>0</v>
      </c>
      <c r="AF35" s="106">
        <f t="shared" si="40"/>
        <v>0</v>
      </c>
      <c r="AG35" s="106">
        <f t="shared" si="41"/>
        <v>50</v>
      </c>
      <c r="AH35" s="106">
        <f t="shared" si="41"/>
        <v>0</v>
      </c>
      <c r="AI35" s="106">
        <f t="shared" si="41"/>
        <v>0</v>
      </c>
      <c r="AJ35" s="106">
        <f t="shared" si="41"/>
        <v>50</v>
      </c>
      <c r="AK35" s="106">
        <f t="shared" si="41"/>
        <v>0</v>
      </c>
      <c r="AL35" s="106">
        <f t="shared" si="41"/>
        <v>0</v>
      </c>
      <c r="AM35" s="106">
        <f t="shared" si="41"/>
        <v>453.6</v>
      </c>
      <c r="AN35" s="106">
        <f t="shared" si="41"/>
        <v>0</v>
      </c>
      <c r="AO35" s="106">
        <f t="shared" si="41"/>
        <v>0</v>
      </c>
      <c r="AP35" s="106">
        <f t="shared" si="41"/>
        <v>673.3</v>
      </c>
      <c r="AQ35" s="106">
        <f t="shared" si="41"/>
        <v>0</v>
      </c>
      <c r="AR35" s="106">
        <f t="shared" si="41"/>
        <v>0</v>
      </c>
      <c r="AS35" s="369"/>
      <c r="AT35" s="363"/>
      <c r="AU35" s="121"/>
      <c r="AV35" s="121"/>
      <c r="AW35" s="155"/>
    </row>
    <row r="36" spans="1:49" s="100" customFormat="1" ht="24">
      <c r="A36" s="359"/>
      <c r="B36" s="360"/>
      <c r="C36" s="360"/>
      <c r="D36" s="361"/>
      <c r="E36" s="110" t="s">
        <v>257</v>
      </c>
      <c r="F36" s="106">
        <f>F45</f>
        <v>0</v>
      </c>
      <c r="G36" s="106">
        <f t="shared" si="41"/>
        <v>0</v>
      </c>
      <c r="H36" s="106">
        <v>0</v>
      </c>
      <c r="I36" s="106">
        <f t="shared" si="41"/>
        <v>0</v>
      </c>
      <c r="J36" s="106">
        <f t="shared" si="41"/>
        <v>0</v>
      </c>
      <c r="K36" s="106">
        <v>0</v>
      </c>
      <c r="L36" s="106">
        <f t="shared" si="41"/>
        <v>0</v>
      </c>
      <c r="M36" s="106">
        <f t="shared" si="41"/>
        <v>0</v>
      </c>
      <c r="N36" s="106">
        <v>0</v>
      </c>
      <c r="O36" s="106">
        <f t="shared" si="41"/>
        <v>0</v>
      </c>
      <c r="P36" s="106">
        <f t="shared" si="41"/>
        <v>0</v>
      </c>
      <c r="Q36" s="106">
        <f t="shared" si="41"/>
        <v>0</v>
      </c>
      <c r="R36" s="106">
        <f t="shared" si="41"/>
        <v>0</v>
      </c>
      <c r="S36" s="106">
        <f t="shared" si="41"/>
        <v>0</v>
      </c>
      <c r="T36" s="106">
        <v>0</v>
      </c>
      <c r="U36" s="106">
        <f t="shared" si="41"/>
        <v>0</v>
      </c>
      <c r="V36" s="106">
        <f t="shared" si="41"/>
        <v>0</v>
      </c>
      <c r="W36" s="106">
        <f t="shared" si="41"/>
        <v>0</v>
      </c>
      <c r="X36" s="106">
        <f t="shared" si="41"/>
        <v>0</v>
      </c>
      <c r="Y36" s="106">
        <f t="shared" si="41"/>
        <v>0</v>
      </c>
      <c r="Z36" s="106">
        <f t="shared" si="41"/>
        <v>0</v>
      </c>
      <c r="AA36" s="106">
        <f t="shared" si="41"/>
        <v>0</v>
      </c>
      <c r="AB36" s="106">
        <f t="shared" si="41"/>
        <v>0</v>
      </c>
      <c r="AC36" s="106">
        <f t="shared" si="41"/>
        <v>0</v>
      </c>
      <c r="AD36" s="106">
        <f t="shared" si="41"/>
        <v>0</v>
      </c>
      <c r="AE36" s="106">
        <f t="shared" si="41"/>
        <v>0</v>
      </c>
      <c r="AF36" s="106">
        <f t="shared" si="41"/>
        <v>0</v>
      </c>
      <c r="AG36" s="106">
        <f t="shared" si="41"/>
        <v>0</v>
      </c>
      <c r="AH36" s="106">
        <f t="shared" si="41"/>
        <v>0</v>
      </c>
      <c r="AI36" s="106">
        <f t="shared" si="41"/>
        <v>0</v>
      </c>
      <c r="AJ36" s="106">
        <f t="shared" si="41"/>
        <v>0</v>
      </c>
      <c r="AK36" s="106">
        <f t="shared" si="41"/>
        <v>0</v>
      </c>
      <c r="AL36" s="106">
        <f t="shared" si="41"/>
        <v>0</v>
      </c>
      <c r="AM36" s="106">
        <f t="shared" si="41"/>
        <v>0</v>
      </c>
      <c r="AN36" s="106">
        <f t="shared" si="41"/>
        <v>0</v>
      </c>
      <c r="AO36" s="106">
        <f t="shared" si="41"/>
        <v>0</v>
      </c>
      <c r="AP36" s="106">
        <f t="shared" si="41"/>
        <v>0</v>
      </c>
      <c r="AQ36" s="106">
        <f t="shared" si="41"/>
        <v>0</v>
      </c>
      <c r="AR36" s="106">
        <f t="shared" si="41"/>
        <v>0</v>
      </c>
      <c r="AS36" s="370"/>
      <c r="AT36" s="364"/>
      <c r="AU36" s="121"/>
      <c r="AV36" s="121"/>
      <c r="AW36" s="155"/>
    </row>
    <row r="37" spans="1:49" s="100" customFormat="1" ht="190.5" customHeight="1">
      <c r="A37" s="191" t="s">
        <v>347</v>
      </c>
      <c r="B37" s="161" t="s">
        <v>348</v>
      </c>
      <c r="C37" s="162" t="s">
        <v>349</v>
      </c>
      <c r="D37" s="170" t="s">
        <v>350</v>
      </c>
      <c r="E37" s="143" t="s">
        <v>275</v>
      </c>
      <c r="F37" s="149" t="s">
        <v>279</v>
      </c>
      <c r="G37" s="149" t="s">
        <v>279</v>
      </c>
      <c r="H37" s="149" t="s">
        <v>279</v>
      </c>
      <c r="I37" s="149" t="s">
        <v>279</v>
      </c>
      <c r="J37" s="149" t="s">
        <v>279</v>
      </c>
      <c r="K37" s="149" t="s">
        <v>279</v>
      </c>
      <c r="L37" s="149" t="s">
        <v>279</v>
      </c>
      <c r="M37" s="149" t="s">
        <v>279</v>
      </c>
      <c r="N37" s="149" t="s">
        <v>279</v>
      </c>
      <c r="O37" s="149" t="s">
        <v>279</v>
      </c>
      <c r="P37" s="149" t="s">
        <v>279</v>
      </c>
      <c r="Q37" s="149" t="s">
        <v>279</v>
      </c>
      <c r="R37" s="149" t="s">
        <v>279</v>
      </c>
      <c r="S37" s="149" t="s">
        <v>279</v>
      </c>
      <c r="T37" s="149" t="s">
        <v>279</v>
      </c>
      <c r="U37" s="149" t="s">
        <v>279</v>
      </c>
      <c r="V37" s="149" t="s">
        <v>279</v>
      </c>
      <c r="W37" s="149" t="s">
        <v>279</v>
      </c>
      <c r="X37" s="149" t="s">
        <v>279</v>
      </c>
      <c r="Y37" s="149" t="s">
        <v>279</v>
      </c>
      <c r="Z37" s="149" t="s">
        <v>279</v>
      </c>
      <c r="AA37" s="149" t="s">
        <v>279</v>
      </c>
      <c r="AB37" s="149" t="s">
        <v>279</v>
      </c>
      <c r="AC37" s="149" t="s">
        <v>279</v>
      </c>
      <c r="AD37" s="149" t="s">
        <v>279</v>
      </c>
      <c r="AE37" s="149" t="s">
        <v>279</v>
      </c>
      <c r="AF37" s="149" t="s">
        <v>279</v>
      </c>
      <c r="AG37" s="149" t="s">
        <v>279</v>
      </c>
      <c r="AH37" s="149" t="s">
        <v>279</v>
      </c>
      <c r="AI37" s="149" t="s">
        <v>279</v>
      </c>
      <c r="AJ37" s="149" t="s">
        <v>279</v>
      </c>
      <c r="AK37" s="149" t="s">
        <v>279</v>
      </c>
      <c r="AL37" s="149" t="s">
        <v>279</v>
      </c>
      <c r="AM37" s="149" t="s">
        <v>279</v>
      </c>
      <c r="AN37" s="149" t="s">
        <v>279</v>
      </c>
      <c r="AO37" s="149" t="s">
        <v>279</v>
      </c>
      <c r="AP37" s="149" t="s">
        <v>279</v>
      </c>
      <c r="AQ37" s="149"/>
      <c r="AR37" s="149"/>
      <c r="AS37" s="141" t="s">
        <v>413</v>
      </c>
      <c r="AT37" s="134"/>
      <c r="AU37" s="121"/>
      <c r="AV37" s="121"/>
      <c r="AW37" s="155"/>
    </row>
    <row r="38" spans="1:49" s="100" customFormat="1" ht="108">
      <c r="A38" s="185" t="s">
        <v>351</v>
      </c>
      <c r="B38" s="193" t="s">
        <v>352</v>
      </c>
      <c r="C38" s="160" t="s">
        <v>353</v>
      </c>
      <c r="D38" s="170" t="s">
        <v>354</v>
      </c>
      <c r="E38" s="143" t="s">
        <v>275</v>
      </c>
      <c r="F38" s="149" t="s">
        <v>279</v>
      </c>
      <c r="G38" s="149" t="s">
        <v>279</v>
      </c>
      <c r="H38" s="149" t="s">
        <v>279</v>
      </c>
      <c r="I38" s="149" t="s">
        <v>279</v>
      </c>
      <c r="J38" s="149" t="s">
        <v>279</v>
      </c>
      <c r="K38" s="149" t="s">
        <v>279</v>
      </c>
      <c r="L38" s="149" t="s">
        <v>279</v>
      </c>
      <c r="M38" s="149" t="s">
        <v>279</v>
      </c>
      <c r="N38" s="149" t="s">
        <v>279</v>
      </c>
      <c r="O38" s="149" t="s">
        <v>279</v>
      </c>
      <c r="P38" s="149" t="s">
        <v>279</v>
      </c>
      <c r="Q38" s="149" t="s">
        <v>279</v>
      </c>
      <c r="R38" s="149" t="s">
        <v>279</v>
      </c>
      <c r="S38" s="149" t="s">
        <v>279</v>
      </c>
      <c r="T38" s="149" t="s">
        <v>279</v>
      </c>
      <c r="U38" s="149" t="s">
        <v>279</v>
      </c>
      <c r="V38" s="149" t="s">
        <v>279</v>
      </c>
      <c r="W38" s="149" t="s">
        <v>279</v>
      </c>
      <c r="X38" s="149" t="s">
        <v>279</v>
      </c>
      <c r="Y38" s="149" t="s">
        <v>279</v>
      </c>
      <c r="Z38" s="149" t="s">
        <v>279</v>
      </c>
      <c r="AA38" s="149" t="s">
        <v>279</v>
      </c>
      <c r="AB38" s="149" t="s">
        <v>279</v>
      </c>
      <c r="AC38" s="149" t="s">
        <v>279</v>
      </c>
      <c r="AD38" s="149" t="s">
        <v>279</v>
      </c>
      <c r="AE38" s="149" t="s">
        <v>279</v>
      </c>
      <c r="AF38" s="149" t="s">
        <v>279</v>
      </c>
      <c r="AG38" s="149" t="s">
        <v>279</v>
      </c>
      <c r="AH38" s="149" t="s">
        <v>279</v>
      </c>
      <c r="AI38" s="149" t="s">
        <v>279</v>
      </c>
      <c r="AJ38" s="149" t="s">
        <v>279</v>
      </c>
      <c r="AK38" s="149" t="s">
        <v>279</v>
      </c>
      <c r="AL38" s="149" t="s">
        <v>279</v>
      </c>
      <c r="AM38" s="149" t="s">
        <v>279</v>
      </c>
      <c r="AN38" s="149" t="s">
        <v>279</v>
      </c>
      <c r="AO38" s="149" t="s">
        <v>279</v>
      </c>
      <c r="AP38" s="149" t="s">
        <v>279</v>
      </c>
      <c r="AQ38" s="149"/>
      <c r="AR38" s="149"/>
      <c r="AS38" s="141" t="s">
        <v>414</v>
      </c>
      <c r="AT38" s="134"/>
      <c r="AU38" s="121"/>
      <c r="AV38" s="121"/>
      <c r="AW38" s="155"/>
    </row>
    <row r="39" spans="1:49" s="100" customFormat="1" ht="129.75" customHeight="1">
      <c r="A39" s="191" t="s">
        <v>355</v>
      </c>
      <c r="B39" s="193" t="s">
        <v>356</v>
      </c>
      <c r="C39" s="160" t="s">
        <v>357</v>
      </c>
      <c r="D39" s="170" t="s">
        <v>358</v>
      </c>
      <c r="E39" s="143" t="s">
        <v>275</v>
      </c>
      <c r="F39" s="149" t="s">
        <v>279</v>
      </c>
      <c r="G39" s="149" t="s">
        <v>279</v>
      </c>
      <c r="H39" s="149" t="s">
        <v>279</v>
      </c>
      <c r="I39" s="149" t="s">
        <v>279</v>
      </c>
      <c r="J39" s="149" t="s">
        <v>279</v>
      </c>
      <c r="K39" s="149" t="s">
        <v>279</v>
      </c>
      <c r="L39" s="149" t="s">
        <v>279</v>
      </c>
      <c r="M39" s="149" t="s">
        <v>279</v>
      </c>
      <c r="N39" s="149" t="s">
        <v>279</v>
      </c>
      <c r="O39" s="149" t="s">
        <v>279</v>
      </c>
      <c r="P39" s="149" t="s">
        <v>279</v>
      </c>
      <c r="Q39" s="149" t="s">
        <v>279</v>
      </c>
      <c r="R39" s="149" t="s">
        <v>279</v>
      </c>
      <c r="S39" s="149" t="s">
        <v>279</v>
      </c>
      <c r="T39" s="149" t="s">
        <v>279</v>
      </c>
      <c r="U39" s="149" t="s">
        <v>279</v>
      </c>
      <c r="V39" s="149" t="s">
        <v>279</v>
      </c>
      <c r="W39" s="149" t="s">
        <v>279</v>
      </c>
      <c r="X39" s="149" t="s">
        <v>279</v>
      </c>
      <c r="Y39" s="149" t="s">
        <v>279</v>
      </c>
      <c r="Z39" s="149" t="s">
        <v>279</v>
      </c>
      <c r="AA39" s="149" t="s">
        <v>279</v>
      </c>
      <c r="AB39" s="149" t="s">
        <v>279</v>
      </c>
      <c r="AC39" s="149" t="s">
        <v>279</v>
      </c>
      <c r="AD39" s="149" t="s">
        <v>279</v>
      </c>
      <c r="AE39" s="149" t="s">
        <v>279</v>
      </c>
      <c r="AF39" s="149" t="s">
        <v>279</v>
      </c>
      <c r="AG39" s="149" t="s">
        <v>279</v>
      </c>
      <c r="AH39" s="149" t="s">
        <v>279</v>
      </c>
      <c r="AI39" s="149" t="s">
        <v>279</v>
      </c>
      <c r="AJ39" s="149" t="s">
        <v>279</v>
      </c>
      <c r="AK39" s="149" t="s">
        <v>279</v>
      </c>
      <c r="AL39" s="149" t="s">
        <v>279</v>
      </c>
      <c r="AM39" s="149" t="s">
        <v>279</v>
      </c>
      <c r="AN39" s="149" t="s">
        <v>279</v>
      </c>
      <c r="AO39" s="149" t="s">
        <v>279</v>
      </c>
      <c r="AP39" s="149" t="s">
        <v>279</v>
      </c>
      <c r="AQ39" s="149"/>
      <c r="AR39" s="149"/>
      <c r="AS39" s="209" t="s">
        <v>415</v>
      </c>
      <c r="AT39" s="134"/>
      <c r="AU39" s="121"/>
      <c r="AV39" s="121"/>
      <c r="AW39" s="155"/>
    </row>
    <row r="40" spans="1:49" s="100" customFormat="1" ht="217.5" customHeight="1">
      <c r="A40" s="191" t="s">
        <v>359</v>
      </c>
      <c r="B40" s="193" t="s">
        <v>360</v>
      </c>
      <c r="C40" s="160" t="s">
        <v>357</v>
      </c>
      <c r="D40" s="170" t="s">
        <v>358</v>
      </c>
      <c r="E40" s="143" t="s">
        <v>275</v>
      </c>
      <c r="F40" s="149" t="s">
        <v>279</v>
      </c>
      <c r="G40" s="149" t="s">
        <v>279</v>
      </c>
      <c r="H40" s="149" t="s">
        <v>279</v>
      </c>
      <c r="I40" s="149" t="s">
        <v>279</v>
      </c>
      <c r="J40" s="149" t="s">
        <v>279</v>
      </c>
      <c r="K40" s="149" t="s">
        <v>279</v>
      </c>
      <c r="L40" s="149" t="s">
        <v>279</v>
      </c>
      <c r="M40" s="149" t="s">
        <v>279</v>
      </c>
      <c r="N40" s="149" t="s">
        <v>279</v>
      </c>
      <c r="O40" s="149" t="s">
        <v>279</v>
      </c>
      <c r="P40" s="149" t="s">
        <v>279</v>
      </c>
      <c r="Q40" s="149" t="s">
        <v>279</v>
      </c>
      <c r="R40" s="149" t="s">
        <v>279</v>
      </c>
      <c r="S40" s="149" t="s">
        <v>279</v>
      </c>
      <c r="T40" s="149" t="s">
        <v>279</v>
      </c>
      <c r="U40" s="149" t="s">
        <v>279</v>
      </c>
      <c r="V40" s="149" t="s">
        <v>279</v>
      </c>
      <c r="W40" s="149" t="s">
        <v>279</v>
      </c>
      <c r="X40" s="149" t="s">
        <v>279</v>
      </c>
      <c r="Y40" s="149" t="s">
        <v>279</v>
      </c>
      <c r="Z40" s="149" t="s">
        <v>279</v>
      </c>
      <c r="AA40" s="149" t="s">
        <v>279</v>
      </c>
      <c r="AB40" s="149" t="s">
        <v>279</v>
      </c>
      <c r="AC40" s="149" t="s">
        <v>279</v>
      </c>
      <c r="AD40" s="149" t="s">
        <v>279</v>
      </c>
      <c r="AE40" s="149" t="s">
        <v>279</v>
      </c>
      <c r="AF40" s="149" t="s">
        <v>279</v>
      </c>
      <c r="AG40" s="149" t="s">
        <v>279</v>
      </c>
      <c r="AH40" s="149" t="s">
        <v>279</v>
      </c>
      <c r="AI40" s="149" t="s">
        <v>279</v>
      </c>
      <c r="AJ40" s="149" t="s">
        <v>279</v>
      </c>
      <c r="AK40" s="149" t="s">
        <v>279</v>
      </c>
      <c r="AL40" s="149" t="s">
        <v>279</v>
      </c>
      <c r="AM40" s="149" t="s">
        <v>279</v>
      </c>
      <c r="AN40" s="149" t="s">
        <v>279</v>
      </c>
      <c r="AO40" s="149" t="s">
        <v>279</v>
      </c>
      <c r="AP40" s="149" t="s">
        <v>279</v>
      </c>
      <c r="AQ40" s="149"/>
      <c r="AR40" s="149"/>
      <c r="AS40" s="141" t="s">
        <v>416</v>
      </c>
      <c r="AT40" s="134"/>
      <c r="AU40" s="121"/>
      <c r="AV40" s="121"/>
      <c r="AW40" s="155"/>
    </row>
    <row r="41" spans="1:49" s="100" customFormat="1" ht="54" customHeight="1">
      <c r="A41" s="191" t="s">
        <v>361</v>
      </c>
      <c r="B41" s="193" t="s">
        <v>362</v>
      </c>
      <c r="C41" s="160" t="s">
        <v>363</v>
      </c>
      <c r="D41" s="170" t="s">
        <v>364</v>
      </c>
      <c r="E41" s="143" t="s">
        <v>275</v>
      </c>
      <c r="F41" s="149" t="s">
        <v>279</v>
      </c>
      <c r="G41" s="149" t="s">
        <v>279</v>
      </c>
      <c r="H41" s="149" t="s">
        <v>279</v>
      </c>
      <c r="I41" s="149" t="s">
        <v>279</v>
      </c>
      <c r="J41" s="149" t="s">
        <v>279</v>
      </c>
      <c r="K41" s="149" t="s">
        <v>279</v>
      </c>
      <c r="L41" s="149" t="s">
        <v>279</v>
      </c>
      <c r="M41" s="149" t="s">
        <v>279</v>
      </c>
      <c r="N41" s="149" t="s">
        <v>279</v>
      </c>
      <c r="O41" s="149" t="s">
        <v>279</v>
      </c>
      <c r="P41" s="149" t="s">
        <v>279</v>
      </c>
      <c r="Q41" s="149" t="s">
        <v>279</v>
      </c>
      <c r="R41" s="149" t="s">
        <v>279</v>
      </c>
      <c r="S41" s="149" t="s">
        <v>279</v>
      </c>
      <c r="T41" s="149" t="s">
        <v>279</v>
      </c>
      <c r="U41" s="149" t="s">
        <v>279</v>
      </c>
      <c r="V41" s="149" t="s">
        <v>279</v>
      </c>
      <c r="W41" s="149" t="s">
        <v>279</v>
      </c>
      <c r="X41" s="149" t="s">
        <v>279</v>
      </c>
      <c r="Y41" s="149" t="s">
        <v>279</v>
      </c>
      <c r="Z41" s="149" t="s">
        <v>279</v>
      </c>
      <c r="AA41" s="149" t="s">
        <v>279</v>
      </c>
      <c r="AB41" s="149" t="s">
        <v>279</v>
      </c>
      <c r="AC41" s="149" t="s">
        <v>279</v>
      </c>
      <c r="AD41" s="149" t="s">
        <v>279</v>
      </c>
      <c r="AE41" s="149" t="s">
        <v>279</v>
      </c>
      <c r="AF41" s="149" t="s">
        <v>279</v>
      </c>
      <c r="AG41" s="149" t="s">
        <v>279</v>
      </c>
      <c r="AH41" s="149" t="s">
        <v>279</v>
      </c>
      <c r="AI41" s="149" t="s">
        <v>279</v>
      </c>
      <c r="AJ41" s="149" t="s">
        <v>279</v>
      </c>
      <c r="AK41" s="149" t="s">
        <v>279</v>
      </c>
      <c r="AL41" s="149" t="s">
        <v>279</v>
      </c>
      <c r="AM41" s="149" t="s">
        <v>279</v>
      </c>
      <c r="AN41" s="149" t="s">
        <v>279</v>
      </c>
      <c r="AO41" s="149" t="s">
        <v>279</v>
      </c>
      <c r="AP41" s="149" t="s">
        <v>279</v>
      </c>
      <c r="AQ41" s="149"/>
      <c r="AR41" s="149"/>
      <c r="AS41" s="141" t="s">
        <v>417</v>
      </c>
      <c r="AT41" s="134"/>
      <c r="AU41" s="121"/>
      <c r="AV41" s="121"/>
      <c r="AW41" s="155"/>
    </row>
    <row r="42" spans="1:49" s="31" customFormat="1" ht="12.75">
      <c r="A42" s="371" t="s">
        <v>365</v>
      </c>
      <c r="B42" s="374" t="s">
        <v>366</v>
      </c>
      <c r="C42" s="377" t="s">
        <v>269</v>
      </c>
      <c r="D42" s="335" t="s">
        <v>367</v>
      </c>
      <c r="E42" s="107" t="s">
        <v>42</v>
      </c>
      <c r="F42" s="123">
        <f>SUM(F43:F45)</f>
        <v>33940.800000000003</v>
      </c>
      <c r="G42" s="123">
        <f t="shared" ref="G42" si="46">SUM(G43:G45)</f>
        <v>5142.1000000000004</v>
      </c>
      <c r="H42" s="123">
        <f>G42/F42*100</f>
        <v>15.150202705887899</v>
      </c>
      <c r="I42" s="132">
        <f>I43+I44+I45</f>
        <v>556</v>
      </c>
      <c r="J42" s="132">
        <f>J43+J44+J45</f>
        <v>556</v>
      </c>
      <c r="K42" s="123">
        <f t="shared" ref="K42:K44" si="47">J42/I42*100</f>
        <v>100</v>
      </c>
      <c r="L42" s="132">
        <f>L43+L44+L45</f>
        <v>2428</v>
      </c>
      <c r="M42" s="132">
        <f>M43+M44+M45</f>
        <v>2369.3000000000002</v>
      </c>
      <c r="N42" s="132">
        <f>M42/L42*100</f>
        <v>97.582372322899516</v>
      </c>
      <c r="O42" s="132">
        <f>O43+O44+O45</f>
        <v>2242</v>
      </c>
      <c r="P42" s="132">
        <f>P43+P44+P45</f>
        <v>2216.8000000000002</v>
      </c>
      <c r="Q42" s="123">
        <f t="shared" ref="Q42:Q44" si="48">P42/O42*100</f>
        <v>98.876003568242652</v>
      </c>
      <c r="R42" s="132">
        <f>R43+R44+R45</f>
        <v>3060</v>
      </c>
      <c r="S42" s="132">
        <f>S43+S44+S45</f>
        <v>0</v>
      </c>
      <c r="T42" s="132">
        <f>S42/R42*100</f>
        <v>0</v>
      </c>
      <c r="U42" s="132">
        <f t="shared" ref="U42:AP42" si="49">U43+U44+U45</f>
        <v>2489</v>
      </c>
      <c r="V42" s="132">
        <f t="shared" si="49"/>
        <v>0</v>
      </c>
      <c r="W42" s="132">
        <f>V42/U42*100</f>
        <v>0</v>
      </c>
      <c r="X42" s="132">
        <f t="shared" si="49"/>
        <v>2628</v>
      </c>
      <c r="Y42" s="132">
        <f t="shared" si="49"/>
        <v>0</v>
      </c>
      <c r="Z42" s="132">
        <f>Y42/X42*100</f>
        <v>0</v>
      </c>
      <c r="AA42" s="132">
        <f t="shared" si="49"/>
        <v>3576</v>
      </c>
      <c r="AB42" s="132">
        <f t="shared" si="49"/>
        <v>0</v>
      </c>
      <c r="AC42" s="132">
        <f>AB42/AA42*100</f>
        <v>0</v>
      </c>
      <c r="AD42" s="132">
        <f t="shared" si="49"/>
        <v>2569</v>
      </c>
      <c r="AE42" s="132">
        <f t="shared" si="49"/>
        <v>0</v>
      </c>
      <c r="AF42" s="132">
        <f>AE42/AD42*100</f>
        <v>0</v>
      </c>
      <c r="AG42" s="132">
        <f t="shared" si="49"/>
        <v>2544</v>
      </c>
      <c r="AH42" s="132">
        <f t="shared" si="49"/>
        <v>0</v>
      </c>
      <c r="AI42" s="117">
        <f>AH42/AG42*100</f>
        <v>0</v>
      </c>
      <c r="AJ42" s="132">
        <f t="shared" si="49"/>
        <v>2984</v>
      </c>
      <c r="AK42" s="132">
        <f t="shared" si="49"/>
        <v>0</v>
      </c>
      <c r="AL42" s="132">
        <f t="shared" si="49"/>
        <v>0</v>
      </c>
      <c r="AM42" s="132">
        <f t="shared" si="49"/>
        <v>2265.6</v>
      </c>
      <c r="AN42" s="132">
        <f t="shared" si="49"/>
        <v>0</v>
      </c>
      <c r="AO42" s="132">
        <f t="shared" si="49"/>
        <v>0</v>
      </c>
      <c r="AP42" s="132">
        <f t="shared" si="49"/>
        <v>6599.2</v>
      </c>
      <c r="AQ42" s="104"/>
      <c r="AR42" s="104"/>
      <c r="AS42" s="338" t="s">
        <v>418</v>
      </c>
      <c r="AT42" s="438" t="s">
        <v>412</v>
      </c>
      <c r="AU42" s="121"/>
      <c r="AV42" s="121"/>
      <c r="AW42" s="155"/>
    </row>
    <row r="43" spans="1:49" s="31" customFormat="1" ht="36">
      <c r="A43" s="372"/>
      <c r="B43" s="375"/>
      <c r="C43" s="378"/>
      <c r="D43" s="336"/>
      <c r="E43" s="108" t="s">
        <v>3</v>
      </c>
      <c r="F43" s="123">
        <f>I43+L43+O43+R43+U43+X43+AA43+AD43+AG43+AJ43+AM43+AP43</f>
        <v>30600.9</v>
      </c>
      <c r="G43" s="123">
        <f>J43+M43+P43+S43+V43+Y43+AB43+AE43+AH43+AK43+AN43+AQ43</f>
        <v>4083.1000000000004</v>
      </c>
      <c r="H43" s="123">
        <f>G43/F43*100</f>
        <v>13.343071609004964</v>
      </c>
      <c r="I43" s="123">
        <v>0</v>
      </c>
      <c r="J43" s="123">
        <v>0</v>
      </c>
      <c r="K43" s="123">
        <v>0</v>
      </c>
      <c r="L43" s="150">
        <v>2178</v>
      </c>
      <c r="M43" s="123">
        <v>2119.3000000000002</v>
      </c>
      <c r="N43" s="138">
        <f t="shared" ref="N43:N44" si="50">M43/L43*100</f>
        <v>97.304866850321403</v>
      </c>
      <c r="O43" s="123">
        <v>1989</v>
      </c>
      <c r="P43" s="123">
        <v>1963.8</v>
      </c>
      <c r="Q43" s="123">
        <f t="shared" si="48"/>
        <v>98.733031674208135</v>
      </c>
      <c r="R43" s="123">
        <v>3010</v>
      </c>
      <c r="S43" s="123">
        <v>0</v>
      </c>
      <c r="T43" s="132">
        <f t="shared" ref="T43:T44" si="51">S43/R43*100</f>
        <v>0</v>
      </c>
      <c r="U43" s="117">
        <v>2037</v>
      </c>
      <c r="V43" s="117">
        <v>0</v>
      </c>
      <c r="W43" s="132">
        <f t="shared" ref="W43:W44" si="52">V43/U43*100</f>
        <v>0</v>
      </c>
      <c r="X43" s="117">
        <v>2578</v>
      </c>
      <c r="Y43" s="117">
        <v>0</v>
      </c>
      <c r="Z43" s="117">
        <f>Y43/X43*100</f>
        <v>0</v>
      </c>
      <c r="AA43" s="117">
        <v>3526</v>
      </c>
      <c r="AB43" s="117">
        <v>0</v>
      </c>
      <c r="AC43" s="117">
        <f>AB43/AA43*100</f>
        <v>0</v>
      </c>
      <c r="AD43" s="117">
        <v>2117</v>
      </c>
      <c r="AE43" s="117">
        <v>0</v>
      </c>
      <c r="AF43" s="117">
        <f>AE43/AD43*100</f>
        <v>0</v>
      </c>
      <c r="AG43" s="117">
        <v>2494</v>
      </c>
      <c r="AH43" s="117">
        <v>0</v>
      </c>
      <c r="AI43" s="117">
        <f>AH43/AG43*100</f>
        <v>0</v>
      </c>
      <c r="AJ43" s="123">
        <v>2934</v>
      </c>
      <c r="AK43" s="123">
        <v>0</v>
      </c>
      <c r="AL43" s="123">
        <v>0</v>
      </c>
      <c r="AM43" s="117">
        <v>1812</v>
      </c>
      <c r="AN43" s="117">
        <v>0</v>
      </c>
      <c r="AO43" s="117">
        <v>0</v>
      </c>
      <c r="AP43" s="123">
        <v>5925.9</v>
      </c>
      <c r="AQ43" s="104"/>
      <c r="AR43" s="104"/>
      <c r="AS43" s="339"/>
      <c r="AT43" s="439"/>
      <c r="AU43" s="121"/>
      <c r="AV43" s="121"/>
      <c r="AW43" s="155"/>
    </row>
    <row r="44" spans="1:49" s="31" customFormat="1" ht="33.75" customHeight="1">
      <c r="A44" s="372"/>
      <c r="B44" s="375"/>
      <c r="C44" s="378"/>
      <c r="D44" s="336"/>
      <c r="E44" s="108" t="s">
        <v>44</v>
      </c>
      <c r="F44" s="123">
        <f t="shared" ref="F44:G45" si="53">I44+L44+O44+R44+U44+X44+AA44+AD44+AG44+AJ44+AM44+AP44</f>
        <v>3339.8999999999996</v>
      </c>
      <c r="G44" s="123">
        <f t="shared" si="53"/>
        <v>1059</v>
      </c>
      <c r="H44" s="123">
        <f>G44/F44*100</f>
        <v>31.70753615377706</v>
      </c>
      <c r="I44" s="123">
        <v>556</v>
      </c>
      <c r="J44" s="123">
        <v>556</v>
      </c>
      <c r="K44" s="123">
        <f t="shared" si="47"/>
        <v>100</v>
      </c>
      <c r="L44" s="150">
        <v>250</v>
      </c>
      <c r="M44" s="123">
        <v>250</v>
      </c>
      <c r="N44" s="138">
        <f t="shared" si="50"/>
        <v>100</v>
      </c>
      <c r="O44" s="123">
        <v>253</v>
      </c>
      <c r="P44" s="123">
        <v>253</v>
      </c>
      <c r="Q44" s="123">
        <f t="shared" si="48"/>
        <v>100</v>
      </c>
      <c r="R44" s="123">
        <v>50</v>
      </c>
      <c r="S44" s="123">
        <v>0</v>
      </c>
      <c r="T44" s="132">
        <f t="shared" si="51"/>
        <v>0</v>
      </c>
      <c r="U44" s="117">
        <v>452</v>
      </c>
      <c r="V44" s="117">
        <v>0</v>
      </c>
      <c r="W44" s="132">
        <f t="shared" si="52"/>
        <v>0</v>
      </c>
      <c r="X44" s="117">
        <v>50</v>
      </c>
      <c r="Y44" s="117">
        <v>0</v>
      </c>
      <c r="Z44" s="117">
        <f>Y44/X44*100</f>
        <v>0</v>
      </c>
      <c r="AA44" s="117">
        <v>50</v>
      </c>
      <c r="AB44" s="117">
        <v>0</v>
      </c>
      <c r="AC44" s="117">
        <f>AB44/AA44*100</f>
        <v>0</v>
      </c>
      <c r="AD44" s="117">
        <v>452</v>
      </c>
      <c r="AE44" s="117">
        <v>0</v>
      </c>
      <c r="AF44" s="117">
        <f>AE44/AD44*100</f>
        <v>0</v>
      </c>
      <c r="AG44" s="117">
        <v>50</v>
      </c>
      <c r="AH44" s="117">
        <v>0</v>
      </c>
      <c r="AI44" s="117">
        <f>AH44/AG44*100</f>
        <v>0</v>
      </c>
      <c r="AJ44" s="123">
        <v>50</v>
      </c>
      <c r="AK44" s="123">
        <v>0</v>
      </c>
      <c r="AL44" s="123">
        <v>0</v>
      </c>
      <c r="AM44" s="117">
        <v>453.6</v>
      </c>
      <c r="AN44" s="117">
        <v>0</v>
      </c>
      <c r="AO44" s="117">
        <v>0</v>
      </c>
      <c r="AP44" s="123">
        <v>673.3</v>
      </c>
      <c r="AQ44" s="104"/>
      <c r="AR44" s="104"/>
      <c r="AS44" s="339"/>
      <c r="AT44" s="439"/>
      <c r="AU44" s="121"/>
      <c r="AV44" s="121"/>
      <c r="AW44" s="155"/>
    </row>
    <row r="45" spans="1:49" s="31" customFormat="1" ht="63" customHeight="1">
      <c r="A45" s="373"/>
      <c r="B45" s="376"/>
      <c r="C45" s="379"/>
      <c r="D45" s="337"/>
      <c r="E45" s="109" t="s">
        <v>257</v>
      </c>
      <c r="F45" s="123">
        <f t="shared" si="53"/>
        <v>0</v>
      </c>
      <c r="G45" s="123">
        <f t="shared" si="53"/>
        <v>0</v>
      </c>
      <c r="H45" s="123">
        <v>0</v>
      </c>
      <c r="I45" s="123">
        <v>0</v>
      </c>
      <c r="J45" s="123">
        <v>0</v>
      </c>
      <c r="K45" s="123">
        <v>0</v>
      </c>
      <c r="L45" s="150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4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23">
        <v>0</v>
      </c>
      <c r="AK45" s="123">
        <v>0</v>
      </c>
      <c r="AL45" s="123">
        <v>0</v>
      </c>
      <c r="AM45" s="117">
        <v>0</v>
      </c>
      <c r="AN45" s="117">
        <v>0</v>
      </c>
      <c r="AO45" s="117">
        <v>0</v>
      </c>
      <c r="AP45" s="123">
        <v>0</v>
      </c>
      <c r="AQ45" s="104"/>
      <c r="AR45" s="104"/>
      <c r="AS45" s="340"/>
      <c r="AT45" s="440"/>
      <c r="AU45" s="121"/>
      <c r="AV45" s="121"/>
      <c r="AW45" s="155"/>
    </row>
    <row r="46" spans="1:49" s="31" customFormat="1" ht="15.75">
      <c r="A46" s="429" t="s">
        <v>368</v>
      </c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30"/>
      <c r="AJ46" s="430"/>
      <c r="AK46" s="430"/>
      <c r="AL46" s="430"/>
      <c r="AM46" s="430"/>
      <c r="AN46" s="430"/>
      <c r="AO46" s="430"/>
      <c r="AP46" s="430"/>
      <c r="AQ46" s="430"/>
      <c r="AR46" s="430"/>
      <c r="AS46" s="430"/>
      <c r="AT46" s="431"/>
      <c r="AU46" s="121"/>
      <c r="AV46" s="121"/>
      <c r="AW46" s="155"/>
    </row>
    <row r="47" spans="1:49" s="31" customFormat="1" ht="15.75">
      <c r="A47" s="429" t="s">
        <v>369</v>
      </c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30"/>
      <c r="AJ47" s="430"/>
      <c r="AK47" s="430"/>
      <c r="AL47" s="430"/>
      <c r="AM47" s="430"/>
      <c r="AN47" s="430"/>
      <c r="AO47" s="430"/>
      <c r="AP47" s="430"/>
      <c r="AQ47" s="430"/>
      <c r="AR47" s="430"/>
      <c r="AS47" s="430"/>
      <c r="AT47" s="431"/>
      <c r="AU47" s="121"/>
      <c r="AV47" s="121"/>
      <c r="AW47" s="155"/>
    </row>
    <row r="48" spans="1:49" s="100" customFormat="1" ht="12.75">
      <c r="A48" s="353" t="s">
        <v>270</v>
      </c>
      <c r="B48" s="354"/>
      <c r="C48" s="354"/>
      <c r="D48" s="355"/>
      <c r="E48" s="129" t="s">
        <v>42</v>
      </c>
      <c r="F48" s="106">
        <f>F49+F50+F51</f>
        <v>599.4</v>
      </c>
      <c r="G48" s="106">
        <f t="shared" ref="G48:AR48" si="54">G49+G50+G51</f>
        <v>0</v>
      </c>
      <c r="H48" s="106">
        <f>G48/F48*100</f>
        <v>0</v>
      </c>
      <c r="I48" s="106">
        <f t="shared" si="54"/>
        <v>0</v>
      </c>
      <c r="J48" s="106">
        <f t="shared" si="54"/>
        <v>0</v>
      </c>
      <c r="K48" s="106">
        <v>0</v>
      </c>
      <c r="L48" s="106">
        <f t="shared" si="54"/>
        <v>0</v>
      </c>
      <c r="M48" s="106">
        <f t="shared" si="54"/>
        <v>0</v>
      </c>
      <c r="N48" s="106">
        <v>0</v>
      </c>
      <c r="O48" s="106">
        <f t="shared" si="54"/>
        <v>0</v>
      </c>
      <c r="P48" s="106">
        <f t="shared" si="54"/>
        <v>0</v>
      </c>
      <c r="Q48" s="106" t="e">
        <f>P48/O48*100</f>
        <v>#DIV/0!</v>
      </c>
      <c r="R48" s="106">
        <f t="shared" si="54"/>
        <v>119.8</v>
      </c>
      <c r="S48" s="106">
        <f t="shared" si="54"/>
        <v>0</v>
      </c>
      <c r="T48" s="106">
        <v>0</v>
      </c>
      <c r="U48" s="106">
        <f t="shared" si="54"/>
        <v>0</v>
      </c>
      <c r="V48" s="106">
        <f t="shared" si="54"/>
        <v>0</v>
      </c>
      <c r="W48" s="106">
        <f t="shared" si="54"/>
        <v>0</v>
      </c>
      <c r="X48" s="106">
        <f t="shared" si="54"/>
        <v>179.7</v>
      </c>
      <c r="Y48" s="106">
        <f t="shared" si="54"/>
        <v>0</v>
      </c>
      <c r="Z48" s="106">
        <f t="shared" si="54"/>
        <v>0</v>
      </c>
      <c r="AA48" s="106">
        <f t="shared" si="54"/>
        <v>0</v>
      </c>
      <c r="AB48" s="106">
        <f t="shared" si="54"/>
        <v>0</v>
      </c>
      <c r="AC48" s="106">
        <f t="shared" si="54"/>
        <v>0</v>
      </c>
      <c r="AD48" s="106">
        <f t="shared" si="54"/>
        <v>0</v>
      </c>
      <c r="AE48" s="106">
        <f t="shared" si="54"/>
        <v>0</v>
      </c>
      <c r="AF48" s="106">
        <f t="shared" si="54"/>
        <v>0</v>
      </c>
      <c r="AG48" s="106">
        <f t="shared" si="54"/>
        <v>179.7</v>
      </c>
      <c r="AH48" s="106">
        <f t="shared" si="54"/>
        <v>0</v>
      </c>
      <c r="AI48" s="106">
        <f t="shared" si="54"/>
        <v>0</v>
      </c>
      <c r="AJ48" s="106">
        <f t="shared" si="54"/>
        <v>0</v>
      </c>
      <c r="AK48" s="106">
        <f t="shared" si="54"/>
        <v>0</v>
      </c>
      <c r="AL48" s="106">
        <f t="shared" si="54"/>
        <v>0</v>
      </c>
      <c r="AM48" s="106">
        <f t="shared" si="54"/>
        <v>120.2</v>
      </c>
      <c r="AN48" s="106">
        <f t="shared" si="54"/>
        <v>0</v>
      </c>
      <c r="AO48" s="106">
        <f t="shared" si="54"/>
        <v>0</v>
      </c>
      <c r="AP48" s="106">
        <f t="shared" si="54"/>
        <v>0</v>
      </c>
      <c r="AQ48" s="106">
        <f t="shared" si="54"/>
        <v>0</v>
      </c>
      <c r="AR48" s="106">
        <f t="shared" si="54"/>
        <v>0</v>
      </c>
      <c r="AS48" s="432"/>
      <c r="AT48" s="435"/>
      <c r="AU48" s="121"/>
      <c r="AV48" s="121"/>
      <c r="AW48" s="155"/>
    </row>
    <row r="49" spans="1:49" s="100" customFormat="1" ht="36">
      <c r="A49" s="356"/>
      <c r="B49" s="357"/>
      <c r="C49" s="357"/>
      <c r="D49" s="358"/>
      <c r="E49" s="111" t="s">
        <v>3</v>
      </c>
      <c r="F49" s="106">
        <f>F57</f>
        <v>0</v>
      </c>
      <c r="G49" s="106">
        <f t="shared" ref="G49:AR51" si="55">G57</f>
        <v>0</v>
      </c>
      <c r="H49" s="106">
        <v>0</v>
      </c>
      <c r="I49" s="106">
        <f t="shared" si="55"/>
        <v>0</v>
      </c>
      <c r="J49" s="106">
        <f t="shared" si="55"/>
        <v>0</v>
      </c>
      <c r="K49" s="106">
        <v>0</v>
      </c>
      <c r="L49" s="106">
        <f t="shared" si="55"/>
        <v>0</v>
      </c>
      <c r="M49" s="106">
        <f t="shared" si="55"/>
        <v>0</v>
      </c>
      <c r="N49" s="106">
        <v>0</v>
      </c>
      <c r="O49" s="106">
        <f t="shared" si="55"/>
        <v>0</v>
      </c>
      <c r="P49" s="106">
        <f t="shared" si="55"/>
        <v>0</v>
      </c>
      <c r="Q49" s="106">
        <v>0</v>
      </c>
      <c r="R49" s="106">
        <f t="shared" si="55"/>
        <v>0</v>
      </c>
      <c r="S49" s="106">
        <f t="shared" si="55"/>
        <v>0</v>
      </c>
      <c r="T49" s="106">
        <f t="shared" si="55"/>
        <v>0</v>
      </c>
      <c r="U49" s="106">
        <f t="shared" si="55"/>
        <v>0</v>
      </c>
      <c r="V49" s="106">
        <f t="shared" si="55"/>
        <v>0</v>
      </c>
      <c r="W49" s="106">
        <f t="shared" si="55"/>
        <v>0</v>
      </c>
      <c r="X49" s="106">
        <f t="shared" si="55"/>
        <v>0</v>
      </c>
      <c r="Y49" s="106">
        <f t="shared" si="55"/>
        <v>0</v>
      </c>
      <c r="Z49" s="106">
        <f t="shared" si="55"/>
        <v>0</v>
      </c>
      <c r="AA49" s="106">
        <f t="shared" si="55"/>
        <v>0</v>
      </c>
      <c r="AB49" s="106">
        <f t="shared" si="55"/>
        <v>0</v>
      </c>
      <c r="AC49" s="106">
        <f t="shared" si="55"/>
        <v>0</v>
      </c>
      <c r="AD49" s="106">
        <f t="shared" si="55"/>
        <v>0</v>
      </c>
      <c r="AE49" s="106">
        <f t="shared" si="55"/>
        <v>0</v>
      </c>
      <c r="AF49" s="106">
        <f t="shared" si="55"/>
        <v>0</v>
      </c>
      <c r="AG49" s="106">
        <f t="shared" si="55"/>
        <v>0</v>
      </c>
      <c r="AH49" s="106">
        <f t="shared" si="55"/>
        <v>0</v>
      </c>
      <c r="AI49" s="106">
        <f t="shared" si="55"/>
        <v>0</v>
      </c>
      <c r="AJ49" s="106">
        <f t="shared" si="55"/>
        <v>0</v>
      </c>
      <c r="AK49" s="106">
        <f t="shared" si="55"/>
        <v>0</v>
      </c>
      <c r="AL49" s="106">
        <f t="shared" si="55"/>
        <v>0</v>
      </c>
      <c r="AM49" s="106">
        <f t="shared" si="55"/>
        <v>0</v>
      </c>
      <c r="AN49" s="106">
        <f t="shared" si="55"/>
        <v>0</v>
      </c>
      <c r="AO49" s="106">
        <f t="shared" si="55"/>
        <v>0</v>
      </c>
      <c r="AP49" s="106">
        <f t="shared" si="55"/>
        <v>0</v>
      </c>
      <c r="AQ49" s="106">
        <f t="shared" si="55"/>
        <v>0</v>
      </c>
      <c r="AR49" s="106">
        <f t="shared" si="55"/>
        <v>0</v>
      </c>
      <c r="AS49" s="433"/>
      <c r="AT49" s="436"/>
      <c r="AU49" s="121"/>
      <c r="AV49" s="121"/>
      <c r="AW49" s="155"/>
    </row>
    <row r="50" spans="1:49" s="100" customFormat="1" ht="24">
      <c r="A50" s="356"/>
      <c r="B50" s="357"/>
      <c r="C50" s="357"/>
      <c r="D50" s="358"/>
      <c r="E50" s="111" t="s">
        <v>44</v>
      </c>
      <c r="F50" s="106">
        <f>F58</f>
        <v>599.4</v>
      </c>
      <c r="G50" s="106">
        <f t="shared" si="55"/>
        <v>0</v>
      </c>
      <c r="H50" s="106">
        <f>G50/F50*100</f>
        <v>0</v>
      </c>
      <c r="I50" s="106">
        <f t="shared" si="55"/>
        <v>0</v>
      </c>
      <c r="J50" s="106">
        <f t="shared" si="55"/>
        <v>0</v>
      </c>
      <c r="K50" s="106">
        <v>0</v>
      </c>
      <c r="L50" s="106">
        <f t="shared" si="55"/>
        <v>0</v>
      </c>
      <c r="M50" s="106">
        <f t="shared" si="55"/>
        <v>0</v>
      </c>
      <c r="N50" s="106">
        <v>0</v>
      </c>
      <c r="O50" s="106">
        <f t="shared" si="55"/>
        <v>0</v>
      </c>
      <c r="P50" s="106">
        <f t="shared" si="55"/>
        <v>0</v>
      </c>
      <c r="Q50" s="106" t="e">
        <f t="shared" ref="Q50" si="56">P50/O50*100</f>
        <v>#DIV/0!</v>
      </c>
      <c r="R50" s="106">
        <f t="shared" si="55"/>
        <v>119.8</v>
      </c>
      <c r="S50" s="106">
        <f t="shared" si="55"/>
        <v>0</v>
      </c>
      <c r="T50" s="106">
        <f t="shared" si="55"/>
        <v>0</v>
      </c>
      <c r="U50" s="106">
        <f t="shared" si="55"/>
        <v>0</v>
      </c>
      <c r="V50" s="106">
        <f t="shared" si="55"/>
        <v>0</v>
      </c>
      <c r="W50" s="106">
        <f t="shared" si="55"/>
        <v>0</v>
      </c>
      <c r="X50" s="106">
        <f t="shared" si="55"/>
        <v>179.7</v>
      </c>
      <c r="Y50" s="106">
        <f t="shared" si="55"/>
        <v>0</v>
      </c>
      <c r="Z50" s="106">
        <f t="shared" si="55"/>
        <v>0</v>
      </c>
      <c r="AA50" s="106">
        <f t="shared" si="55"/>
        <v>0</v>
      </c>
      <c r="AB50" s="106">
        <f t="shared" si="55"/>
        <v>0</v>
      </c>
      <c r="AC50" s="106">
        <f t="shared" si="55"/>
        <v>0</v>
      </c>
      <c r="AD50" s="106">
        <f t="shared" si="55"/>
        <v>0</v>
      </c>
      <c r="AE50" s="106">
        <f t="shared" si="55"/>
        <v>0</v>
      </c>
      <c r="AF50" s="106">
        <f t="shared" si="55"/>
        <v>0</v>
      </c>
      <c r="AG50" s="106">
        <f t="shared" si="55"/>
        <v>179.7</v>
      </c>
      <c r="AH50" s="106">
        <f t="shared" si="55"/>
        <v>0</v>
      </c>
      <c r="AI50" s="106">
        <f t="shared" si="55"/>
        <v>0</v>
      </c>
      <c r="AJ50" s="106">
        <f t="shared" si="55"/>
        <v>0</v>
      </c>
      <c r="AK50" s="106">
        <f t="shared" si="55"/>
        <v>0</v>
      </c>
      <c r="AL50" s="106">
        <f t="shared" si="55"/>
        <v>0</v>
      </c>
      <c r="AM50" s="106">
        <f t="shared" si="55"/>
        <v>120.2</v>
      </c>
      <c r="AN50" s="106">
        <f t="shared" si="55"/>
        <v>0</v>
      </c>
      <c r="AO50" s="106">
        <f t="shared" si="55"/>
        <v>0</v>
      </c>
      <c r="AP50" s="106">
        <f t="shared" si="55"/>
        <v>0</v>
      </c>
      <c r="AQ50" s="106">
        <f t="shared" si="55"/>
        <v>0</v>
      </c>
      <c r="AR50" s="106">
        <f t="shared" si="55"/>
        <v>0</v>
      </c>
      <c r="AS50" s="433"/>
      <c r="AT50" s="436"/>
      <c r="AU50" s="121"/>
      <c r="AV50" s="121"/>
      <c r="AW50" s="155"/>
    </row>
    <row r="51" spans="1:49" s="100" customFormat="1" ht="24">
      <c r="A51" s="359"/>
      <c r="B51" s="360"/>
      <c r="C51" s="360"/>
      <c r="D51" s="361"/>
      <c r="E51" s="110" t="s">
        <v>257</v>
      </c>
      <c r="F51" s="106">
        <f>F59</f>
        <v>0</v>
      </c>
      <c r="G51" s="106">
        <f t="shared" si="55"/>
        <v>0</v>
      </c>
      <c r="H51" s="106">
        <v>0</v>
      </c>
      <c r="I51" s="106">
        <f t="shared" si="55"/>
        <v>0</v>
      </c>
      <c r="J51" s="106">
        <f t="shared" si="55"/>
        <v>0</v>
      </c>
      <c r="K51" s="106">
        <f t="shared" si="55"/>
        <v>0</v>
      </c>
      <c r="L51" s="106">
        <f t="shared" si="55"/>
        <v>0</v>
      </c>
      <c r="M51" s="106">
        <f t="shared" si="55"/>
        <v>0</v>
      </c>
      <c r="N51" s="106">
        <v>0</v>
      </c>
      <c r="O51" s="106">
        <f t="shared" si="55"/>
        <v>0</v>
      </c>
      <c r="P51" s="106">
        <f t="shared" si="55"/>
        <v>0</v>
      </c>
      <c r="Q51" s="106">
        <f t="shared" si="55"/>
        <v>0</v>
      </c>
      <c r="R51" s="106">
        <f t="shared" si="55"/>
        <v>0</v>
      </c>
      <c r="S51" s="106">
        <f t="shared" si="55"/>
        <v>0</v>
      </c>
      <c r="T51" s="106">
        <f t="shared" si="55"/>
        <v>0</v>
      </c>
      <c r="U51" s="106">
        <f t="shared" si="55"/>
        <v>0</v>
      </c>
      <c r="V51" s="106">
        <f t="shared" si="55"/>
        <v>0</v>
      </c>
      <c r="W51" s="106">
        <f t="shared" si="55"/>
        <v>0</v>
      </c>
      <c r="X51" s="106">
        <f t="shared" si="55"/>
        <v>0</v>
      </c>
      <c r="Y51" s="106">
        <f t="shared" si="55"/>
        <v>0</v>
      </c>
      <c r="Z51" s="106">
        <f t="shared" si="55"/>
        <v>0</v>
      </c>
      <c r="AA51" s="106">
        <f t="shared" si="55"/>
        <v>0</v>
      </c>
      <c r="AB51" s="106">
        <f t="shared" si="55"/>
        <v>0</v>
      </c>
      <c r="AC51" s="106">
        <f t="shared" si="55"/>
        <v>0</v>
      </c>
      <c r="AD51" s="106">
        <f t="shared" si="55"/>
        <v>0</v>
      </c>
      <c r="AE51" s="106">
        <f t="shared" si="55"/>
        <v>0</v>
      </c>
      <c r="AF51" s="106">
        <f t="shared" si="55"/>
        <v>0</v>
      </c>
      <c r="AG51" s="106">
        <f t="shared" si="55"/>
        <v>0</v>
      </c>
      <c r="AH51" s="106">
        <f t="shared" si="55"/>
        <v>0</v>
      </c>
      <c r="AI51" s="106">
        <f t="shared" si="55"/>
        <v>0</v>
      </c>
      <c r="AJ51" s="106">
        <f t="shared" si="55"/>
        <v>0</v>
      </c>
      <c r="AK51" s="106">
        <f t="shared" si="55"/>
        <v>0</v>
      </c>
      <c r="AL51" s="106">
        <f t="shared" si="55"/>
        <v>0</v>
      </c>
      <c r="AM51" s="106">
        <f t="shared" si="55"/>
        <v>0</v>
      </c>
      <c r="AN51" s="106">
        <f t="shared" si="55"/>
        <v>0</v>
      </c>
      <c r="AO51" s="106">
        <f t="shared" si="55"/>
        <v>0</v>
      </c>
      <c r="AP51" s="106">
        <f t="shared" si="55"/>
        <v>0</v>
      </c>
      <c r="AQ51" s="106">
        <f t="shared" si="55"/>
        <v>0</v>
      </c>
      <c r="AR51" s="106">
        <f t="shared" si="55"/>
        <v>0</v>
      </c>
      <c r="AS51" s="434"/>
      <c r="AT51" s="437"/>
      <c r="AU51" s="121"/>
      <c r="AV51" s="121"/>
      <c r="AW51" s="155"/>
    </row>
    <row r="52" spans="1:49" s="100" customFormat="1" ht="84">
      <c r="A52" s="133" t="s">
        <v>370</v>
      </c>
      <c r="B52" s="161" t="s">
        <v>371</v>
      </c>
      <c r="C52" s="162" t="s">
        <v>276</v>
      </c>
      <c r="D52" s="172" t="s">
        <v>372</v>
      </c>
      <c r="E52" s="109" t="s">
        <v>275</v>
      </c>
      <c r="F52" s="203" t="s">
        <v>279</v>
      </c>
      <c r="G52" s="203" t="s">
        <v>279</v>
      </c>
      <c r="H52" s="203" t="s">
        <v>279</v>
      </c>
      <c r="I52" s="203" t="s">
        <v>279</v>
      </c>
      <c r="J52" s="203" t="s">
        <v>279</v>
      </c>
      <c r="K52" s="203" t="s">
        <v>279</v>
      </c>
      <c r="L52" s="203" t="s">
        <v>279</v>
      </c>
      <c r="M52" s="203" t="s">
        <v>279</v>
      </c>
      <c r="N52" s="203" t="s">
        <v>279</v>
      </c>
      <c r="O52" s="203" t="s">
        <v>279</v>
      </c>
      <c r="P52" s="203" t="s">
        <v>279</v>
      </c>
      <c r="Q52" s="203" t="s">
        <v>279</v>
      </c>
      <c r="R52" s="203" t="s">
        <v>279</v>
      </c>
      <c r="S52" s="203" t="s">
        <v>279</v>
      </c>
      <c r="T52" s="203" t="s">
        <v>279</v>
      </c>
      <c r="U52" s="203" t="s">
        <v>279</v>
      </c>
      <c r="V52" s="203" t="s">
        <v>279</v>
      </c>
      <c r="W52" s="203" t="s">
        <v>279</v>
      </c>
      <c r="X52" s="203" t="s">
        <v>279</v>
      </c>
      <c r="Y52" s="203" t="s">
        <v>279</v>
      </c>
      <c r="Z52" s="203" t="s">
        <v>279</v>
      </c>
      <c r="AA52" s="203" t="s">
        <v>279</v>
      </c>
      <c r="AB52" s="203" t="s">
        <v>279</v>
      </c>
      <c r="AC52" s="203" t="s">
        <v>279</v>
      </c>
      <c r="AD52" s="203" t="s">
        <v>279</v>
      </c>
      <c r="AE52" s="203" t="s">
        <v>279</v>
      </c>
      <c r="AF52" s="203" t="s">
        <v>279</v>
      </c>
      <c r="AG52" s="203" t="s">
        <v>279</v>
      </c>
      <c r="AH52" s="203" t="s">
        <v>279</v>
      </c>
      <c r="AI52" s="203" t="s">
        <v>279</v>
      </c>
      <c r="AJ52" s="203" t="s">
        <v>279</v>
      </c>
      <c r="AK52" s="203" t="s">
        <v>279</v>
      </c>
      <c r="AL52" s="203" t="s">
        <v>279</v>
      </c>
      <c r="AM52" s="203" t="s">
        <v>279</v>
      </c>
      <c r="AN52" s="203" t="s">
        <v>279</v>
      </c>
      <c r="AO52" s="203" t="s">
        <v>279</v>
      </c>
      <c r="AP52" s="203" t="s">
        <v>279</v>
      </c>
      <c r="AQ52" s="203" t="s">
        <v>279</v>
      </c>
      <c r="AR52" s="203" t="s">
        <v>279</v>
      </c>
      <c r="AS52" s="145" t="s">
        <v>431</v>
      </c>
      <c r="AT52" s="194"/>
      <c r="AU52" s="121"/>
      <c r="AV52" s="121"/>
      <c r="AW52" s="155"/>
    </row>
    <row r="53" spans="1:49" s="100" customFormat="1" ht="84">
      <c r="A53" s="191" t="s">
        <v>373</v>
      </c>
      <c r="B53" s="161" t="s">
        <v>374</v>
      </c>
      <c r="C53" s="162" t="s">
        <v>375</v>
      </c>
      <c r="D53" s="172" t="s">
        <v>376</v>
      </c>
      <c r="E53" s="109" t="s">
        <v>275</v>
      </c>
      <c r="F53" s="203" t="s">
        <v>279</v>
      </c>
      <c r="G53" s="203" t="s">
        <v>279</v>
      </c>
      <c r="H53" s="203" t="s">
        <v>279</v>
      </c>
      <c r="I53" s="203" t="s">
        <v>279</v>
      </c>
      <c r="J53" s="203" t="s">
        <v>279</v>
      </c>
      <c r="K53" s="203" t="s">
        <v>279</v>
      </c>
      <c r="L53" s="203" t="s">
        <v>279</v>
      </c>
      <c r="M53" s="203" t="s">
        <v>279</v>
      </c>
      <c r="N53" s="203" t="s">
        <v>279</v>
      </c>
      <c r="O53" s="203" t="s">
        <v>279</v>
      </c>
      <c r="P53" s="203" t="s">
        <v>279</v>
      </c>
      <c r="Q53" s="203" t="s">
        <v>279</v>
      </c>
      <c r="R53" s="203" t="s">
        <v>279</v>
      </c>
      <c r="S53" s="203" t="s">
        <v>279</v>
      </c>
      <c r="T53" s="203" t="s">
        <v>279</v>
      </c>
      <c r="U53" s="203" t="s">
        <v>279</v>
      </c>
      <c r="V53" s="203" t="s">
        <v>279</v>
      </c>
      <c r="W53" s="203" t="s">
        <v>279</v>
      </c>
      <c r="X53" s="203" t="s">
        <v>279</v>
      </c>
      <c r="Y53" s="203" t="s">
        <v>279</v>
      </c>
      <c r="Z53" s="203" t="s">
        <v>279</v>
      </c>
      <c r="AA53" s="203" t="s">
        <v>279</v>
      </c>
      <c r="AB53" s="203" t="s">
        <v>279</v>
      </c>
      <c r="AC53" s="203" t="s">
        <v>279</v>
      </c>
      <c r="AD53" s="203" t="s">
        <v>279</v>
      </c>
      <c r="AE53" s="203" t="s">
        <v>279</v>
      </c>
      <c r="AF53" s="203" t="s">
        <v>279</v>
      </c>
      <c r="AG53" s="203" t="s">
        <v>279</v>
      </c>
      <c r="AH53" s="203" t="s">
        <v>279</v>
      </c>
      <c r="AI53" s="203" t="s">
        <v>279</v>
      </c>
      <c r="AJ53" s="203" t="s">
        <v>279</v>
      </c>
      <c r="AK53" s="203" t="s">
        <v>279</v>
      </c>
      <c r="AL53" s="203" t="s">
        <v>279</v>
      </c>
      <c r="AM53" s="203" t="s">
        <v>279</v>
      </c>
      <c r="AN53" s="203" t="s">
        <v>279</v>
      </c>
      <c r="AO53" s="203" t="s">
        <v>279</v>
      </c>
      <c r="AP53" s="203" t="s">
        <v>279</v>
      </c>
      <c r="AQ53" s="203" t="s">
        <v>279</v>
      </c>
      <c r="AR53" s="203" t="s">
        <v>279</v>
      </c>
      <c r="AS53" s="211" t="s">
        <v>432</v>
      </c>
      <c r="AT53" s="134"/>
      <c r="AU53" s="121"/>
      <c r="AV53" s="121"/>
      <c r="AW53" s="155"/>
    </row>
    <row r="54" spans="1:49" s="100" customFormat="1" ht="72">
      <c r="A54" s="133" t="s">
        <v>377</v>
      </c>
      <c r="B54" s="192" t="s">
        <v>378</v>
      </c>
      <c r="C54" s="162" t="s">
        <v>276</v>
      </c>
      <c r="D54" s="172" t="s">
        <v>379</v>
      </c>
      <c r="E54" s="109" t="s">
        <v>275</v>
      </c>
      <c r="F54" s="203" t="s">
        <v>279</v>
      </c>
      <c r="G54" s="203" t="s">
        <v>279</v>
      </c>
      <c r="H54" s="203" t="s">
        <v>279</v>
      </c>
      <c r="I54" s="203" t="s">
        <v>279</v>
      </c>
      <c r="J54" s="203" t="s">
        <v>279</v>
      </c>
      <c r="K54" s="203" t="s">
        <v>279</v>
      </c>
      <c r="L54" s="203" t="s">
        <v>279</v>
      </c>
      <c r="M54" s="203" t="s">
        <v>279</v>
      </c>
      <c r="N54" s="203" t="s">
        <v>279</v>
      </c>
      <c r="O54" s="203" t="s">
        <v>279</v>
      </c>
      <c r="P54" s="203" t="s">
        <v>279</v>
      </c>
      <c r="Q54" s="203" t="s">
        <v>279</v>
      </c>
      <c r="R54" s="203" t="s">
        <v>279</v>
      </c>
      <c r="S54" s="203" t="s">
        <v>279</v>
      </c>
      <c r="T54" s="203" t="s">
        <v>279</v>
      </c>
      <c r="U54" s="203" t="s">
        <v>279</v>
      </c>
      <c r="V54" s="203" t="s">
        <v>279</v>
      </c>
      <c r="W54" s="203" t="s">
        <v>279</v>
      </c>
      <c r="X54" s="203" t="s">
        <v>279</v>
      </c>
      <c r="Y54" s="203" t="s">
        <v>279</v>
      </c>
      <c r="Z54" s="203" t="s">
        <v>279</v>
      </c>
      <c r="AA54" s="203" t="s">
        <v>279</v>
      </c>
      <c r="AB54" s="203" t="s">
        <v>279</v>
      </c>
      <c r="AC54" s="203" t="s">
        <v>279</v>
      </c>
      <c r="AD54" s="203" t="s">
        <v>279</v>
      </c>
      <c r="AE54" s="203" t="s">
        <v>279</v>
      </c>
      <c r="AF54" s="203" t="s">
        <v>279</v>
      </c>
      <c r="AG54" s="203" t="s">
        <v>279</v>
      </c>
      <c r="AH54" s="203" t="s">
        <v>279</v>
      </c>
      <c r="AI54" s="203" t="s">
        <v>279</v>
      </c>
      <c r="AJ54" s="203" t="s">
        <v>279</v>
      </c>
      <c r="AK54" s="203" t="s">
        <v>279</v>
      </c>
      <c r="AL54" s="203" t="s">
        <v>279</v>
      </c>
      <c r="AM54" s="203" t="s">
        <v>279</v>
      </c>
      <c r="AN54" s="203" t="s">
        <v>279</v>
      </c>
      <c r="AO54" s="203" t="s">
        <v>279</v>
      </c>
      <c r="AP54" s="203" t="s">
        <v>279</v>
      </c>
      <c r="AQ54" s="203"/>
      <c r="AR54" s="203"/>
      <c r="AS54" s="145" t="s">
        <v>433</v>
      </c>
      <c r="AT54" s="134"/>
      <c r="AU54" s="121"/>
      <c r="AV54" s="121"/>
      <c r="AW54" s="155"/>
    </row>
    <row r="55" spans="1:49" s="100" customFormat="1" ht="48">
      <c r="A55" s="136" t="s">
        <v>380</v>
      </c>
      <c r="B55" s="206" t="s">
        <v>278</v>
      </c>
      <c r="C55" s="135" t="s">
        <v>276</v>
      </c>
      <c r="D55" s="172" t="s">
        <v>381</v>
      </c>
      <c r="E55" s="109" t="s">
        <v>275</v>
      </c>
      <c r="F55" s="203" t="s">
        <v>279</v>
      </c>
      <c r="G55" s="203" t="s">
        <v>279</v>
      </c>
      <c r="H55" s="203" t="s">
        <v>279</v>
      </c>
      <c r="I55" s="203" t="s">
        <v>279</v>
      </c>
      <c r="J55" s="203" t="s">
        <v>279</v>
      </c>
      <c r="K55" s="203" t="s">
        <v>279</v>
      </c>
      <c r="L55" s="203" t="s">
        <v>279</v>
      </c>
      <c r="M55" s="203" t="s">
        <v>279</v>
      </c>
      <c r="N55" s="203" t="s">
        <v>279</v>
      </c>
      <c r="O55" s="203" t="s">
        <v>279</v>
      </c>
      <c r="P55" s="203" t="s">
        <v>279</v>
      </c>
      <c r="Q55" s="203" t="s">
        <v>279</v>
      </c>
      <c r="R55" s="203" t="s">
        <v>279</v>
      </c>
      <c r="S55" s="203" t="s">
        <v>279</v>
      </c>
      <c r="T55" s="203" t="s">
        <v>279</v>
      </c>
      <c r="U55" s="203" t="s">
        <v>279</v>
      </c>
      <c r="V55" s="203" t="s">
        <v>279</v>
      </c>
      <c r="W55" s="203" t="s">
        <v>279</v>
      </c>
      <c r="X55" s="203" t="s">
        <v>279</v>
      </c>
      <c r="Y55" s="203" t="s">
        <v>279</v>
      </c>
      <c r="Z55" s="203" t="s">
        <v>279</v>
      </c>
      <c r="AA55" s="203" t="s">
        <v>279</v>
      </c>
      <c r="AB55" s="203" t="s">
        <v>279</v>
      </c>
      <c r="AC55" s="203" t="s">
        <v>279</v>
      </c>
      <c r="AD55" s="203" t="s">
        <v>279</v>
      </c>
      <c r="AE55" s="203" t="s">
        <v>279</v>
      </c>
      <c r="AF55" s="203" t="s">
        <v>279</v>
      </c>
      <c r="AG55" s="203" t="s">
        <v>279</v>
      </c>
      <c r="AH55" s="203" t="s">
        <v>279</v>
      </c>
      <c r="AI55" s="203" t="s">
        <v>279</v>
      </c>
      <c r="AJ55" s="203" t="s">
        <v>279</v>
      </c>
      <c r="AK55" s="203" t="s">
        <v>279</v>
      </c>
      <c r="AL55" s="203" t="s">
        <v>279</v>
      </c>
      <c r="AM55" s="203" t="s">
        <v>279</v>
      </c>
      <c r="AN55" s="203" t="s">
        <v>279</v>
      </c>
      <c r="AO55" s="203" t="s">
        <v>279</v>
      </c>
      <c r="AP55" s="203" t="s">
        <v>279</v>
      </c>
      <c r="AQ55" s="203"/>
      <c r="AR55" s="203"/>
      <c r="AS55" s="145" t="s">
        <v>434</v>
      </c>
      <c r="AT55" s="134"/>
      <c r="AU55" s="121"/>
      <c r="AV55" s="121"/>
      <c r="AW55" s="155"/>
    </row>
    <row r="56" spans="1:49" s="31" customFormat="1" ht="12.75">
      <c r="A56" s="365" t="s">
        <v>382</v>
      </c>
      <c r="B56" s="374" t="s">
        <v>259</v>
      </c>
      <c r="C56" s="414" t="s">
        <v>271</v>
      </c>
      <c r="D56" s="417" t="s">
        <v>383</v>
      </c>
      <c r="E56" s="107" t="s">
        <v>42</v>
      </c>
      <c r="F56" s="104">
        <f>SUM(F57:F59)</f>
        <v>599.4</v>
      </c>
      <c r="G56" s="104">
        <f t="shared" ref="G56" si="57">SUM(G57:G59)</f>
        <v>0</v>
      </c>
      <c r="H56" s="104">
        <f>G56/F56*100</f>
        <v>0</v>
      </c>
      <c r="I56" s="207">
        <f t="shared" ref="I56:AP56" si="58">I57+I58+I59</f>
        <v>0</v>
      </c>
      <c r="J56" s="207">
        <f t="shared" si="58"/>
        <v>0</v>
      </c>
      <c r="K56" s="104">
        <v>0</v>
      </c>
      <c r="L56" s="207">
        <f t="shared" si="58"/>
        <v>0</v>
      </c>
      <c r="M56" s="207">
        <f t="shared" si="58"/>
        <v>0</v>
      </c>
      <c r="N56" s="207">
        <v>0</v>
      </c>
      <c r="O56" s="207">
        <f t="shared" si="58"/>
        <v>0</v>
      </c>
      <c r="P56" s="207">
        <f t="shared" si="58"/>
        <v>0</v>
      </c>
      <c r="Q56" s="104" t="e">
        <f t="shared" ref="Q56:Q58" si="59">P56/O56*100</f>
        <v>#DIV/0!</v>
      </c>
      <c r="R56" s="207">
        <f t="shared" si="58"/>
        <v>119.8</v>
      </c>
      <c r="S56" s="207">
        <f t="shared" si="58"/>
        <v>0</v>
      </c>
      <c r="T56" s="207">
        <f t="shared" si="58"/>
        <v>0</v>
      </c>
      <c r="U56" s="207">
        <f t="shared" si="58"/>
        <v>0</v>
      </c>
      <c r="V56" s="207">
        <f t="shared" si="58"/>
        <v>0</v>
      </c>
      <c r="W56" s="104">
        <v>0</v>
      </c>
      <c r="X56" s="207">
        <f t="shared" si="58"/>
        <v>179.7</v>
      </c>
      <c r="Y56" s="207">
        <f t="shared" si="58"/>
        <v>0</v>
      </c>
      <c r="Z56" s="207">
        <f t="shared" si="58"/>
        <v>0</v>
      </c>
      <c r="AA56" s="207">
        <f t="shared" si="58"/>
        <v>0</v>
      </c>
      <c r="AB56" s="207">
        <f t="shared" si="58"/>
        <v>0</v>
      </c>
      <c r="AC56" s="207">
        <f t="shared" si="58"/>
        <v>0</v>
      </c>
      <c r="AD56" s="207">
        <f t="shared" si="58"/>
        <v>0</v>
      </c>
      <c r="AE56" s="207">
        <f t="shared" si="58"/>
        <v>0</v>
      </c>
      <c r="AF56" s="207">
        <f t="shared" si="58"/>
        <v>0</v>
      </c>
      <c r="AG56" s="207">
        <f t="shared" si="58"/>
        <v>179.7</v>
      </c>
      <c r="AH56" s="207">
        <f t="shared" si="58"/>
        <v>0</v>
      </c>
      <c r="AI56" s="105">
        <f>AH56/AG56*100</f>
        <v>0</v>
      </c>
      <c r="AJ56" s="207">
        <f t="shared" si="58"/>
        <v>0</v>
      </c>
      <c r="AK56" s="207">
        <f t="shared" si="58"/>
        <v>0</v>
      </c>
      <c r="AL56" s="207">
        <f t="shared" si="58"/>
        <v>0</v>
      </c>
      <c r="AM56" s="207">
        <f t="shared" si="58"/>
        <v>120.2</v>
      </c>
      <c r="AN56" s="207">
        <f t="shared" si="58"/>
        <v>0</v>
      </c>
      <c r="AO56" s="207">
        <f t="shared" si="58"/>
        <v>0</v>
      </c>
      <c r="AP56" s="207">
        <f t="shared" si="58"/>
        <v>0</v>
      </c>
      <c r="AQ56" s="104"/>
      <c r="AR56" s="104"/>
      <c r="AS56" s="344" t="s">
        <v>435</v>
      </c>
      <c r="AT56" s="420" t="s">
        <v>429</v>
      </c>
      <c r="AU56" s="121"/>
      <c r="AV56" s="121"/>
      <c r="AW56" s="155"/>
    </row>
    <row r="57" spans="1:49" s="31" customFormat="1" ht="36">
      <c r="A57" s="366"/>
      <c r="B57" s="375"/>
      <c r="C57" s="415"/>
      <c r="D57" s="418"/>
      <c r="E57" s="108" t="s">
        <v>3</v>
      </c>
      <c r="F57" s="104">
        <f>I57+L57+O57+R57+U57+X57+AA57+AD57+AG57+AJ57+AM57+AP57</f>
        <v>0</v>
      </c>
      <c r="G57" s="104">
        <f>J57+M57+P57+S57+V57+Y57+AB57+AE57+AH57+AK57+AN57+AQ57</f>
        <v>0</v>
      </c>
      <c r="H57" s="104">
        <v>0</v>
      </c>
      <c r="I57" s="104">
        <v>0</v>
      </c>
      <c r="J57" s="104">
        <v>0</v>
      </c>
      <c r="K57" s="104">
        <v>0</v>
      </c>
      <c r="L57" s="126">
        <v>0</v>
      </c>
      <c r="M57" s="104">
        <v>0</v>
      </c>
      <c r="N57" s="208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5">
        <v>0</v>
      </c>
      <c r="AI57" s="105">
        <v>0</v>
      </c>
      <c r="AJ57" s="104">
        <v>0</v>
      </c>
      <c r="AK57" s="104">
        <v>0</v>
      </c>
      <c r="AL57" s="104">
        <v>0</v>
      </c>
      <c r="AM57" s="105">
        <v>0</v>
      </c>
      <c r="AN57" s="105">
        <v>0</v>
      </c>
      <c r="AO57" s="105">
        <v>0</v>
      </c>
      <c r="AP57" s="104">
        <v>0</v>
      </c>
      <c r="AQ57" s="104"/>
      <c r="AR57" s="104"/>
      <c r="AS57" s="345"/>
      <c r="AT57" s="421"/>
      <c r="AU57" s="121"/>
      <c r="AV57" s="121"/>
      <c r="AW57" s="155"/>
    </row>
    <row r="58" spans="1:49" s="31" customFormat="1" ht="12.75">
      <c r="A58" s="366"/>
      <c r="B58" s="375"/>
      <c r="C58" s="415"/>
      <c r="D58" s="418"/>
      <c r="E58" s="108" t="s">
        <v>44</v>
      </c>
      <c r="F58" s="104">
        <f t="shared" ref="F58:G59" si="60">I58+L58+O58+R58+U58+X58+AA58+AD58+AG58+AJ58+AM58+AP58</f>
        <v>599.4</v>
      </c>
      <c r="G58" s="104">
        <f t="shared" si="60"/>
        <v>0</v>
      </c>
      <c r="H58" s="104">
        <f>G58/F58*100</f>
        <v>0</v>
      </c>
      <c r="I58" s="104">
        <v>0</v>
      </c>
      <c r="J58" s="104">
        <v>0</v>
      </c>
      <c r="K58" s="104">
        <v>0</v>
      </c>
      <c r="L58" s="126">
        <v>0</v>
      </c>
      <c r="M58" s="104">
        <v>0</v>
      </c>
      <c r="N58" s="208">
        <v>0</v>
      </c>
      <c r="O58" s="104">
        <f>119.8-119.8</f>
        <v>0</v>
      </c>
      <c r="P58" s="104">
        <v>0</v>
      </c>
      <c r="Q58" s="104" t="e">
        <f t="shared" si="59"/>
        <v>#DIV/0!</v>
      </c>
      <c r="R58" s="104">
        <v>119.8</v>
      </c>
      <c r="S58" s="104">
        <v>0</v>
      </c>
      <c r="T58" s="104">
        <v>0</v>
      </c>
      <c r="U58" s="105">
        <v>0</v>
      </c>
      <c r="V58" s="105">
        <v>0</v>
      </c>
      <c r="W58" s="104">
        <v>0</v>
      </c>
      <c r="X58" s="105">
        <v>179.7</v>
      </c>
      <c r="Y58" s="105">
        <v>0</v>
      </c>
      <c r="Z58" s="105">
        <f>Y58/X58*100</f>
        <v>0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179.7</v>
      </c>
      <c r="AH58" s="105">
        <v>0</v>
      </c>
      <c r="AI58" s="105">
        <f>AH58/AG58*100</f>
        <v>0</v>
      </c>
      <c r="AJ58" s="104">
        <v>0</v>
      </c>
      <c r="AK58" s="104">
        <v>0</v>
      </c>
      <c r="AL58" s="104">
        <v>0</v>
      </c>
      <c r="AM58" s="105">
        <v>120.2</v>
      </c>
      <c r="AN58" s="105">
        <v>0</v>
      </c>
      <c r="AO58" s="105">
        <v>0</v>
      </c>
      <c r="AP58" s="104">
        <v>0</v>
      </c>
      <c r="AQ58" s="104"/>
      <c r="AR58" s="104"/>
      <c r="AS58" s="345"/>
      <c r="AT58" s="421"/>
      <c r="AU58" s="121"/>
      <c r="AV58" s="121"/>
      <c r="AW58" s="155"/>
    </row>
    <row r="59" spans="1:49" s="31" customFormat="1" ht="66" customHeight="1">
      <c r="A59" s="367"/>
      <c r="B59" s="376"/>
      <c r="C59" s="416"/>
      <c r="D59" s="419"/>
      <c r="E59" s="109" t="s">
        <v>257</v>
      </c>
      <c r="F59" s="104">
        <f t="shared" si="60"/>
        <v>0</v>
      </c>
      <c r="G59" s="104">
        <f t="shared" si="60"/>
        <v>0</v>
      </c>
      <c r="H59" s="104">
        <v>0</v>
      </c>
      <c r="I59" s="104">
        <v>0</v>
      </c>
      <c r="J59" s="104">
        <v>0</v>
      </c>
      <c r="K59" s="104">
        <v>0</v>
      </c>
      <c r="L59" s="126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05">
        <v>0</v>
      </c>
      <c r="AJ59" s="104">
        <v>0</v>
      </c>
      <c r="AK59" s="104">
        <v>0</v>
      </c>
      <c r="AL59" s="104">
        <v>0</v>
      </c>
      <c r="AM59" s="105">
        <v>0</v>
      </c>
      <c r="AN59" s="105">
        <v>0</v>
      </c>
      <c r="AO59" s="105">
        <v>0</v>
      </c>
      <c r="AP59" s="104">
        <v>0</v>
      </c>
      <c r="AQ59" s="104"/>
      <c r="AR59" s="104"/>
      <c r="AS59" s="346"/>
      <c r="AT59" s="422"/>
      <c r="AU59" s="121"/>
      <c r="AV59" s="121"/>
      <c r="AW59" s="155"/>
    </row>
    <row r="60" spans="1:49" s="31" customFormat="1" ht="15.75">
      <c r="A60" s="350" t="s">
        <v>384</v>
      </c>
      <c r="B60" s="351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2"/>
      <c r="AU60" s="121"/>
      <c r="AV60" s="121"/>
      <c r="AW60" s="155"/>
    </row>
    <row r="61" spans="1:49" s="31" customFormat="1" ht="15.75">
      <c r="A61" s="350" t="s">
        <v>385</v>
      </c>
      <c r="B61" s="351"/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2"/>
      <c r="AU61" s="121"/>
      <c r="AV61" s="121"/>
      <c r="AW61" s="155"/>
    </row>
    <row r="62" spans="1:49" s="100" customFormat="1" ht="12.75">
      <c r="A62" s="353" t="s">
        <v>272</v>
      </c>
      <c r="B62" s="354"/>
      <c r="C62" s="354"/>
      <c r="D62" s="355"/>
      <c r="E62" s="129" t="s">
        <v>42</v>
      </c>
      <c r="F62" s="106">
        <f>F63+F64+F65</f>
        <v>10588.099999999999</v>
      </c>
      <c r="G62" s="106">
        <f t="shared" ref="G62:AP62" si="61">G63+G64+G65</f>
        <v>245</v>
      </c>
      <c r="H62" s="106">
        <f>G62/F62*100</f>
        <v>2.313918455624711</v>
      </c>
      <c r="I62" s="106">
        <f t="shared" si="61"/>
        <v>0</v>
      </c>
      <c r="J62" s="106">
        <f t="shared" si="61"/>
        <v>0</v>
      </c>
      <c r="K62" s="106">
        <v>0</v>
      </c>
      <c r="L62" s="106">
        <f t="shared" si="61"/>
        <v>193.39999999999998</v>
      </c>
      <c r="M62" s="106">
        <f t="shared" si="61"/>
        <v>173.7</v>
      </c>
      <c r="N62" s="106">
        <f t="shared" si="61"/>
        <v>186.62063134160093</v>
      </c>
      <c r="O62" s="106">
        <f t="shared" si="61"/>
        <v>173.90000000000009</v>
      </c>
      <c r="P62" s="106">
        <f t="shared" si="61"/>
        <v>71.3</v>
      </c>
      <c r="Q62" s="106">
        <f>P62/O62*100</f>
        <v>41.000575043128215</v>
      </c>
      <c r="R62" s="106">
        <f t="shared" si="61"/>
        <v>4338.7999999999993</v>
      </c>
      <c r="S62" s="106">
        <f t="shared" si="61"/>
        <v>0</v>
      </c>
      <c r="T62" s="106">
        <f>S62/R62*100</f>
        <v>0</v>
      </c>
      <c r="U62" s="106">
        <f t="shared" si="61"/>
        <v>1300.6000000000001</v>
      </c>
      <c r="V62" s="106">
        <f t="shared" si="61"/>
        <v>0</v>
      </c>
      <c r="W62" s="106">
        <f t="shared" si="61"/>
        <v>0</v>
      </c>
      <c r="X62" s="106">
        <f t="shared" si="61"/>
        <v>1288.6000000000001</v>
      </c>
      <c r="Y62" s="106">
        <f t="shared" si="61"/>
        <v>0</v>
      </c>
      <c r="Z62" s="106">
        <f t="shared" si="61"/>
        <v>0</v>
      </c>
      <c r="AA62" s="106">
        <f t="shared" si="61"/>
        <v>1075.6000000000001</v>
      </c>
      <c r="AB62" s="106">
        <f t="shared" si="61"/>
        <v>0</v>
      </c>
      <c r="AC62" s="106">
        <f t="shared" si="61"/>
        <v>0</v>
      </c>
      <c r="AD62" s="106">
        <f t="shared" si="61"/>
        <v>150.6</v>
      </c>
      <c r="AE62" s="106">
        <f t="shared" si="61"/>
        <v>0</v>
      </c>
      <c r="AF62" s="106">
        <f t="shared" ref="AF62" si="62">AE62/AD62*100</f>
        <v>0</v>
      </c>
      <c r="AG62" s="106">
        <f t="shared" si="61"/>
        <v>200.6</v>
      </c>
      <c r="AH62" s="106">
        <f t="shared" si="61"/>
        <v>0</v>
      </c>
      <c r="AI62" s="106">
        <f t="shared" si="61"/>
        <v>0</v>
      </c>
      <c r="AJ62" s="106">
        <f t="shared" si="61"/>
        <v>162.6</v>
      </c>
      <c r="AK62" s="106">
        <f t="shared" si="61"/>
        <v>0</v>
      </c>
      <c r="AL62" s="106">
        <f t="shared" si="61"/>
        <v>0</v>
      </c>
      <c r="AM62" s="106">
        <f t="shared" si="61"/>
        <v>1339.8</v>
      </c>
      <c r="AN62" s="106">
        <f t="shared" si="61"/>
        <v>0</v>
      </c>
      <c r="AO62" s="106">
        <f t="shared" si="61"/>
        <v>0</v>
      </c>
      <c r="AP62" s="106">
        <f t="shared" si="61"/>
        <v>363.6</v>
      </c>
      <c r="AQ62" s="106">
        <f>AQ92+AQ100</f>
        <v>0</v>
      </c>
      <c r="AR62" s="106">
        <f>AR92+AR100</f>
        <v>0</v>
      </c>
      <c r="AS62" s="317"/>
      <c r="AT62" s="362"/>
      <c r="AU62" s="121"/>
      <c r="AV62" s="121"/>
      <c r="AW62" s="155"/>
    </row>
    <row r="63" spans="1:49" s="100" customFormat="1" ht="36">
      <c r="A63" s="356"/>
      <c r="B63" s="357"/>
      <c r="C63" s="357"/>
      <c r="D63" s="358"/>
      <c r="E63" s="111" t="s">
        <v>3</v>
      </c>
      <c r="F63" s="106">
        <f>F70+F74+F78</f>
        <v>0</v>
      </c>
      <c r="G63" s="106">
        <f t="shared" ref="G63:AR65" si="63">G70+G74+G78</f>
        <v>0</v>
      </c>
      <c r="H63" s="106">
        <v>0</v>
      </c>
      <c r="I63" s="106">
        <f t="shared" si="63"/>
        <v>0</v>
      </c>
      <c r="J63" s="106">
        <f t="shared" si="63"/>
        <v>0</v>
      </c>
      <c r="K63" s="106">
        <v>0</v>
      </c>
      <c r="L63" s="106">
        <f t="shared" si="63"/>
        <v>0</v>
      </c>
      <c r="M63" s="106">
        <f t="shared" si="63"/>
        <v>0</v>
      </c>
      <c r="N63" s="106">
        <f t="shared" si="63"/>
        <v>0</v>
      </c>
      <c r="O63" s="106">
        <f t="shared" si="63"/>
        <v>0</v>
      </c>
      <c r="P63" s="106">
        <f t="shared" si="63"/>
        <v>0</v>
      </c>
      <c r="Q63" s="106">
        <v>0</v>
      </c>
      <c r="R63" s="106">
        <f t="shared" si="63"/>
        <v>0</v>
      </c>
      <c r="S63" s="106">
        <f t="shared" si="63"/>
        <v>0</v>
      </c>
      <c r="T63" s="106">
        <v>0</v>
      </c>
      <c r="U63" s="106">
        <f t="shared" si="63"/>
        <v>0</v>
      </c>
      <c r="V63" s="106">
        <f t="shared" si="63"/>
        <v>0</v>
      </c>
      <c r="W63" s="106">
        <f t="shared" si="63"/>
        <v>0</v>
      </c>
      <c r="X63" s="106">
        <f t="shared" si="63"/>
        <v>0</v>
      </c>
      <c r="Y63" s="106">
        <f t="shared" si="63"/>
        <v>0</v>
      </c>
      <c r="Z63" s="106">
        <f t="shared" si="63"/>
        <v>0</v>
      </c>
      <c r="AA63" s="106">
        <f t="shared" si="63"/>
        <v>0</v>
      </c>
      <c r="AB63" s="106">
        <f t="shared" si="63"/>
        <v>0</v>
      </c>
      <c r="AC63" s="106">
        <f t="shared" si="63"/>
        <v>0</v>
      </c>
      <c r="AD63" s="106">
        <f t="shared" si="63"/>
        <v>0</v>
      </c>
      <c r="AE63" s="106">
        <f t="shared" si="63"/>
        <v>0</v>
      </c>
      <c r="AF63" s="106">
        <f t="shared" si="63"/>
        <v>0</v>
      </c>
      <c r="AG63" s="106">
        <f t="shared" si="63"/>
        <v>0</v>
      </c>
      <c r="AH63" s="106">
        <f t="shared" si="63"/>
        <v>0</v>
      </c>
      <c r="AI63" s="106">
        <f t="shared" si="63"/>
        <v>0</v>
      </c>
      <c r="AJ63" s="106">
        <f t="shared" si="63"/>
        <v>0</v>
      </c>
      <c r="AK63" s="106">
        <f t="shared" si="63"/>
        <v>0</v>
      </c>
      <c r="AL63" s="106">
        <f t="shared" si="63"/>
        <v>0</v>
      </c>
      <c r="AM63" s="106">
        <f t="shared" si="63"/>
        <v>0</v>
      </c>
      <c r="AN63" s="106">
        <f t="shared" si="63"/>
        <v>0</v>
      </c>
      <c r="AO63" s="106">
        <f t="shared" si="63"/>
        <v>0</v>
      </c>
      <c r="AP63" s="106">
        <f t="shared" si="63"/>
        <v>0</v>
      </c>
      <c r="AQ63" s="106">
        <f t="shared" si="63"/>
        <v>0</v>
      </c>
      <c r="AR63" s="106">
        <f t="shared" si="63"/>
        <v>0</v>
      </c>
      <c r="AS63" s="318"/>
      <c r="AT63" s="363"/>
      <c r="AU63" s="121"/>
      <c r="AV63" s="121"/>
      <c r="AW63" s="155"/>
    </row>
    <row r="64" spans="1:49" s="100" customFormat="1" ht="24">
      <c r="A64" s="356"/>
      <c r="B64" s="357"/>
      <c r="C64" s="357"/>
      <c r="D64" s="358"/>
      <c r="E64" s="111" t="s">
        <v>44</v>
      </c>
      <c r="F64" s="106">
        <f>F71+F75+F79</f>
        <v>10588.099999999999</v>
      </c>
      <c r="G64" s="106">
        <f t="shared" si="63"/>
        <v>245</v>
      </c>
      <c r="H64" s="106">
        <f>G64/F64*100</f>
        <v>2.313918455624711</v>
      </c>
      <c r="I64" s="106">
        <f t="shared" si="63"/>
        <v>0</v>
      </c>
      <c r="J64" s="106">
        <f t="shared" si="63"/>
        <v>0</v>
      </c>
      <c r="K64" s="106">
        <v>0</v>
      </c>
      <c r="L64" s="106">
        <f t="shared" si="63"/>
        <v>193.39999999999998</v>
      </c>
      <c r="M64" s="106">
        <f t="shared" si="63"/>
        <v>173.7</v>
      </c>
      <c r="N64" s="106">
        <f t="shared" si="63"/>
        <v>186.62063134160093</v>
      </c>
      <c r="O64" s="106">
        <f t="shared" si="63"/>
        <v>173.90000000000009</v>
      </c>
      <c r="P64" s="106">
        <f t="shared" si="63"/>
        <v>71.3</v>
      </c>
      <c r="Q64" s="106">
        <f t="shared" ref="Q64" si="64">P64/O64*100</f>
        <v>41.000575043128215</v>
      </c>
      <c r="R64" s="106">
        <f t="shared" si="63"/>
        <v>4338.7999999999993</v>
      </c>
      <c r="S64" s="106">
        <f t="shared" si="63"/>
        <v>0</v>
      </c>
      <c r="T64" s="106">
        <f t="shared" ref="T64" si="65">S64/R64*100</f>
        <v>0</v>
      </c>
      <c r="U64" s="106">
        <f t="shared" si="63"/>
        <v>1300.6000000000001</v>
      </c>
      <c r="V64" s="106">
        <f t="shared" si="63"/>
        <v>0</v>
      </c>
      <c r="W64" s="106">
        <f t="shared" si="63"/>
        <v>0</v>
      </c>
      <c r="X64" s="106">
        <f t="shared" si="63"/>
        <v>1288.6000000000001</v>
      </c>
      <c r="Y64" s="106">
        <f t="shared" si="63"/>
        <v>0</v>
      </c>
      <c r="Z64" s="106">
        <f t="shared" si="63"/>
        <v>0</v>
      </c>
      <c r="AA64" s="106">
        <f t="shared" si="63"/>
        <v>1075.6000000000001</v>
      </c>
      <c r="AB64" s="106">
        <f t="shared" si="63"/>
        <v>0</v>
      </c>
      <c r="AC64" s="106">
        <f t="shared" si="63"/>
        <v>0</v>
      </c>
      <c r="AD64" s="106">
        <f t="shared" si="63"/>
        <v>150.6</v>
      </c>
      <c r="AE64" s="106">
        <f t="shared" si="63"/>
        <v>0</v>
      </c>
      <c r="AF64" s="106">
        <f t="shared" ref="AF64" si="66">AE64/AD64*100</f>
        <v>0</v>
      </c>
      <c r="AG64" s="106">
        <f t="shared" si="63"/>
        <v>200.6</v>
      </c>
      <c r="AH64" s="106">
        <f t="shared" si="63"/>
        <v>0</v>
      </c>
      <c r="AI64" s="106">
        <f t="shared" si="63"/>
        <v>0</v>
      </c>
      <c r="AJ64" s="106">
        <f t="shared" si="63"/>
        <v>162.6</v>
      </c>
      <c r="AK64" s="106">
        <f t="shared" si="63"/>
        <v>0</v>
      </c>
      <c r="AL64" s="106">
        <f t="shared" si="63"/>
        <v>0</v>
      </c>
      <c r="AM64" s="106">
        <f t="shared" si="63"/>
        <v>1339.8</v>
      </c>
      <c r="AN64" s="106">
        <f t="shared" si="63"/>
        <v>0</v>
      </c>
      <c r="AO64" s="106">
        <f t="shared" si="63"/>
        <v>0</v>
      </c>
      <c r="AP64" s="106">
        <f t="shared" si="63"/>
        <v>363.6</v>
      </c>
      <c r="AQ64" s="106">
        <f t="shared" si="63"/>
        <v>0</v>
      </c>
      <c r="AR64" s="106">
        <f t="shared" si="63"/>
        <v>0</v>
      </c>
      <c r="AS64" s="318"/>
      <c r="AT64" s="363"/>
      <c r="AU64" s="121"/>
      <c r="AV64" s="121"/>
      <c r="AW64" s="155"/>
    </row>
    <row r="65" spans="1:49" s="100" customFormat="1" ht="24">
      <c r="A65" s="359"/>
      <c r="B65" s="360"/>
      <c r="C65" s="360"/>
      <c r="D65" s="361"/>
      <c r="E65" s="110" t="s">
        <v>257</v>
      </c>
      <c r="F65" s="106">
        <f>F72+F76+F80</f>
        <v>0</v>
      </c>
      <c r="G65" s="106">
        <f t="shared" si="63"/>
        <v>0</v>
      </c>
      <c r="H65" s="106">
        <v>0</v>
      </c>
      <c r="I65" s="106">
        <f t="shared" si="63"/>
        <v>0</v>
      </c>
      <c r="J65" s="106">
        <f t="shared" si="63"/>
        <v>0</v>
      </c>
      <c r="K65" s="106">
        <v>0</v>
      </c>
      <c r="L65" s="106">
        <f t="shared" si="63"/>
        <v>0</v>
      </c>
      <c r="M65" s="106">
        <f t="shared" si="63"/>
        <v>0</v>
      </c>
      <c r="N65" s="106">
        <f t="shared" si="63"/>
        <v>0</v>
      </c>
      <c r="O65" s="106">
        <f t="shared" si="63"/>
        <v>0</v>
      </c>
      <c r="P65" s="106">
        <f t="shared" si="63"/>
        <v>0</v>
      </c>
      <c r="Q65" s="106">
        <v>0</v>
      </c>
      <c r="R65" s="106">
        <f t="shared" si="63"/>
        <v>0</v>
      </c>
      <c r="S65" s="106">
        <f t="shared" si="63"/>
        <v>0</v>
      </c>
      <c r="T65" s="106">
        <v>0</v>
      </c>
      <c r="U65" s="106">
        <f t="shared" si="63"/>
        <v>0</v>
      </c>
      <c r="V65" s="106">
        <f t="shared" si="63"/>
        <v>0</v>
      </c>
      <c r="W65" s="106">
        <f t="shared" si="63"/>
        <v>0</v>
      </c>
      <c r="X65" s="106">
        <f t="shared" si="63"/>
        <v>0</v>
      </c>
      <c r="Y65" s="106">
        <f t="shared" si="63"/>
        <v>0</v>
      </c>
      <c r="Z65" s="106">
        <f t="shared" si="63"/>
        <v>0</v>
      </c>
      <c r="AA65" s="106">
        <f t="shared" si="63"/>
        <v>0</v>
      </c>
      <c r="AB65" s="106">
        <f t="shared" si="63"/>
        <v>0</v>
      </c>
      <c r="AC65" s="106">
        <f t="shared" si="63"/>
        <v>0</v>
      </c>
      <c r="AD65" s="106">
        <f t="shared" si="63"/>
        <v>0</v>
      </c>
      <c r="AE65" s="106">
        <f t="shared" si="63"/>
        <v>0</v>
      </c>
      <c r="AF65" s="106">
        <f t="shared" si="63"/>
        <v>0</v>
      </c>
      <c r="AG65" s="106">
        <f t="shared" si="63"/>
        <v>0</v>
      </c>
      <c r="AH65" s="106">
        <f t="shared" si="63"/>
        <v>0</v>
      </c>
      <c r="AI65" s="106">
        <f t="shared" si="63"/>
        <v>0</v>
      </c>
      <c r="AJ65" s="106">
        <f t="shared" si="63"/>
        <v>0</v>
      </c>
      <c r="AK65" s="106">
        <f t="shared" si="63"/>
        <v>0</v>
      </c>
      <c r="AL65" s="106">
        <f t="shared" si="63"/>
        <v>0</v>
      </c>
      <c r="AM65" s="106">
        <f t="shared" si="63"/>
        <v>0</v>
      </c>
      <c r="AN65" s="106">
        <f t="shared" si="63"/>
        <v>0</v>
      </c>
      <c r="AO65" s="106">
        <f t="shared" si="63"/>
        <v>0</v>
      </c>
      <c r="AP65" s="106">
        <f t="shared" si="63"/>
        <v>0</v>
      </c>
      <c r="AQ65" s="106">
        <f t="shared" si="63"/>
        <v>0</v>
      </c>
      <c r="AR65" s="106">
        <f t="shared" si="63"/>
        <v>0</v>
      </c>
      <c r="AS65" s="319"/>
      <c r="AT65" s="364"/>
      <c r="AU65" s="121"/>
      <c r="AV65" s="121"/>
      <c r="AW65" s="155"/>
    </row>
    <row r="66" spans="1:49" s="100" customFormat="1" ht="72">
      <c r="A66" s="133" t="s">
        <v>386</v>
      </c>
      <c r="B66" s="161" t="s">
        <v>280</v>
      </c>
      <c r="C66" s="162" t="s">
        <v>387</v>
      </c>
      <c r="D66" s="172" t="s">
        <v>388</v>
      </c>
      <c r="E66" s="143" t="s">
        <v>275</v>
      </c>
      <c r="F66" s="149" t="s">
        <v>279</v>
      </c>
      <c r="G66" s="149" t="s">
        <v>279</v>
      </c>
      <c r="H66" s="149" t="s">
        <v>279</v>
      </c>
      <c r="I66" s="149" t="s">
        <v>279</v>
      </c>
      <c r="J66" s="149" t="s">
        <v>279</v>
      </c>
      <c r="K66" s="149" t="s">
        <v>279</v>
      </c>
      <c r="L66" s="149" t="s">
        <v>279</v>
      </c>
      <c r="M66" s="149" t="s">
        <v>279</v>
      </c>
      <c r="N66" s="149" t="s">
        <v>279</v>
      </c>
      <c r="O66" s="149" t="s">
        <v>279</v>
      </c>
      <c r="P66" s="149" t="s">
        <v>279</v>
      </c>
      <c r="Q66" s="149" t="s">
        <v>279</v>
      </c>
      <c r="R66" s="149" t="s">
        <v>279</v>
      </c>
      <c r="S66" s="149" t="s">
        <v>279</v>
      </c>
      <c r="T66" s="149" t="s">
        <v>279</v>
      </c>
      <c r="U66" s="149" t="s">
        <v>279</v>
      </c>
      <c r="V66" s="149" t="s">
        <v>279</v>
      </c>
      <c r="W66" s="149" t="s">
        <v>279</v>
      </c>
      <c r="X66" s="149" t="s">
        <v>279</v>
      </c>
      <c r="Y66" s="149" t="s">
        <v>279</v>
      </c>
      <c r="Z66" s="149" t="s">
        <v>279</v>
      </c>
      <c r="AA66" s="149" t="s">
        <v>279</v>
      </c>
      <c r="AB66" s="149" t="s">
        <v>279</v>
      </c>
      <c r="AC66" s="149" t="s">
        <v>279</v>
      </c>
      <c r="AD66" s="149" t="s">
        <v>279</v>
      </c>
      <c r="AE66" s="149" t="s">
        <v>279</v>
      </c>
      <c r="AF66" s="149" t="s">
        <v>279</v>
      </c>
      <c r="AG66" s="149" t="s">
        <v>279</v>
      </c>
      <c r="AH66" s="149" t="s">
        <v>279</v>
      </c>
      <c r="AI66" s="149" t="s">
        <v>279</v>
      </c>
      <c r="AJ66" s="149" t="s">
        <v>279</v>
      </c>
      <c r="AK66" s="149" t="s">
        <v>279</v>
      </c>
      <c r="AL66" s="149" t="s">
        <v>279</v>
      </c>
      <c r="AM66" s="149" t="s">
        <v>279</v>
      </c>
      <c r="AN66" s="149" t="s">
        <v>279</v>
      </c>
      <c r="AO66" s="149" t="s">
        <v>279</v>
      </c>
      <c r="AP66" s="149" t="s">
        <v>279</v>
      </c>
      <c r="AQ66" s="149" t="s">
        <v>279</v>
      </c>
      <c r="AR66" s="149" t="s">
        <v>279</v>
      </c>
      <c r="AS66" s="145" t="s">
        <v>419</v>
      </c>
      <c r="AT66" s="134"/>
      <c r="AU66" s="121"/>
      <c r="AV66" s="121"/>
      <c r="AW66" s="155"/>
    </row>
    <row r="67" spans="1:49" s="100" customFormat="1" ht="96">
      <c r="A67" s="133" t="s">
        <v>389</v>
      </c>
      <c r="B67" s="161" t="s">
        <v>390</v>
      </c>
      <c r="C67" s="162" t="s">
        <v>387</v>
      </c>
      <c r="D67" s="171" t="s">
        <v>391</v>
      </c>
      <c r="E67" s="143" t="s">
        <v>275</v>
      </c>
      <c r="F67" s="149" t="s">
        <v>279</v>
      </c>
      <c r="G67" s="149" t="s">
        <v>279</v>
      </c>
      <c r="H67" s="149" t="s">
        <v>279</v>
      </c>
      <c r="I67" s="149" t="s">
        <v>279</v>
      </c>
      <c r="J67" s="149" t="s">
        <v>279</v>
      </c>
      <c r="K67" s="149" t="s">
        <v>279</v>
      </c>
      <c r="L67" s="149" t="s">
        <v>279</v>
      </c>
      <c r="M67" s="149" t="s">
        <v>279</v>
      </c>
      <c r="N67" s="149" t="s">
        <v>279</v>
      </c>
      <c r="O67" s="149" t="s">
        <v>279</v>
      </c>
      <c r="P67" s="149" t="s">
        <v>279</v>
      </c>
      <c r="Q67" s="149" t="s">
        <v>279</v>
      </c>
      <c r="R67" s="149" t="s">
        <v>279</v>
      </c>
      <c r="S67" s="149" t="s">
        <v>279</v>
      </c>
      <c r="T67" s="149" t="s">
        <v>279</v>
      </c>
      <c r="U67" s="149" t="s">
        <v>279</v>
      </c>
      <c r="V67" s="149" t="s">
        <v>279</v>
      </c>
      <c r="W67" s="149" t="s">
        <v>279</v>
      </c>
      <c r="X67" s="149" t="s">
        <v>279</v>
      </c>
      <c r="Y67" s="149" t="s">
        <v>279</v>
      </c>
      <c r="Z67" s="149" t="s">
        <v>279</v>
      </c>
      <c r="AA67" s="149" t="s">
        <v>279</v>
      </c>
      <c r="AB67" s="149" t="s">
        <v>279</v>
      </c>
      <c r="AC67" s="149" t="s">
        <v>279</v>
      </c>
      <c r="AD67" s="149" t="s">
        <v>279</v>
      </c>
      <c r="AE67" s="149" t="s">
        <v>279</v>
      </c>
      <c r="AF67" s="149" t="s">
        <v>279</v>
      </c>
      <c r="AG67" s="149" t="s">
        <v>279</v>
      </c>
      <c r="AH67" s="149" t="s">
        <v>279</v>
      </c>
      <c r="AI67" s="149" t="s">
        <v>279</v>
      </c>
      <c r="AJ67" s="149" t="s">
        <v>279</v>
      </c>
      <c r="AK67" s="149" t="s">
        <v>279</v>
      </c>
      <c r="AL67" s="149" t="s">
        <v>279</v>
      </c>
      <c r="AM67" s="149" t="s">
        <v>279</v>
      </c>
      <c r="AN67" s="149" t="s">
        <v>279</v>
      </c>
      <c r="AO67" s="149" t="s">
        <v>279</v>
      </c>
      <c r="AP67" s="149" t="s">
        <v>279</v>
      </c>
      <c r="AQ67" s="149" t="s">
        <v>279</v>
      </c>
      <c r="AR67" s="149" t="s">
        <v>279</v>
      </c>
      <c r="AS67" s="145" t="s">
        <v>420</v>
      </c>
      <c r="AT67" s="134"/>
      <c r="AU67" s="121"/>
      <c r="AV67" s="121"/>
      <c r="AW67" s="155"/>
    </row>
    <row r="68" spans="1:49" s="100" customFormat="1" ht="264">
      <c r="A68" s="133" t="s">
        <v>392</v>
      </c>
      <c r="B68" s="161" t="s">
        <v>393</v>
      </c>
      <c r="C68" s="162" t="s">
        <v>387</v>
      </c>
      <c r="D68" s="171" t="s">
        <v>394</v>
      </c>
      <c r="E68" s="143" t="s">
        <v>275</v>
      </c>
      <c r="F68" s="149" t="s">
        <v>279</v>
      </c>
      <c r="G68" s="149" t="s">
        <v>279</v>
      </c>
      <c r="H68" s="149" t="s">
        <v>279</v>
      </c>
      <c r="I68" s="149" t="s">
        <v>279</v>
      </c>
      <c r="J68" s="149" t="s">
        <v>279</v>
      </c>
      <c r="K68" s="149" t="s">
        <v>279</v>
      </c>
      <c r="L68" s="149" t="s">
        <v>279</v>
      </c>
      <c r="M68" s="149" t="s">
        <v>279</v>
      </c>
      <c r="N68" s="149" t="s">
        <v>279</v>
      </c>
      <c r="O68" s="149" t="s">
        <v>279</v>
      </c>
      <c r="P68" s="149" t="s">
        <v>279</v>
      </c>
      <c r="Q68" s="149" t="s">
        <v>279</v>
      </c>
      <c r="R68" s="149" t="s">
        <v>279</v>
      </c>
      <c r="S68" s="149" t="s">
        <v>279</v>
      </c>
      <c r="T68" s="149" t="s">
        <v>279</v>
      </c>
      <c r="U68" s="149" t="s">
        <v>279</v>
      </c>
      <c r="V68" s="149" t="s">
        <v>279</v>
      </c>
      <c r="W68" s="149" t="s">
        <v>279</v>
      </c>
      <c r="X68" s="149" t="s">
        <v>279</v>
      </c>
      <c r="Y68" s="149" t="s">
        <v>279</v>
      </c>
      <c r="Z68" s="149" t="s">
        <v>279</v>
      </c>
      <c r="AA68" s="149" t="s">
        <v>279</v>
      </c>
      <c r="AB68" s="149" t="s">
        <v>279</v>
      </c>
      <c r="AC68" s="149" t="s">
        <v>279</v>
      </c>
      <c r="AD68" s="149" t="s">
        <v>279</v>
      </c>
      <c r="AE68" s="149" t="s">
        <v>279</v>
      </c>
      <c r="AF68" s="149" t="s">
        <v>279</v>
      </c>
      <c r="AG68" s="149" t="s">
        <v>279</v>
      </c>
      <c r="AH68" s="149" t="s">
        <v>279</v>
      </c>
      <c r="AI68" s="149" t="s">
        <v>279</v>
      </c>
      <c r="AJ68" s="149" t="s">
        <v>279</v>
      </c>
      <c r="AK68" s="149" t="s">
        <v>279</v>
      </c>
      <c r="AL68" s="149" t="s">
        <v>279</v>
      </c>
      <c r="AM68" s="149" t="s">
        <v>279</v>
      </c>
      <c r="AN68" s="149" t="s">
        <v>279</v>
      </c>
      <c r="AO68" s="149" t="s">
        <v>279</v>
      </c>
      <c r="AP68" s="149" t="s">
        <v>279</v>
      </c>
      <c r="AQ68" s="149" t="s">
        <v>279</v>
      </c>
      <c r="AR68" s="149" t="s">
        <v>279</v>
      </c>
      <c r="AS68" s="145" t="s">
        <v>421</v>
      </c>
      <c r="AT68" s="134"/>
      <c r="AU68" s="121"/>
      <c r="AV68" s="121"/>
      <c r="AW68" s="155"/>
    </row>
    <row r="69" spans="1:49" s="31" customFormat="1" ht="12.75">
      <c r="A69" s="326" t="s">
        <v>395</v>
      </c>
      <c r="B69" s="329" t="s">
        <v>396</v>
      </c>
      <c r="C69" s="332" t="s">
        <v>277</v>
      </c>
      <c r="D69" s="335" t="s">
        <v>397</v>
      </c>
      <c r="E69" s="107" t="s">
        <v>42</v>
      </c>
      <c r="F69" s="123">
        <f>SUM(F70:F72)</f>
        <v>1572.1</v>
      </c>
      <c r="G69" s="123">
        <f t="shared" ref="G69" si="67">SUM(G70:G72)</f>
        <v>227.2</v>
      </c>
      <c r="H69" s="123">
        <f>G69/F69*100</f>
        <v>14.452006869791997</v>
      </c>
      <c r="I69" s="138">
        <f t="shared" ref="I69:AP69" si="68">I70+I71+I72</f>
        <v>0</v>
      </c>
      <c r="J69" s="138">
        <f t="shared" si="68"/>
        <v>0</v>
      </c>
      <c r="K69" s="123">
        <v>0</v>
      </c>
      <c r="L69" s="138">
        <f t="shared" si="68"/>
        <v>177.39999999999998</v>
      </c>
      <c r="M69" s="132">
        <f t="shared" si="68"/>
        <v>158.1</v>
      </c>
      <c r="N69" s="132">
        <f>M69/L69*100</f>
        <v>89.120631341600912</v>
      </c>
      <c r="O69" s="132">
        <f t="shared" si="68"/>
        <v>70.000000000000014</v>
      </c>
      <c r="P69" s="132">
        <f t="shared" si="68"/>
        <v>69.099999999999994</v>
      </c>
      <c r="Q69" s="123">
        <f t="shared" ref="Q69:Q79" si="69">P69/O69*100</f>
        <v>98.714285714285694</v>
      </c>
      <c r="R69" s="132">
        <f t="shared" si="68"/>
        <v>61.4</v>
      </c>
      <c r="S69" s="132">
        <f t="shared" si="68"/>
        <v>0</v>
      </c>
      <c r="T69" s="132">
        <f>S69/R69*100</f>
        <v>0</v>
      </c>
      <c r="U69" s="138">
        <f t="shared" si="68"/>
        <v>61.4</v>
      </c>
      <c r="V69" s="138">
        <f t="shared" si="68"/>
        <v>0</v>
      </c>
      <c r="W69" s="132">
        <f t="shared" ref="W69" si="70">V69/U69*100</f>
        <v>0</v>
      </c>
      <c r="X69" s="132">
        <f t="shared" si="68"/>
        <v>61.4</v>
      </c>
      <c r="Y69" s="132">
        <f t="shared" si="68"/>
        <v>0</v>
      </c>
      <c r="Z69" s="132">
        <f t="shared" ref="Z69" si="71">Y69/X69*100</f>
        <v>0</v>
      </c>
      <c r="AA69" s="132">
        <f t="shared" si="68"/>
        <v>61.4</v>
      </c>
      <c r="AB69" s="132">
        <f t="shared" si="68"/>
        <v>0</v>
      </c>
      <c r="AC69" s="132">
        <f t="shared" ref="AC69" si="72">AB69/AA69*100</f>
        <v>0</v>
      </c>
      <c r="AD69" s="132">
        <f t="shared" si="68"/>
        <v>61.4</v>
      </c>
      <c r="AE69" s="138">
        <f t="shared" si="68"/>
        <v>0</v>
      </c>
      <c r="AF69" s="104">
        <f t="shared" ref="AF69" si="73">AE69/AD69*100</f>
        <v>0</v>
      </c>
      <c r="AG69" s="138">
        <f t="shared" si="68"/>
        <v>61.4</v>
      </c>
      <c r="AH69" s="138">
        <f t="shared" si="68"/>
        <v>0</v>
      </c>
      <c r="AI69" s="132">
        <f t="shared" ref="AI69" si="74">AH69/AG69*100</f>
        <v>0</v>
      </c>
      <c r="AJ69" s="138">
        <f t="shared" si="68"/>
        <v>61.4</v>
      </c>
      <c r="AK69" s="138">
        <f t="shared" si="68"/>
        <v>0</v>
      </c>
      <c r="AL69" s="138">
        <f t="shared" si="68"/>
        <v>0</v>
      </c>
      <c r="AM69" s="138">
        <f t="shared" si="68"/>
        <v>780.5</v>
      </c>
      <c r="AN69" s="138">
        <f t="shared" si="68"/>
        <v>0</v>
      </c>
      <c r="AO69" s="138">
        <f t="shared" si="68"/>
        <v>0</v>
      </c>
      <c r="AP69" s="138">
        <f t="shared" si="68"/>
        <v>114.39999999999999</v>
      </c>
      <c r="AQ69" s="104"/>
      <c r="AR69" s="104"/>
      <c r="AS69" s="338" t="s">
        <v>422</v>
      </c>
      <c r="AT69" s="423" t="s">
        <v>423</v>
      </c>
      <c r="AU69" s="121"/>
      <c r="AV69" s="121"/>
      <c r="AW69" s="155"/>
    </row>
    <row r="70" spans="1:49" s="31" customFormat="1" ht="36">
      <c r="A70" s="327"/>
      <c r="B70" s="330"/>
      <c r="C70" s="333"/>
      <c r="D70" s="336"/>
      <c r="E70" s="108" t="s">
        <v>3</v>
      </c>
      <c r="F70" s="123">
        <f>I70+L70+O70+R70+U70+X70+AA70+AD70+AG70+AJ70+AM70+AP70</f>
        <v>0</v>
      </c>
      <c r="G70" s="123">
        <f>J70+M70+P70+S70+V70+Y70+AB70+AE70+AH70+AK70+AN70+AQ70</f>
        <v>0</v>
      </c>
      <c r="H70" s="123">
        <v>0</v>
      </c>
      <c r="I70" s="123">
        <v>0</v>
      </c>
      <c r="J70" s="123">
        <v>0</v>
      </c>
      <c r="K70" s="123">
        <v>0</v>
      </c>
      <c r="L70" s="150">
        <v>0</v>
      </c>
      <c r="M70" s="123">
        <v>0</v>
      </c>
      <c r="N70" s="138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32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23">
        <v>0</v>
      </c>
      <c r="AK70" s="123">
        <v>0</v>
      </c>
      <c r="AL70" s="123">
        <v>0</v>
      </c>
      <c r="AM70" s="117">
        <v>0</v>
      </c>
      <c r="AN70" s="117">
        <v>0</v>
      </c>
      <c r="AO70" s="117">
        <v>0</v>
      </c>
      <c r="AP70" s="123">
        <v>0</v>
      </c>
      <c r="AQ70" s="104"/>
      <c r="AR70" s="104"/>
      <c r="AS70" s="339"/>
      <c r="AT70" s="424"/>
      <c r="AU70" s="121"/>
      <c r="AV70" s="121"/>
      <c r="AW70" s="155"/>
    </row>
    <row r="71" spans="1:49" s="31" customFormat="1" ht="12.75">
      <c r="A71" s="327"/>
      <c r="B71" s="330"/>
      <c r="C71" s="333"/>
      <c r="D71" s="336"/>
      <c r="E71" s="108" t="s">
        <v>44</v>
      </c>
      <c r="F71" s="123">
        <f t="shared" ref="F71:G72" si="75">I71+L71+O71+R71+U71+X71+AA71+AD71+AG71+AJ71+AM71+AP71</f>
        <v>1572.1</v>
      </c>
      <c r="G71" s="123">
        <f t="shared" si="75"/>
        <v>227.2</v>
      </c>
      <c r="H71" s="123">
        <f>G71/F71*100</f>
        <v>14.452006869791997</v>
      </c>
      <c r="I71" s="123">
        <v>0</v>
      </c>
      <c r="J71" s="123">
        <v>0</v>
      </c>
      <c r="K71" s="123">
        <v>0</v>
      </c>
      <c r="L71" s="150">
        <f>61.4+10.2+105.8</f>
        <v>177.39999999999998</v>
      </c>
      <c r="M71" s="123">
        <v>158.1</v>
      </c>
      <c r="N71" s="138">
        <f t="shared" ref="N71" si="76">M71/L71*100</f>
        <v>89.120631341600912</v>
      </c>
      <c r="O71" s="123">
        <f>207.4-31.6-105.8</f>
        <v>70.000000000000014</v>
      </c>
      <c r="P71" s="123">
        <v>69.099999999999994</v>
      </c>
      <c r="Q71" s="123">
        <f t="shared" si="69"/>
        <v>98.714285714285694</v>
      </c>
      <c r="R71" s="123">
        <v>61.4</v>
      </c>
      <c r="S71" s="123">
        <v>0</v>
      </c>
      <c r="T71" s="132">
        <f t="shared" ref="T71:T79" si="77">S71/R71*100</f>
        <v>0</v>
      </c>
      <c r="U71" s="117">
        <v>61.4</v>
      </c>
      <c r="V71" s="117">
        <v>0</v>
      </c>
      <c r="W71" s="132">
        <f t="shared" ref="W71" si="78">V71/U71*100</f>
        <v>0</v>
      </c>
      <c r="X71" s="117">
        <v>61.4</v>
      </c>
      <c r="Y71" s="117">
        <v>0</v>
      </c>
      <c r="Z71" s="132">
        <f t="shared" ref="Z71" si="79">Y71/X71*100</f>
        <v>0</v>
      </c>
      <c r="AA71" s="117">
        <v>61.4</v>
      </c>
      <c r="AB71" s="117">
        <v>0</v>
      </c>
      <c r="AC71" s="132">
        <f t="shared" ref="AC71" si="80">AB71/AA71*100</f>
        <v>0</v>
      </c>
      <c r="AD71" s="117">
        <v>61.4</v>
      </c>
      <c r="AE71" s="117">
        <v>0</v>
      </c>
      <c r="AF71" s="132">
        <f t="shared" ref="AF71" si="81">AE71/AD71*100</f>
        <v>0</v>
      </c>
      <c r="AG71" s="117">
        <v>61.4</v>
      </c>
      <c r="AH71" s="117">
        <v>0</v>
      </c>
      <c r="AI71" s="132">
        <f t="shared" ref="AI71" si="82">AH71/AG71*100</f>
        <v>0</v>
      </c>
      <c r="AJ71" s="123">
        <v>61.4</v>
      </c>
      <c r="AK71" s="123">
        <v>0</v>
      </c>
      <c r="AL71" s="123">
        <v>0</v>
      </c>
      <c r="AM71" s="117">
        <f>790.7-10.2</f>
        <v>780.5</v>
      </c>
      <c r="AN71" s="117">
        <v>0</v>
      </c>
      <c r="AO71" s="117">
        <v>0</v>
      </c>
      <c r="AP71" s="123">
        <f>122.8-8.4</f>
        <v>114.39999999999999</v>
      </c>
      <c r="AQ71" s="104"/>
      <c r="AR71" s="104"/>
      <c r="AS71" s="339"/>
      <c r="AT71" s="424"/>
      <c r="AU71" s="121"/>
      <c r="AV71" s="121"/>
      <c r="AW71" s="155"/>
    </row>
    <row r="72" spans="1:49" s="31" customFormat="1" ht="39.75" customHeight="1">
      <c r="A72" s="328"/>
      <c r="B72" s="331"/>
      <c r="C72" s="334"/>
      <c r="D72" s="337"/>
      <c r="E72" s="109" t="s">
        <v>257</v>
      </c>
      <c r="F72" s="123">
        <f t="shared" si="75"/>
        <v>0</v>
      </c>
      <c r="G72" s="123">
        <f t="shared" si="75"/>
        <v>0</v>
      </c>
      <c r="H72" s="123">
        <v>0</v>
      </c>
      <c r="I72" s="123">
        <v>0</v>
      </c>
      <c r="J72" s="123">
        <v>0</v>
      </c>
      <c r="K72" s="123">
        <v>0</v>
      </c>
      <c r="L72" s="150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0</v>
      </c>
      <c r="T72" s="132">
        <v>0</v>
      </c>
      <c r="U72" s="117">
        <v>0</v>
      </c>
      <c r="V72" s="117">
        <v>0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23">
        <v>0</v>
      </c>
      <c r="AK72" s="123">
        <v>0</v>
      </c>
      <c r="AL72" s="123">
        <v>0</v>
      </c>
      <c r="AM72" s="117">
        <v>0</v>
      </c>
      <c r="AN72" s="117">
        <v>0</v>
      </c>
      <c r="AO72" s="117">
        <v>0</v>
      </c>
      <c r="AP72" s="123">
        <v>0</v>
      </c>
      <c r="AQ72" s="104"/>
      <c r="AR72" s="104"/>
      <c r="AS72" s="340"/>
      <c r="AT72" s="425"/>
      <c r="AU72" s="121"/>
      <c r="AV72" s="121"/>
      <c r="AW72" s="155"/>
    </row>
    <row r="73" spans="1:49" s="31" customFormat="1" ht="12.75">
      <c r="A73" s="326" t="s">
        <v>398</v>
      </c>
      <c r="B73" s="329" t="s">
        <v>258</v>
      </c>
      <c r="C73" s="332" t="s">
        <v>277</v>
      </c>
      <c r="D73" s="335" t="s">
        <v>400</v>
      </c>
      <c r="E73" s="107" t="s">
        <v>42</v>
      </c>
      <c r="F73" s="123">
        <f>SUM(F74:F76)</f>
        <v>455.1</v>
      </c>
      <c r="G73" s="123">
        <f t="shared" ref="G73" si="83">SUM(G74:G76)</f>
        <v>0</v>
      </c>
      <c r="H73" s="123">
        <f>G73/F73*100</f>
        <v>0</v>
      </c>
      <c r="I73" s="138">
        <f t="shared" ref="I73:AP73" si="84">I74+I75+I76</f>
        <v>0</v>
      </c>
      <c r="J73" s="138">
        <f t="shared" si="84"/>
        <v>0</v>
      </c>
      <c r="K73" s="123">
        <v>0</v>
      </c>
      <c r="L73" s="138">
        <f t="shared" si="84"/>
        <v>0</v>
      </c>
      <c r="M73" s="132">
        <f t="shared" si="84"/>
        <v>0</v>
      </c>
      <c r="N73" s="132">
        <v>0</v>
      </c>
      <c r="O73" s="132">
        <f t="shared" si="84"/>
        <v>0</v>
      </c>
      <c r="P73" s="132">
        <f t="shared" si="84"/>
        <v>0</v>
      </c>
      <c r="Q73" s="123">
        <v>0</v>
      </c>
      <c r="R73" s="132">
        <f t="shared" si="84"/>
        <v>0</v>
      </c>
      <c r="S73" s="132">
        <f t="shared" si="84"/>
        <v>0</v>
      </c>
      <c r="T73" s="132">
        <v>0</v>
      </c>
      <c r="U73" s="132">
        <f t="shared" si="84"/>
        <v>0</v>
      </c>
      <c r="V73" s="132">
        <f t="shared" si="84"/>
        <v>0</v>
      </c>
      <c r="W73" s="132">
        <f t="shared" si="84"/>
        <v>0</v>
      </c>
      <c r="X73" s="132">
        <f t="shared" si="84"/>
        <v>0</v>
      </c>
      <c r="Y73" s="132">
        <f t="shared" si="84"/>
        <v>0</v>
      </c>
      <c r="Z73" s="138">
        <f t="shared" si="84"/>
        <v>0</v>
      </c>
      <c r="AA73" s="138">
        <f t="shared" si="84"/>
        <v>0</v>
      </c>
      <c r="AB73" s="138">
        <f t="shared" si="84"/>
        <v>0</v>
      </c>
      <c r="AC73" s="138">
        <f t="shared" si="84"/>
        <v>0</v>
      </c>
      <c r="AD73" s="132">
        <f t="shared" si="84"/>
        <v>0</v>
      </c>
      <c r="AE73" s="132">
        <f t="shared" si="84"/>
        <v>0</v>
      </c>
      <c r="AF73" s="132">
        <f t="shared" si="84"/>
        <v>0</v>
      </c>
      <c r="AG73" s="132">
        <f t="shared" si="84"/>
        <v>0</v>
      </c>
      <c r="AH73" s="132">
        <f t="shared" si="84"/>
        <v>0</v>
      </c>
      <c r="AI73" s="132">
        <f t="shared" si="84"/>
        <v>0</v>
      </c>
      <c r="AJ73" s="132">
        <f t="shared" si="84"/>
        <v>0</v>
      </c>
      <c r="AK73" s="132">
        <f t="shared" si="84"/>
        <v>0</v>
      </c>
      <c r="AL73" s="132">
        <f t="shared" si="84"/>
        <v>0</v>
      </c>
      <c r="AM73" s="132">
        <f t="shared" si="84"/>
        <v>455.1</v>
      </c>
      <c r="AN73" s="132">
        <f t="shared" si="84"/>
        <v>0</v>
      </c>
      <c r="AO73" s="132">
        <f t="shared" si="84"/>
        <v>0</v>
      </c>
      <c r="AP73" s="132">
        <f t="shared" si="84"/>
        <v>0</v>
      </c>
      <c r="AQ73" s="104"/>
      <c r="AR73" s="104"/>
      <c r="AS73" s="344" t="s">
        <v>425</v>
      </c>
      <c r="AT73" s="426" t="s">
        <v>424</v>
      </c>
      <c r="AU73" s="121"/>
      <c r="AV73" s="121"/>
      <c r="AW73" s="155"/>
    </row>
    <row r="74" spans="1:49" s="31" customFormat="1" ht="36">
      <c r="A74" s="327"/>
      <c r="B74" s="330"/>
      <c r="C74" s="333"/>
      <c r="D74" s="336"/>
      <c r="E74" s="108" t="s">
        <v>3</v>
      </c>
      <c r="F74" s="123">
        <f>I74+L74+O74+R74+U74+X74+AA74+AD74+AG74+AJ74+AM74+AP74</f>
        <v>0</v>
      </c>
      <c r="G74" s="123">
        <f>J74+M74+P74+S74+V74+Y74+AB74+AE74+AH74+AK74+AN74+AQ74</f>
        <v>0</v>
      </c>
      <c r="H74" s="123">
        <v>0</v>
      </c>
      <c r="I74" s="123">
        <v>0</v>
      </c>
      <c r="J74" s="123">
        <v>0</v>
      </c>
      <c r="K74" s="123">
        <v>0</v>
      </c>
      <c r="L74" s="150">
        <v>0</v>
      </c>
      <c r="M74" s="123">
        <v>0</v>
      </c>
      <c r="N74" s="138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38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23">
        <v>0</v>
      </c>
      <c r="AK74" s="123">
        <v>0</v>
      </c>
      <c r="AL74" s="123">
        <v>0</v>
      </c>
      <c r="AM74" s="117">
        <v>0</v>
      </c>
      <c r="AN74" s="117">
        <v>0</v>
      </c>
      <c r="AO74" s="117">
        <v>0</v>
      </c>
      <c r="AP74" s="123">
        <v>0</v>
      </c>
      <c r="AQ74" s="104"/>
      <c r="AR74" s="104"/>
      <c r="AS74" s="345"/>
      <c r="AT74" s="427"/>
      <c r="AU74" s="121"/>
      <c r="AV74" s="121"/>
      <c r="AW74" s="155"/>
    </row>
    <row r="75" spans="1:49" s="31" customFormat="1" ht="24.75" customHeight="1">
      <c r="A75" s="327"/>
      <c r="B75" s="330"/>
      <c r="C75" s="333"/>
      <c r="D75" s="336"/>
      <c r="E75" s="108" t="s">
        <v>44</v>
      </c>
      <c r="F75" s="123">
        <f t="shared" ref="F75:G76" si="85">I75+L75+O75+R75+U75+X75+AA75+AD75+AG75+AJ75+AM75+AP75</f>
        <v>455.1</v>
      </c>
      <c r="G75" s="123">
        <f t="shared" si="85"/>
        <v>0</v>
      </c>
      <c r="H75" s="123">
        <f>G75/F75*100</f>
        <v>0</v>
      </c>
      <c r="I75" s="123">
        <v>0</v>
      </c>
      <c r="J75" s="123">
        <v>0</v>
      </c>
      <c r="K75" s="123">
        <v>0</v>
      </c>
      <c r="L75" s="150">
        <v>0</v>
      </c>
      <c r="M75" s="123">
        <v>0</v>
      </c>
      <c r="N75" s="138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38">
        <v>0</v>
      </c>
      <c r="U75" s="117">
        <v>0</v>
      </c>
      <c r="V75" s="117">
        <v>0</v>
      </c>
      <c r="W75" s="117">
        <v>0</v>
      </c>
      <c r="X75" s="117">
        <v>0</v>
      </c>
      <c r="Y75" s="117">
        <v>0</v>
      </c>
      <c r="Z75" s="117">
        <v>0</v>
      </c>
      <c r="AA75" s="117">
        <v>0</v>
      </c>
      <c r="AB75" s="117">
        <v>0</v>
      </c>
      <c r="AC75" s="117">
        <v>0</v>
      </c>
      <c r="AD75" s="117">
        <v>0</v>
      </c>
      <c r="AE75" s="117">
        <v>0</v>
      </c>
      <c r="AF75" s="117">
        <v>0</v>
      </c>
      <c r="AG75" s="117">
        <v>0</v>
      </c>
      <c r="AH75" s="117">
        <v>0</v>
      </c>
      <c r="AI75" s="117">
        <v>0</v>
      </c>
      <c r="AJ75" s="123">
        <v>0</v>
      </c>
      <c r="AK75" s="123">
        <v>0</v>
      </c>
      <c r="AL75" s="123">
        <v>0</v>
      </c>
      <c r="AM75" s="117">
        <v>455.1</v>
      </c>
      <c r="AN75" s="117">
        <v>0</v>
      </c>
      <c r="AO75" s="117">
        <v>0</v>
      </c>
      <c r="AP75" s="123">
        <v>0</v>
      </c>
      <c r="AQ75" s="104"/>
      <c r="AR75" s="104"/>
      <c r="AS75" s="345"/>
      <c r="AT75" s="427"/>
      <c r="AU75" s="121"/>
      <c r="AV75" s="121"/>
      <c r="AW75" s="155"/>
    </row>
    <row r="76" spans="1:49" s="31" customFormat="1" ht="24" customHeight="1">
      <c r="A76" s="328"/>
      <c r="B76" s="331"/>
      <c r="C76" s="334"/>
      <c r="D76" s="337"/>
      <c r="E76" s="109" t="s">
        <v>257</v>
      </c>
      <c r="F76" s="123">
        <f t="shared" si="85"/>
        <v>0</v>
      </c>
      <c r="G76" s="123">
        <f t="shared" si="85"/>
        <v>0</v>
      </c>
      <c r="H76" s="123">
        <v>0</v>
      </c>
      <c r="I76" s="123">
        <v>0</v>
      </c>
      <c r="J76" s="123">
        <v>0</v>
      </c>
      <c r="K76" s="123">
        <v>0</v>
      </c>
      <c r="L76" s="150">
        <v>0</v>
      </c>
      <c r="M76" s="123">
        <v>0</v>
      </c>
      <c r="N76" s="123">
        <v>0</v>
      </c>
      <c r="O76" s="123">
        <v>0</v>
      </c>
      <c r="P76" s="123">
        <v>0</v>
      </c>
      <c r="Q76" s="123">
        <v>0</v>
      </c>
      <c r="R76" s="123">
        <v>0</v>
      </c>
      <c r="S76" s="123">
        <v>0</v>
      </c>
      <c r="T76" s="138">
        <v>0</v>
      </c>
      <c r="U76" s="117">
        <v>0</v>
      </c>
      <c r="V76" s="117">
        <v>0</v>
      </c>
      <c r="W76" s="117">
        <v>0</v>
      </c>
      <c r="X76" s="117">
        <v>0</v>
      </c>
      <c r="Y76" s="117">
        <v>0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17">
        <v>0</v>
      </c>
      <c r="AJ76" s="123">
        <v>0</v>
      </c>
      <c r="AK76" s="123">
        <v>0</v>
      </c>
      <c r="AL76" s="123">
        <v>0</v>
      </c>
      <c r="AM76" s="117">
        <v>0</v>
      </c>
      <c r="AN76" s="117">
        <v>0</v>
      </c>
      <c r="AO76" s="117">
        <v>0</v>
      </c>
      <c r="AP76" s="123">
        <v>0</v>
      </c>
      <c r="AQ76" s="104"/>
      <c r="AR76" s="104"/>
      <c r="AS76" s="346"/>
      <c r="AT76" s="428"/>
      <c r="AU76" s="121"/>
      <c r="AV76" s="121"/>
      <c r="AW76" s="155"/>
    </row>
    <row r="77" spans="1:49" s="31" customFormat="1" ht="12.75">
      <c r="A77" s="326" t="s">
        <v>399</v>
      </c>
      <c r="B77" s="329" t="s">
        <v>295</v>
      </c>
      <c r="C77" s="332" t="s">
        <v>401</v>
      </c>
      <c r="D77" s="335" t="s">
        <v>402</v>
      </c>
      <c r="E77" s="107" t="s">
        <v>42</v>
      </c>
      <c r="F77" s="123">
        <f>SUM(F78:F80)</f>
        <v>8560.9</v>
      </c>
      <c r="G77" s="123">
        <f t="shared" ref="G77" si="86">SUM(G78:G80)</f>
        <v>17.8</v>
      </c>
      <c r="H77" s="123">
        <f>G77/F77*100</f>
        <v>0.20792206426894369</v>
      </c>
      <c r="I77" s="132">
        <f t="shared" ref="I77:AP77" si="87">I78+I79+I80</f>
        <v>0</v>
      </c>
      <c r="J77" s="132">
        <f t="shared" si="87"/>
        <v>0</v>
      </c>
      <c r="K77" s="123">
        <v>0</v>
      </c>
      <c r="L77" s="132">
        <f t="shared" si="87"/>
        <v>16</v>
      </c>
      <c r="M77" s="132">
        <f t="shared" si="87"/>
        <v>15.6</v>
      </c>
      <c r="N77" s="132">
        <f>M77/L77*100</f>
        <v>97.5</v>
      </c>
      <c r="O77" s="132">
        <f t="shared" si="87"/>
        <v>103.90000000000009</v>
      </c>
      <c r="P77" s="132">
        <f t="shared" si="87"/>
        <v>2.2000000000000002</v>
      </c>
      <c r="Q77" s="123">
        <f t="shared" si="69"/>
        <v>2.1174205967276212</v>
      </c>
      <c r="R77" s="132">
        <f t="shared" si="87"/>
        <v>4277.3999999999996</v>
      </c>
      <c r="S77" s="132">
        <f t="shared" si="87"/>
        <v>0</v>
      </c>
      <c r="T77" s="132">
        <f t="shared" si="77"/>
        <v>0</v>
      </c>
      <c r="U77" s="132">
        <f t="shared" si="87"/>
        <v>1239.2</v>
      </c>
      <c r="V77" s="132">
        <f t="shared" si="87"/>
        <v>0</v>
      </c>
      <c r="W77" s="138">
        <f t="shared" ref="W77" si="88">V77/U77*100</f>
        <v>0</v>
      </c>
      <c r="X77" s="132">
        <f t="shared" si="87"/>
        <v>1227.2</v>
      </c>
      <c r="Y77" s="132">
        <f t="shared" si="87"/>
        <v>0</v>
      </c>
      <c r="Z77" s="132">
        <f t="shared" si="87"/>
        <v>0</v>
      </c>
      <c r="AA77" s="132">
        <f t="shared" si="87"/>
        <v>1014.2</v>
      </c>
      <c r="AB77" s="132">
        <f t="shared" si="87"/>
        <v>0</v>
      </c>
      <c r="AC77" s="117">
        <f>AB77/AA77*100</f>
        <v>0</v>
      </c>
      <c r="AD77" s="132">
        <f t="shared" si="87"/>
        <v>89.2</v>
      </c>
      <c r="AE77" s="132">
        <f t="shared" si="87"/>
        <v>0</v>
      </c>
      <c r="AF77" s="104">
        <f t="shared" ref="AF77" si="89">AE77/AD77*100</f>
        <v>0</v>
      </c>
      <c r="AG77" s="132">
        <f t="shared" si="87"/>
        <v>139.19999999999999</v>
      </c>
      <c r="AH77" s="132">
        <f t="shared" si="87"/>
        <v>0</v>
      </c>
      <c r="AI77" s="104">
        <f t="shared" ref="AI77" si="90">AH77/AG77*100</f>
        <v>0</v>
      </c>
      <c r="AJ77" s="132">
        <f t="shared" si="87"/>
        <v>101.2</v>
      </c>
      <c r="AK77" s="132">
        <f t="shared" si="87"/>
        <v>0</v>
      </c>
      <c r="AL77" s="132">
        <f t="shared" si="87"/>
        <v>0</v>
      </c>
      <c r="AM77" s="132">
        <f t="shared" si="87"/>
        <v>104.2</v>
      </c>
      <c r="AN77" s="132">
        <f t="shared" si="87"/>
        <v>0</v>
      </c>
      <c r="AO77" s="132">
        <f t="shared" si="87"/>
        <v>0</v>
      </c>
      <c r="AP77" s="132">
        <f t="shared" si="87"/>
        <v>249.20000000000002</v>
      </c>
      <c r="AQ77" s="104"/>
      <c r="AR77" s="104"/>
      <c r="AS77" s="338" t="s">
        <v>427</v>
      </c>
      <c r="AT77" s="423" t="s">
        <v>426</v>
      </c>
      <c r="AU77" s="121"/>
      <c r="AV77" s="121"/>
      <c r="AW77" s="155"/>
    </row>
    <row r="78" spans="1:49" s="31" customFormat="1" ht="36">
      <c r="A78" s="327"/>
      <c r="B78" s="330"/>
      <c r="C78" s="333"/>
      <c r="D78" s="336"/>
      <c r="E78" s="108" t="s">
        <v>3</v>
      </c>
      <c r="F78" s="123">
        <f>I78+L78+O78+R78+U78+X78+AA78+AD78+AG78+AJ78+AM78+AP78</f>
        <v>0</v>
      </c>
      <c r="G78" s="123">
        <f>J78+M78+P78+S78+V78+Y78+AB78+AE78+AH78+AK78+AN78+AQ78</f>
        <v>0</v>
      </c>
      <c r="H78" s="123">
        <v>0</v>
      </c>
      <c r="I78" s="123">
        <v>0</v>
      </c>
      <c r="J78" s="123">
        <v>0</v>
      </c>
      <c r="K78" s="123">
        <v>0</v>
      </c>
      <c r="L78" s="150">
        <v>0</v>
      </c>
      <c r="M78" s="123">
        <v>0</v>
      </c>
      <c r="N78" s="138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38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23">
        <v>0</v>
      </c>
      <c r="AK78" s="123">
        <v>0</v>
      </c>
      <c r="AL78" s="123">
        <v>0</v>
      </c>
      <c r="AM78" s="117">
        <v>0</v>
      </c>
      <c r="AN78" s="117">
        <v>0</v>
      </c>
      <c r="AO78" s="117">
        <v>0</v>
      </c>
      <c r="AP78" s="123">
        <v>0</v>
      </c>
      <c r="AQ78" s="104"/>
      <c r="AR78" s="104"/>
      <c r="AS78" s="339"/>
      <c r="AT78" s="424"/>
      <c r="AU78" s="121"/>
      <c r="AV78" s="121"/>
      <c r="AW78" s="155"/>
    </row>
    <row r="79" spans="1:49" s="31" customFormat="1" ht="12.75">
      <c r="A79" s="327"/>
      <c r="B79" s="330"/>
      <c r="C79" s="333"/>
      <c r="D79" s="336"/>
      <c r="E79" s="108" t="s">
        <v>44</v>
      </c>
      <c r="F79" s="123">
        <f t="shared" ref="F79:G80" si="91">I79+L79+O79+R79+U79+X79+AA79+AD79+AG79+AJ79+AM79+AP79</f>
        <v>8560.9</v>
      </c>
      <c r="G79" s="123">
        <f t="shared" si="91"/>
        <v>17.8</v>
      </c>
      <c r="H79" s="123">
        <f>G79/F79*100</f>
        <v>0.20792206426894369</v>
      </c>
      <c r="I79" s="123">
        <v>0</v>
      </c>
      <c r="J79" s="123">
        <v>0</v>
      </c>
      <c r="K79" s="123">
        <v>0</v>
      </c>
      <c r="L79" s="150">
        <f>2231.1+45-2276.1+16</f>
        <v>16</v>
      </c>
      <c r="M79" s="123">
        <v>15.6</v>
      </c>
      <c r="N79" s="138">
        <f t="shared" ref="N79" si="92">M79/L79*100</f>
        <v>97.5</v>
      </c>
      <c r="O79" s="123">
        <f>1844+40+50-1734.1-16-80</f>
        <v>103.90000000000009</v>
      </c>
      <c r="P79" s="123">
        <v>2.2000000000000002</v>
      </c>
      <c r="Q79" s="123">
        <f t="shared" si="69"/>
        <v>2.1174205967276212</v>
      </c>
      <c r="R79" s="123">
        <f>229.2+38+4010.2</f>
        <v>4277.3999999999996</v>
      </c>
      <c r="S79" s="123">
        <v>0</v>
      </c>
      <c r="T79" s="138">
        <f t="shared" si="77"/>
        <v>0</v>
      </c>
      <c r="U79" s="117">
        <f>1129.2+30+80</f>
        <v>1239.2</v>
      </c>
      <c r="V79" s="117">
        <v>0</v>
      </c>
      <c r="W79" s="138">
        <f t="shared" ref="W79" si="93">V79/U79*100</f>
        <v>0</v>
      </c>
      <c r="X79" s="117">
        <f>1149.2+28+50</f>
        <v>1227.2</v>
      </c>
      <c r="Y79" s="117">
        <v>0</v>
      </c>
      <c r="Z79" s="117">
        <f>Y79/X79*100</f>
        <v>0</v>
      </c>
      <c r="AA79" s="117">
        <f>994.2+20</f>
        <v>1014.2</v>
      </c>
      <c r="AB79" s="117">
        <v>0</v>
      </c>
      <c r="AC79" s="117">
        <f>AB79/AA79*100</f>
        <v>0</v>
      </c>
      <c r="AD79" s="117">
        <f>69.2+20</f>
        <v>89.2</v>
      </c>
      <c r="AE79" s="117">
        <v>0</v>
      </c>
      <c r="AF79" s="117">
        <f>AE79/AD79*100</f>
        <v>0</v>
      </c>
      <c r="AG79" s="117">
        <f>69.2+20+50</f>
        <v>139.19999999999999</v>
      </c>
      <c r="AH79" s="117">
        <v>0</v>
      </c>
      <c r="AI79" s="104">
        <f t="shared" ref="AI79" si="94">AH79/AG79*100</f>
        <v>0</v>
      </c>
      <c r="AJ79" s="123">
        <f>69.2+32</f>
        <v>101.2</v>
      </c>
      <c r="AK79" s="123">
        <v>0</v>
      </c>
      <c r="AL79" s="123">
        <v>0</v>
      </c>
      <c r="AM79" s="117">
        <f>69.2+35</f>
        <v>104.2</v>
      </c>
      <c r="AN79" s="117">
        <v>0</v>
      </c>
      <c r="AO79" s="117">
        <v>0</v>
      </c>
      <c r="AP79" s="123">
        <f>187.8+61.4+24.7*2-49.4</f>
        <v>249.20000000000002</v>
      </c>
      <c r="AQ79" s="104"/>
      <c r="AR79" s="104"/>
      <c r="AS79" s="339"/>
      <c r="AT79" s="424"/>
      <c r="AU79" s="121"/>
      <c r="AV79" s="121"/>
      <c r="AW79" s="155"/>
    </row>
    <row r="80" spans="1:49" s="31" customFormat="1" ht="9" customHeight="1">
      <c r="A80" s="328"/>
      <c r="B80" s="331"/>
      <c r="C80" s="334"/>
      <c r="D80" s="337"/>
      <c r="E80" s="109" t="s">
        <v>257</v>
      </c>
      <c r="F80" s="123">
        <f t="shared" si="91"/>
        <v>0</v>
      </c>
      <c r="G80" s="123">
        <f t="shared" si="91"/>
        <v>0</v>
      </c>
      <c r="H80" s="123">
        <v>0</v>
      </c>
      <c r="I80" s="123">
        <v>0</v>
      </c>
      <c r="J80" s="123">
        <v>0</v>
      </c>
      <c r="K80" s="123">
        <v>0</v>
      </c>
      <c r="L80" s="150">
        <v>0</v>
      </c>
      <c r="M80" s="123">
        <v>0</v>
      </c>
      <c r="N80" s="123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38">
        <v>0</v>
      </c>
      <c r="U80" s="117">
        <v>0</v>
      </c>
      <c r="V80" s="117">
        <v>0</v>
      </c>
      <c r="W80" s="117">
        <v>0</v>
      </c>
      <c r="X80" s="117">
        <v>0</v>
      </c>
      <c r="Y80" s="117">
        <v>0</v>
      </c>
      <c r="Z80" s="117">
        <v>0</v>
      </c>
      <c r="AA80" s="117">
        <v>0</v>
      </c>
      <c r="AB80" s="117">
        <v>0</v>
      </c>
      <c r="AC80" s="117">
        <v>0</v>
      </c>
      <c r="AD80" s="117">
        <v>0</v>
      </c>
      <c r="AE80" s="117">
        <v>0</v>
      </c>
      <c r="AF80" s="117">
        <v>0</v>
      </c>
      <c r="AG80" s="117">
        <v>0</v>
      </c>
      <c r="AH80" s="117">
        <v>0</v>
      </c>
      <c r="AI80" s="117">
        <v>0</v>
      </c>
      <c r="AJ80" s="123">
        <v>0</v>
      </c>
      <c r="AK80" s="123">
        <v>0</v>
      </c>
      <c r="AL80" s="123">
        <v>0</v>
      </c>
      <c r="AM80" s="117">
        <v>0</v>
      </c>
      <c r="AN80" s="117">
        <v>0</v>
      </c>
      <c r="AO80" s="117">
        <v>0</v>
      </c>
      <c r="AP80" s="123">
        <v>0</v>
      </c>
      <c r="AQ80" s="104"/>
      <c r="AR80" s="104"/>
      <c r="AS80" s="340"/>
      <c r="AT80" s="425"/>
      <c r="AU80" s="121"/>
      <c r="AV80" s="121"/>
      <c r="AW80" s="155"/>
    </row>
    <row r="81" spans="1:48" s="100" customFormat="1" ht="12.75">
      <c r="A81" s="308" t="s">
        <v>256</v>
      </c>
      <c r="B81" s="309"/>
      <c r="C81" s="309"/>
      <c r="D81" s="310"/>
      <c r="E81" s="110" t="s">
        <v>42</v>
      </c>
      <c r="F81" s="106">
        <f>F82+F83+F84</f>
        <v>433567.59999999992</v>
      </c>
      <c r="G81" s="106">
        <f t="shared" ref="G81:AP81" si="95">G82+G83+G84</f>
        <v>87573.099999999977</v>
      </c>
      <c r="H81" s="106">
        <f>G81/F81*100</f>
        <v>20.198257434365484</v>
      </c>
      <c r="I81" s="106">
        <f t="shared" si="95"/>
        <v>13742.399999999998</v>
      </c>
      <c r="J81" s="106">
        <f t="shared" si="95"/>
        <v>25267</v>
      </c>
      <c r="K81" s="106">
        <f>J81/I81*100</f>
        <v>183.86162533473049</v>
      </c>
      <c r="L81" s="106">
        <f t="shared" si="95"/>
        <v>42724.600000000006</v>
      </c>
      <c r="M81" s="106">
        <f t="shared" si="95"/>
        <v>33691.599999999999</v>
      </c>
      <c r="N81" s="106">
        <f>M81/L81*100</f>
        <v>78.857613646470639</v>
      </c>
      <c r="O81" s="106">
        <f t="shared" si="95"/>
        <v>36856.100000000006</v>
      </c>
      <c r="P81" s="106">
        <f t="shared" si="95"/>
        <v>28614.499999999996</v>
      </c>
      <c r="Q81" s="106">
        <f>P81/O81*100</f>
        <v>77.638437056552362</v>
      </c>
      <c r="R81" s="106">
        <f t="shared" si="95"/>
        <v>47106.6</v>
      </c>
      <c r="S81" s="106">
        <f t="shared" si="95"/>
        <v>0</v>
      </c>
      <c r="T81" s="106">
        <f>S81/R81*100</f>
        <v>0</v>
      </c>
      <c r="U81" s="106">
        <f t="shared" si="95"/>
        <v>35582.399999999994</v>
      </c>
      <c r="V81" s="106">
        <f t="shared" si="95"/>
        <v>0</v>
      </c>
      <c r="W81" s="106">
        <f t="shared" si="95"/>
        <v>0</v>
      </c>
      <c r="X81" s="106">
        <f t="shared" si="95"/>
        <v>41537.69999999999</v>
      </c>
      <c r="Y81" s="106">
        <f t="shared" si="95"/>
        <v>0</v>
      </c>
      <c r="Z81" s="106" t="e">
        <f t="shared" si="95"/>
        <v>#REF!</v>
      </c>
      <c r="AA81" s="106">
        <f t="shared" si="95"/>
        <v>50658.1</v>
      </c>
      <c r="AB81" s="106">
        <f t="shared" si="95"/>
        <v>0</v>
      </c>
      <c r="AC81" s="106" t="e">
        <f t="shared" si="95"/>
        <v>#REF!</v>
      </c>
      <c r="AD81" s="106">
        <f t="shared" si="95"/>
        <v>36590</v>
      </c>
      <c r="AE81" s="106">
        <f t="shared" si="95"/>
        <v>0</v>
      </c>
      <c r="AF81" s="103">
        <f t="shared" ref="AF81:AF84" si="96">AE81/AD81*100</f>
        <v>0</v>
      </c>
      <c r="AG81" s="106">
        <f t="shared" si="95"/>
        <v>27715.699999999997</v>
      </c>
      <c r="AH81" s="106">
        <f t="shared" si="95"/>
        <v>0</v>
      </c>
      <c r="AI81" s="106" t="e">
        <f t="shared" si="95"/>
        <v>#REF!</v>
      </c>
      <c r="AJ81" s="106">
        <f t="shared" si="95"/>
        <v>24977.5</v>
      </c>
      <c r="AK81" s="106">
        <f t="shared" si="95"/>
        <v>0</v>
      </c>
      <c r="AL81" s="106" t="e">
        <f t="shared" si="95"/>
        <v>#REF!</v>
      </c>
      <c r="AM81" s="106">
        <f t="shared" si="95"/>
        <v>25612.799999999996</v>
      </c>
      <c r="AN81" s="106">
        <f t="shared" si="95"/>
        <v>0</v>
      </c>
      <c r="AO81" s="106" t="e">
        <f t="shared" si="95"/>
        <v>#REF!</v>
      </c>
      <c r="AP81" s="106">
        <f t="shared" si="95"/>
        <v>50463.7</v>
      </c>
      <c r="AQ81" s="103">
        <f t="shared" ref="AQ81:AR81" si="97">SUM(AQ82:AQ84)</f>
        <v>0</v>
      </c>
      <c r="AR81" s="103" t="e">
        <f t="shared" si="97"/>
        <v>#REF!</v>
      </c>
      <c r="AS81" s="317"/>
      <c r="AT81" s="320"/>
      <c r="AU81" s="121"/>
      <c r="AV81" s="127"/>
    </row>
    <row r="82" spans="1:48" s="100" customFormat="1" ht="36">
      <c r="A82" s="311"/>
      <c r="B82" s="312"/>
      <c r="C82" s="312"/>
      <c r="D82" s="313"/>
      <c r="E82" s="111" t="s">
        <v>3</v>
      </c>
      <c r="F82" s="106">
        <f t="shared" ref="F82:G84" si="98">F10+F34+F49+F63</f>
        <v>125134.89999999997</v>
      </c>
      <c r="G82" s="106">
        <f t="shared" si="98"/>
        <v>17974.2</v>
      </c>
      <c r="H82" s="106">
        <f>G82/F82*100</f>
        <v>14.363858523881031</v>
      </c>
      <c r="I82" s="106">
        <f t="shared" ref="I82:J84" si="99">I10+I34+I49+I63</f>
        <v>849.99999999999989</v>
      </c>
      <c r="J82" s="106">
        <f t="shared" si="99"/>
        <v>826.6</v>
      </c>
      <c r="K82" s="106">
        <f t="shared" ref="K82:K84" si="100">J82/I82*100</f>
        <v>97.247058823529429</v>
      </c>
      <c r="L82" s="106">
        <f t="shared" ref="L82:M84" si="101">L10+L34+L49+L63</f>
        <v>8876.4</v>
      </c>
      <c r="M82" s="106">
        <f t="shared" si="101"/>
        <v>8651.2000000000007</v>
      </c>
      <c r="N82" s="106">
        <f t="shared" ref="N82:N84" si="102">M82/L82*100</f>
        <v>97.462935424271109</v>
      </c>
      <c r="O82" s="106">
        <f t="shared" ref="O82:P84" si="103">O10+O34+O49+O63</f>
        <v>8999.7999999999993</v>
      </c>
      <c r="P82" s="106">
        <f t="shared" si="103"/>
        <v>8496.4</v>
      </c>
      <c r="Q82" s="106">
        <f t="shared" ref="Q82:Q84" si="104">P82/O82*100</f>
        <v>94.406542367608168</v>
      </c>
      <c r="R82" s="106">
        <f t="shared" ref="R82:S84" si="105">R10+R34+R49+R63</f>
        <v>10160.799999999999</v>
      </c>
      <c r="S82" s="106">
        <f t="shared" si="105"/>
        <v>0</v>
      </c>
      <c r="T82" s="106">
        <f t="shared" ref="T82:T84" si="106">S82/R82*100</f>
        <v>0</v>
      </c>
      <c r="U82" s="106">
        <f t="shared" ref="U82:AE84" si="107">U10+U34+U49+U63</f>
        <v>8653.3999999999978</v>
      </c>
      <c r="V82" s="106">
        <f t="shared" si="107"/>
        <v>0</v>
      </c>
      <c r="W82" s="106">
        <f t="shared" si="107"/>
        <v>0</v>
      </c>
      <c r="X82" s="106">
        <f t="shared" si="107"/>
        <v>10366.799999999999</v>
      </c>
      <c r="Y82" s="106">
        <f t="shared" si="107"/>
        <v>0</v>
      </c>
      <c r="Z82" s="106" t="e">
        <f t="shared" si="107"/>
        <v>#REF!</v>
      </c>
      <c r="AA82" s="106">
        <f t="shared" si="107"/>
        <v>11679.3</v>
      </c>
      <c r="AB82" s="106">
        <f t="shared" si="107"/>
        <v>0</v>
      </c>
      <c r="AC82" s="106" t="e">
        <f t="shared" si="107"/>
        <v>#REF!</v>
      </c>
      <c r="AD82" s="106">
        <f t="shared" si="107"/>
        <v>11285.099999999999</v>
      </c>
      <c r="AE82" s="106">
        <f t="shared" si="107"/>
        <v>0</v>
      </c>
      <c r="AF82" s="103">
        <f t="shared" si="96"/>
        <v>0</v>
      </c>
      <c r="AG82" s="106">
        <f t="shared" ref="AG82:AR84" si="108">AG10+AG34+AG49+AG63</f>
        <v>9471.7000000000007</v>
      </c>
      <c r="AH82" s="106">
        <f t="shared" si="108"/>
        <v>0</v>
      </c>
      <c r="AI82" s="106" t="e">
        <f t="shared" si="108"/>
        <v>#REF!</v>
      </c>
      <c r="AJ82" s="106">
        <f t="shared" si="108"/>
        <v>9999.1999999999989</v>
      </c>
      <c r="AK82" s="106">
        <f t="shared" si="108"/>
        <v>0</v>
      </c>
      <c r="AL82" s="106" t="e">
        <f t="shared" si="108"/>
        <v>#REF!</v>
      </c>
      <c r="AM82" s="106">
        <f t="shared" si="108"/>
        <v>8893.0999999999985</v>
      </c>
      <c r="AN82" s="106">
        <f t="shared" si="108"/>
        <v>0</v>
      </c>
      <c r="AO82" s="106" t="e">
        <f t="shared" si="108"/>
        <v>#REF!</v>
      </c>
      <c r="AP82" s="106">
        <f t="shared" si="108"/>
        <v>25899.299999999996</v>
      </c>
      <c r="AQ82" s="106">
        <f t="shared" si="108"/>
        <v>0</v>
      </c>
      <c r="AR82" s="106" t="e">
        <f t="shared" si="108"/>
        <v>#REF!</v>
      </c>
      <c r="AS82" s="318"/>
      <c r="AT82" s="321"/>
      <c r="AU82" s="121"/>
      <c r="AV82" s="127"/>
    </row>
    <row r="83" spans="1:48" s="100" customFormat="1" ht="24">
      <c r="A83" s="311"/>
      <c r="B83" s="312"/>
      <c r="C83" s="312"/>
      <c r="D83" s="313"/>
      <c r="E83" s="111" t="s">
        <v>44</v>
      </c>
      <c r="F83" s="106">
        <f t="shared" si="98"/>
        <v>302600.59999999998</v>
      </c>
      <c r="G83" s="106">
        <f t="shared" si="98"/>
        <v>68792.999999999985</v>
      </c>
      <c r="H83" s="106">
        <f>G83/F83*100</f>
        <v>22.733927163396235</v>
      </c>
      <c r="I83" s="106">
        <f t="shared" si="99"/>
        <v>12630.599999999999</v>
      </c>
      <c r="J83" s="106">
        <f t="shared" si="99"/>
        <v>24440.400000000001</v>
      </c>
      <c r="K83" s="106">
        <f t="shared" si="100"/>
        <v>193.50149636596839</v>
      </c>
      <c r="L83" s="106">
        <f t="shared" si="101"/>
        <v>33511.700000000004</v>
      </c>
      <c r="M83" s="106">
        <f t="shared" si="101"/>
        <v>24818.800000000003</v>
      </c>
      <c r="N83" s="106">
        <f t="shared" si="102"/>
        <v>74.060104381454835</v>
      </c>
      <c r="O83" s="106">
        <f t="shared" si="103"/>
        <v>27130</v>
      </c>
      <c r="P83" s="106">
        <f t="shared" si="103"/>
        <v>19533.8</v>
      </c>
      <c r="Q83" s="106">
        <f t="shared" si="104"/>
        <v>72.000737191301141</v>
      </c>
      <c r="R83" s="106">
        <f t="shared" si="105"/>
        <v>36205.199999999997</v>
      </c>
      <c r="S83" s="106">
        <f t="shared" si="105"/>
        <v>0</v>
      </c>
      <c r="T83" s="106">
        <f t="shared" si="106"/>
        <v>0</v>
      </c>
      <c r="U83" s="106">
        <f t="shared" si="107"/>
        <v>26449.299999999996</v>
      </c>
      <c r="V83" s="106">
        <f t="shared" si="107"/>
        <v>0</v>
      </c>
      <c r="W83" s="106">
        <f t="shared" si="107"/>
        <v>0</v>
      </c>
      <c r="X83" s="106">
        <f t="shared" si="107"/>
        <v>30719.199999999993</v>
      </c>
      <c r="Y83" s="106">
        <f t="shared" si="107"/>
        <v>0</v>
      </c>
      <c r="Z83" s="106" t="e">
        <f t="shared" si="107"/>
        <v>#REF!</v>
      </c>
      <c r="AA83" s="106">
        <f t="shared" si="107"/>
        <v>38309.699999999997</v>
      </c>
      <c r="AB83" s="106">
        <f t="shared" si="107"/>
        <v>0</v>
      </c>
      <c r="AC83" s="106" t="e">
        <f t="shared" si="107"/>
        <v>#REF!</v>
      </c>
      <c r="AD83" s="106">
        <f t="shared" si="107"/>
        <v>24785.899999999998</v>
      </c>
      <c r="AE83" s="106">
        <f t="shared" si="107"/>
        <v>0</v>
      </c>
      <c r="AF83" s="106">
        <f t="shared" si="96"/>
        <v>0</v>
      </c>
      <c r="AG83" s="106">
        <f t="shared" si="108"/>
        <v>17942.399999999998</v>
      </c>
      <c r="AH83" s="106">
        <f t="shared" si="108"/>
        <v>0</v>
      </c>
      <c r="AI83" s="106" t="e">
        <f t="shared" si="108"/>
        <v>#REF!</v>
      </c>
      <c r="AJ83" s="106">
        <f t="shared" si="108"/>
        <v>14413.7</v>
      </c>
      <c r="AK83" s="106">
        <f t="shared" si="108"/>
        <v>0</v>
      </c>
      <c r="AL83" s="106" t="e">
        <f t="shared" si="108"/>
        <v>#REF!</v>
      </c>
      <c r="AM83" s="106">
        <f t="shared" si="108"/>
        <v>16193.299999999997</v>
      </c>
      <c r="AN83" s="106">
        <f t="shared" si="108"/>
        <v>0</v>
      </c>
      <c r="AO83" s="106" t="e">
        <f t="shared" si="108"/>
        <v>#REF!</v>
      </c>
      <c r="AP83" s="106">
        <f t="shared" si="108"/>
        <v>24309.599999999995</v>
      </c>
      <c r="AQ83" s="106">
        <f t="shared" si="108"/>
        <v>0</v>
      </c>
      <c r="AR83" s="106" t="e">
        <f t="shared" si="108"/>
        <v>#REF!</v>
      </c>
      <c r="AS83" s="318"/>
      <c r="AT83" s="321"/>
      <c r="AU83" s="121"/>
      <c r="AV83" s="127"/>
    </row>
    <row r="84" spans="1:48" s="100" customFormat="1" ht="24">
      <c r="A84" s="314"/>
      <c r="B84" s="315"/>
      <c r="C84" s="315"/>
      <c r="D84" s="316"/>
      <c r="E84" s="110" t="s">
        <v>257</v>
      </c>
      <c r="F84" s="106">
        <f t="shared" si="98"/>
        <v>5832.0999999999995</v>
      </c>
      <c r="G84" s="106">
        <f t="shared" si="98"/>
        <v>805.9</v>
      </c>
      <c r="H84" s="106">
        <f>G84/F84*100</f>
        <v>13.818350165463556</v>
      </c>
      <c r="I84" s="106">
        <f t="shared" si="99"/>
        <v>261.8</v>
      </c>
      <c r="J84" s="106">
        <f t="shared" si="99"/>
        <v>0</v>
      </c>
      <c r="K84" s="106">
        <f t="shared" si="100"/>
        <v>0</v>
      </c>
      <c r="L84" s="106">
        <f t="shared" si="101"/>
        <v>336.5</v>
      </c>
      <c r="M84" s="106">
        <f t="shared" si="101"/>
        <v>221.6</v>
      </c>
      <c r="N84" s="106">
        <f t="shared" si="102"/>
        <v>65.854383358098062</v>
      </c>
      <c r="O84" s="106">
        <f t="shared" si="103"/>
        <v>726.3</v>
      </c>
      <c r="P84" s="106">
        <f t="shared" si="103"/>
        <v>584.29999999999995</v>
      </c>
      <c r="Q84" s="106">
        <f t="shared" si="104"/>
        <v>80.448850337326178</v>
      </c>
      <c r="R84" s="106">
        <f t="shared" si="105"/>
        <v>740.6</v>
      </c>
      <c r="S84" s="106">
        <f t="shared" si="105"/>
        <v>0</v>
      </c>
      <c r="T84" s="106">
        <f t="shared" si="106"/>
        <v>0</v>
      </c>
      <c r="U84" s="106">
        <f t="shared" si="107"/>
        <v>479.7</v>
      </c>
      <c r="V84" s="106">
        <f t="shared" si="107"/>
        <v>0</v>
      </c>
      <c r="W84" s="106">
        <f t="shared" si="107"/>
        <v>0</v>
      </c>
      <c r="X84" s="106">
        <f t="shared" si="107"/>
        <v>451.70000000000005</v>
      </c>
      <c r="Y84" s="106">
        <f t="shared" si="107"/>
        <v>0</v>
      </c>
      <c r="Z84" s="106" t="e">
        <f t="shared" si="107"/>
        <v>#REF!</v>
      </c>
      <c r="AA84" s="106">
        <f t="shared" si="107"/>
        <v>669.1</v>
      </c>
      <c r="AB84" s="106">
        <f t="shared" si="107"/>
        <v>0</v>
      </c>
      <c r="AC84" s="106" t="e">
        <f t="shared" si="107"/>
        <v>#REF!</v>
      </c>
      <c r="AD84" s="106">
        <f t="shared" si="107"/>
        <v>519</v>
      </c>
      <c r="AE84" s="106">
        <f t="shared" si="107"/>
        <v>0</v>
      </c>
      <c r="AF84" s="106">
        <f t="shared" si="96"/>
        <v>0</v>
      </c>
      <c r="AG84" s="106">
        <f t="shared" si="108"/>
        <v>301.60000000000002</v>
      </c>
      <c r="AH84" s="106">
        <f t="shared" si="108"/>
        <v>0</v>
      </c>
      <c r="AI84" s="106" t="e">
        <f t="shared" si="108"/>
        <v>#REF!</v>
      </c>
      <c r="AJ84" s="106">
        <f t="shared" si="108"/>
        <v>564.6</v>
      </c>
      <c r="AK84" s="106">
        <f t="shared" si="108"/>
        <v>0</v>
      </c>
      <c r="AL84" s="106" t="e">
        <f t="shared" si="108"/>
        <v>#REF!</v>
      </c>
      <c r="AM84" s="106">
        <f t="shared" si="108"/>
        <v>526.4</v>
      </c>
      <c r="AN84" s="106">
        <f t="shared" si="108"/>
        <v>0</v>
      </c>
      <c r="AO84" s="106" t="e">
        <f t="shared" si="108"/>
        <v>#REF!</v>
      </c>
      <c r="AP84" s="106">
        <f t="shared" si="108"/>
        <v>254.8</v>
      </c>
      <c r="AQ84" s="106">
        <f t="shared" si="108"/>
        <v>0</v>
      </c>
      <c r="AR84" s="106" t="e">
        <f t="shared" si="108"/>
        <v>#REF!</v>
      </c>
      <c r="AS84" s="319"/>
      <c r="AT84" s="322"/>
      <c r="AU84" s="121"/>
      <c r="AV84" s="127"/>
    </row>
    <row r="85" spans="1:48" s="31" customFormat="1" ht="12.75">
      <c r="A85" s="32"/>
      <c r="B85" s="151"/>
      <c r="C85" s="151"/>
      <c r="D85" s="151"/>
      <c r="E85" s="29"/>
      <c r="F85" s="101"/>
      <c r="G85" s="101"/>
      <c r="H85" s="4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151"/>
      <c r="AK85" s="151"/>
      <c r="AL85" s="151"/>
      <c r="AM85" s="99"/>
      <c r="AN85" s="99"/>
      <c r="AO85" s="99"/>
      <c r="AS85" s="131"/>
    </row>
    <row r="86" spans="1:48" s="31" customFormat="1">
      <c r="A86" s="32"/>
      <c r="B86" s="323"/>
      <c r="C86" s="323"/>
      <c r="D86" s="323"/>
      <c r="E86" s="324"/>
      <c r="F86" s="325"/>
      <c r="G86" s="142"/>
      <c r="H86" s="41"/>
      <c r="I86" s="41">
        <f>I81+L81+O81</f>
        <v>93323.1</v>
      </c>
      <c r="J86" s="41">
        <f>R81+U81+X81</f>
        <v>124226.69999999998</v>
      </c>
      <c r="K86" s="41">
        <f>AA81+AD81+AG81</f>
        <v>114963.8</v>
      </c>
      <c r="L86" s="41">
        <f>AJ81+AM81+AP81</f>
        <v>101054</v>
      </c>
      <c r="M86" s="151"/>
      <c r="N86" s="151"/>
      <c r="O86" s="151"/>
      <c r="P86" s="151"/>
      <c r="Q86" s="151"/>
      <c r="R86" s="151"/>
      <c r="S86" s="151"/>
      <c r="T86" s="151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151"/>
      <c r="AK86" s="151"/>
      <c r="AL86" s="151"/>
      <c r="AM86" s="99"/>
      <c r="AN86" s="99"/>
      <c r="AO86" s="99"/>
      <c r="AS86" s="131"/>
    </row>
    <row r="87" spans="1:48" s="31" customFormat="1" ht="12.75">
      <c r="A87" s="32"/>
      <c r="E87" s="119"/>
      <c r="F87" s="120"/>
      <c r="G87" s="120"/>
      <c r="H87" s="121"/>
      <c r="P87" s="151"/>
      <c r="Q87" s="151"/>
      <c r="R87" s="151"/>
      <c r="S87" s="151"/>
      <c r="T87" s="151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51"/>
      <c r="AK87" s="151"/>
      <c r="AL87" s="151"/>
      <c r="AM87" s="99"/>
      <c r="AN87" s="99"/>
      <c r="AO87" s="99"/>
      <c r="AS87" s="131"/>
    </row>
    <row r="88" spans="1:48" s="31" customFormat="1" ht="12.75">
      <c r="A88" s="307" t="s">
        <v>282</v>
      </c>
      <c r="B88" s="307"/>
      <c r="C88" s="307"/>
      <c r="D88" s="151"/>
      <c r="E88" s="29"/>
      <c r="F88" s="101"/>
      <c r="G88" s="101"/>
      <c r="H88" s="41"/>
      <c r="I88" s="151"/>
      <c r="J88" s="146" t="s">
        <v>284</v>
      </c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51"/>
      <c r="AK88" s="151"/>
      <c r="AL88" s="151"/>
      <c r="AM88" s="99"/>
      <c r="AN88" s="99"/>
      <c r="AO88" s="99"/>
      <c r="AS88" s="131"/>
    </row>
    <row r="89" spans="1:48" s="31" customFormat="1" ht="12.75">
      <c r="A89" s="307" t="s">
        <v>283</v>
      </c>
      <c r="B89" s="307"/>
      <c r="C89" s="307"/>
      <c r="D89" s="307"/>
      <c r="E89" s="307"/>
      <c r="F89" s="307"/>
      <c r="G89" s="101"/>
      <c r="H89" s="41"/>
      <c r="I89" s="151"/>
      <c r="J89" s="146" t="s">
        <v>285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151"/>
      <c r="AK89" s="151"/>
      <c r="AL89" s="151"/>
      <c r="AM89" s="99"/>
      <c r="AN89" s="99"/>
      <c r="AO89" s="99"/>
      <c r="AS89" s="131"/>
    </row>
    <row r="90" spans="1:48" s="31" customFormat="1" ht="12.75">
      <c r="A90" s="307"/>
      <c r="B90" s="307"/>
      <c r="C90" s="307"/>
      <c r="D90" s="307"/>
      <c r="E90" s="151"/>
      <c r="F90" s="101"/>
      <c r="G90" s="101"/>
      <c r="H90" s="41"/>
      <c r="I90" s="151"/>
      <c r="J90" s="146" t="s">
        <v>286</v>
      </c>
      <c r="K90" s="151"/>
      <c r="L90" s="115"/>
      <c r="M90" s="151"/>
      <c r="N90" s="151"/>
      <c r="O90" s="151"/>
      <c r="P90" s="151"/>
      <c r="Q90" s="151"/>
      <c r="R90" s="151"/>
      <c r="S90" s="151"/>
      <c r="T90" s="151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51"/>
      <c r="AK90" s="151"/>
      <c r="AL90" s="151"/>
      <c r="AM90" s="99"/>
      <c r="AN90" s="99"/>
      <c r="AO90" s="99"/>
      <c r="AS90" s="131"/>
    </row>
    <row r="91" spans="1:48" s="31" customFormat="1" ht="12.75">
      <c r="A91" s="147" t="s">
        <v>288</v>
      </c>
      <c r="B91" s="147"/>
      <c r="C91" s="147"/>
      <c r="D91" s="148"/>
      <c r="E91" s="112" t="s">
        <v>260</v>
      </c>
      <c r="F91" s="113"/>
      <c r="G91" s="113"/>
      <c r="H91" s="114"/>
      <c r="I91" s="115"/>
      <c r="J91" s="146"/>
      <c r="K91" s="115"/>
      <c r="M91" s="115" t="s">
        <v>292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6"/>
      <c r="AQ91" s="116"/>
      <c r="AR91" s="116"/>
      <c r="AS91" s="131"/>
    </row>
    <row r="92" spans="1:48">
      <c r="A92" s="307"/>
      <c r="B92" s="307"/>
      <c r="C92" s="307"/>
      <c r="D92" s="307"/>
      <c r="E92" s="131"/>
      <c r="F92" s="131"/>
      <c r="J92" s="146" t="s">
        <v>287</v>
      </c>
      <c r="AS92" s="131"/>
    </row>
    <row r="93" spans="1:48">
      <c r="A93" s="147" t="s">
        <v>289</v>
      </c>
      <c r="B93" s="147"/>
      <c r="C93" s="147"/>
      <c r="D93" s="148"/>
      <c r="E93" s="131" t="s">
        <v>293</v>
      </c>
      <c r="F93" s="131"/>
      <c r="AS93" s="131"/>
    </row>
    <row r="94" spans="1:48">
      <c r="AS94" s="131"/>
    </row>
    <row r="95" spans="1:48">
      <c r="AS95" s="131"/>
    </row>
    <row r="96" spans="1:48">
      <c r="A96" s="307" t="s">
        <v>404</v>
      </c>
      <c r="B96" s="307"/>
      <c r="C96" s="307"/>
      <c r="D96" s="307"/>
      <c r="AS96" s="131"/>
    </row>
    <row r="97" spans="1:45">
      <c r="A97" s="307" t="s">
        <v>291</v>
      </c>
      <c r="B97" s="307"/>
      <c r="C97" s="307"/>
      <c r="AS97" s="131"/>
    </row>
    <row r="98" spans="1:45">
      <c r="AS98" s="131"/>
    </row>
    <row r="99" spans="1:45">
      <c r="AS99" s="131"/>
    </row>
    <row r="100" spans="1:45">
      <c r="AS100" s="131"/>
    </row>
    <row r="101" spans="1:45">
      <c r="AS101" s="131"/>
    </row>
    <row r="102" spans="1:45">
      <c r="AS102" s="131"/>
    </row>
    <row r="103" spans="1:45">
      <c r="AS103" s="131"/>
    </row>
    <row r="104" spans="1:45">
      <c r="AS104" s="131"/>
    </row>
    <row r="105" spans="1:45">
      <c r="AS105" s="131"/>
    </row>
    <row r="106" spans="1:45">
      <c r="AS106" s="131"/>
    </row>
    <row r="107" spans="1:45">
      <c r="AS107" s="131"/>
    </row>
    <row r="108" spans="1:45">
      <c r="AS108" s="131"/>
    </row>
    <row r="109" spans="1:45">
      <c r="AS109" s="131"/>
    </row>
    <row r="110" spans="1:45">
      <c r="AS110" s="131"/>
    </row>
    <row r="111" spans="1:45">
      <c r="AS111" s="131"/>
    </row>
    <row r="112" spans="1:45">
      <c r="AS112" s="131"/>
    </row>
    <row r="113" spans="45:45">
      <c r="AS113" s="131"/>
    </row>
    <row r="114" spans="45:45">
      <c r="AS114" s="131"/>
    </row>
    <row r="115" spans="45:45">
      <c r="AS115" s="131"/>
    </row>
    <row r="116" spans="45:45">
      <c r="AS116" s="131"/>
    </row>
    <row r="117" spans="45:45">
      <c r="AS117" s="131"/>
    </row>
    <row r="118" spans="45:45">
      <c r="AS118" s="131"/>
    </row>
    <row r="119" spans="45:45">
      <c r="AS119" s="131"/>
    </row>
    <row r="120" spans="45:45">
      <c r="AS120" s="131"/>
    </row>
    <row r="121" spans="45:45">
      <c r="AS121" s="131"/>
    </row>
    <row r="122" spans="45:45">
      <c r="AS122" s="131"/>
    </row>
    <row r="123" spans="45:45">
      <c r="AS123" s="131"/>
    </row>
    <row r="124" spans="45:45">
      <c r="AS124" s="131"/>
    </row>
    <row r="125" spans="45:45">
      <c r="AS125" s="131"/>
    </row>
    <row r="126" spans="45:45">
      <c r="AS126" s="131"/>
    </row>
    <row r="127" spans="45:45">
      <c r="AS127" s="131"/>
    </row>
    <row r="128" spans="45:45">
      <c r="AS128" s="131"/>
    </row>
    <row r="129" spans="45:45">
      <c r="AS129" s="131"/>
    </row>
    <row r="130" spans="45:45">
      <c r="AS130" s="131"/>
    </row>
    <row r="131" spans="45:45">
      <c r="AS131" s="131"/>
    </row>
    <row r="132" spans="45:45">
      <c r="AS132" s="131"/>
    </row>
    <row r="133" spans="45:45">
      <c r="AS133" s="131"/>
    </row>
    <row r="134" spans="45:45">
      <c r="AS134" s="131"/>
    </row>
    <row r="135" spans="45:45">
      <c r="AS135" s="131"/>
    </row>
    <row r="136" spans="45:45">
      <c r="AS136" s="131"/>
    </row>
    <row r="137" spans="45:45">
      <c r="AS137" s="131"/>
    </row>
    <row r="138" spans="45:45">
      <c r="AS138" s="131"/>
    </row>
    <row r="139" spans="45:45">
      <c r="AS139" s="131"/>
    </row>
    <row r="140" spans="45:45">
      <c r="AS140" s="131"/>
    </row>
    <row r="141" spans="45:45">
      <c r="AS141" s="131"/>
    </row>
    <row r="142" spans="45:45">
      <c r="AS142" s="131"/>
    </row>
    <row r="143" spans="45:45">
      <c r="AS143" s="131"/>
    </row>
    <row r="144" spans="45:45">
      <c r="AS144" s="131"/>
    </row>
    <row r="145" spans="45:45">
      <c r="AS145" s="131"/>
    </row>
    <row r="146" spans="45:45">
      <c r="AS146" s="131"/>
    </row>
    <row r="147" spans="45:45">
      <c r="AS147" s="131"/>
    </row>
    <row r="148" spans="45:45">
      <c r="AS148" s="131"/>
    </row>
    <row r="149" spans="45:45">
      <c r="AS149" s="131"/>
    </row>
    <row r="150" spans="45:45">
      <c r="AS150" s="131"/>
    </row>
    <row r="151" spans="45:45">
      <c r="AS151" s="131"/>
    </row>
    <row r="152" spans="45:45">
      <c r="AS152" s="131"/>
    </row>
    <row r="153" spans="45:45">
      <c r="AS153" s="131"/>
    </row>
    <row r="154" spans="45:45">
      <c r="AS154" s="131"/>
    </row>
    <row r="155" spans="45:45">
      <c r="AS155" s="131"/>
    </row>
    <row r="156" spans="45:45">
      <c r="AS156" s="131"/>
    </row>
    <row r="157" spans="45:45">
      <c r="AS157" s="131"/>
    </row>
    <row r="158" spans="45:45">
      <c r="AS158" s="131"/>
    </row>
    <row r="159" spans="45:45">
      <c r="AS159" s="131"/>
    </row>
    <row r="160" spans="45:45">
      <c r="AS160" s="131"/>
    </row>
    <row r="161" spans="45:45">
      <c r="AS161" s="131"/>
    </row>
    <row r="162" spans="45:45">
      <c r="AS162" s="131"/>
    </row>
    <row r="163" spans="45:45">
      <c r="AS163" s="131"/>
    </row>
    <row r="164" spans="45:45">
      <c r="AS164" s="131"/>
    </row>
    <row r="165" spans="45:45">
      <c r="AS165" s="131"/>
    </row>
    <row r="166" spans="45:45">
      <c r="AS166" s="131"/>
    </row>
    <row r="167" spans="45:45">
      <c r="AS167" s="131"/>
    </row>
    <row r="168" spans="45:45">
      <c r="AS168" s="131"/>
    </row>
    <row r="169" spans="45:45">
      <c r="AS169" s="131"/>
    </row>
    <row r="170" spans="45:45">
      <c r="AS170" s="131"/>
    </row>
    <row r="171" spans="45:45">
      <c r="AS171" s="131"/>
    </row>
    <row r="172" spans="45:45">
      <c r="AS172" s="131"/>
    </row>
    <row r="173" spans="45:45">
      <c r="AS173" s="131"/>
    </row>
    <row r="174" spans="45:45">
      <c r="AS174" s="131"/>
    </row>
    <row r="175" spans="45:45">
      <c r="AS175" s="131"/>
    </row>
    <row r="176" spans="45:45">
      <c r="AS176" s="131"/>
    </row>
    <row r="177" spans="45:45">
      <c r="AS177" s="131"/>
    </row>
    <row r="178" spans="45:45">
      <c r="AS178" s="131"/>
    </row>
    <row r="179" spans="45:45">
      <c r="AS179" s="131"/>
    </row>
    <row r="180" spans="45:45">
      <c r="AS180" s="131"/>
    </row>
  </sheetData>
  <mergeCells count="111">
    <mergeCell ref="A2:AR2"/>
    <mergeCell ref="A3:AR3"/>
    <mergeCell ref="A5:A6"/>
    <mergeCell ref="B5:B6"/>
    <mergeCell ref="C5:C6"/>
    <mergeCell ref="D5:D6"/>
    <mergeCell ref="E5:E6"/>
    <mergeCell ref="F5:H5"/>
    <mergeCell ref="I5:K5"/>
    <mergeCell ref="L5:N5"/>
    <mergeCell ref="AG5:AI5"/>
    <mergeCell ref="AJ5:AL5"/>
    <mergeCell ref="AM5:AO5"/>
    <mergeCell ref="AP5:AR5"/>
    <mergeCell ref="AS5:AS6"/>
    <mergeCell ref="AT5:AT6"/>
    <mergeCell ref="O5:Q5"/>
    <mergeCell ref="R5:T5"/>
    <mergeCell ref="U5:W5"/>
    <mergeCell ref="X5:Z5"/>
    <mergeCell ref="AA5:AC5"/>
    <mergeCell ref="AD5:AF5"/>
    <mergeCell ref="A7:AT7"/>
    <mergeCell ref="A8:AT8"/>
    <mergeCell ref="A9:D12"/>
    <mergeCell ref="AS9:AS12"/>
    <mergeCell ref="AT9:AT12"/>
    <mergeCell ref="A13:A16"/>
    <mergeCell ref="B13:B16"/>
    <mergeCell ref="C13:C16"/>
    <mergeCell ref="D13:D16"/>
    <mergeCell ref="AS13:AS16"/>
    <mergeCell ref="A22:A24"/>
    <mergeCell ref="B22:B24"/>
    <mergeCell ref="C22:C24"/>
    <mergeCell ref="D22:D24"/>
    <mergeCell ref="AS22:AS24"/>
    <mergeCell ref="AT22:AT24"/>
    <mergeCell ref="AT13:AT16"/>
    <mergeCell ref="A17:A20"/>
    <mergeCell ref="B17:B20"/>
    <mergeCell ref="C17:C20"/>
    <mergeCell ref="D17:D20"/>
    <mergeCell ref="AS17:AS20"/>
    <mergeCell ref="AT17:AT20"/>
    <mergeCell ref="A29:A31"/>
    <mergeCell ref="B29:B31"/>
    <mergeCell ref="C29:C31"/>
    <mergeCell ref="D29:D31"/>
    <mergeCell ref="AS29:AS31"/>
    <mergeCell ref="AT29:AT31"/>
    <mergeCell ref="A25:A28"/>
    <mergeCell ref="B25:B28"/>
    <mergeCell ref="C25:C28"/>
    <mergeCell ref="D25:D28"/>
    <mergeCell ref="AS25:AS28"/>
    <mergeCell ref="AT25:AT28"/>
    <mergeCell ref="A32:AT32"/>
    <mergeCell ref="A33:D36"/>
    <mergeCell ref="AS33:AS36"/>
    <mergeCell ref="AT33:AT36"/>
    <mergeCell ref="A42:A45"/>
    <mergeCell ref="B42:B45"/>
    <mergeCell ref="C42:C45"/>
    <mergeCell ref="D42:D45"/>
    <mergeCell ref="AS42:AS45"/>
    <mergeCell ref="AT42:AT45"/>
    <mergeCell ref="A46:AT46"/>
    <mergeCell ref="A47:AT47"/>
    <mergeCell ref="A48:D51"/>
    <mergeCell ref="AS48:AS51"/>
    <mergeCell ref="AT48:AT51"/>
    <mergeCell ref="A56:A59"/>
    <mergeCell ref="B56:B59"/>
    <mergeCell ref="C56:C59"/>
    <mergeCell ref="D56:D59"/>
    <mergeCell ref="AS56:AS59"/>
    <mergeCell ref="A69:A72"/>
    <mergeCell ref="B69:B72"/>
    <mergeCell ref="C69:C72"/>
    <mergeCell ref="D69:D72"/>
    <mergeCell ref="AS69:AS72"/>
    <mergeCell ref="AT69:AT72"/>
    <mergeCell ref="AT56:AT59"/>
    <mergeCell ref="A60:AT60"/>
    <mergeCell ref="A61:AT61"/>
    <mergeCell ref="A62:D65"/>
    <mergeCell ref="AS62:AS65"/>
    <mergeCell ref="AT62:AT65"/>
    <mergeCell ref="A77:A80"/>
    <mergeCell ref="B77:B80"/>
    <mergeCell ref="C77:C80"/>
    <mergeCell ref="D77:D80"/>
    <mergeCell ref="AS77:AS80"/>
    <mergeCell ref="AT77:AT80"/>
    <mergeCell ref="A73:A76"/>
    <mergeCell ref="B73:B76"/>
    <mergeCell ref="C73:C76"/>
    <mergeCell ref="D73:D76"/>
    <mergeCell ref="AS73:AS76"/>
    <mergeCell ref="AT73:AT76"/>
    <mergeCell ref="A90:D90"/>
    <mergeCell ref="A92:D92"/>
    <mergeCell ref="A96:D96"/>
    <mergeCell ref="A97:C97"/>
    <mergeCell ref="A81:D84"/>
    <mergeCell ref="AS81:AS84"/>
    <mergeCell ref="AT81:AT84"/>
    <mergeCell ref="B86:F86"/>
    <mergeCell ref="A88:C88"/>
    <mergeCell ref="A89:F89"/>
  </mergeCells>
  <conditionalFormatting sqref="H91 H69:H80 H56:H59 H48:H51 H42:H45 H30:H31 H27:H28 H24">
    <cfRule type="cellIs" dxfId="1" priority="1" stopIfTrue="1" operator="notEqual">
      <formula>#REF!</formula>
    </cfRule>
  </conditionalFormatting>
  <pageMargins left="0.7" right="0.7" top="0.75" bottom="0.75" header="0.3" footer="0.3"/>
  <pageSetup paperSize="9" scale="40" orientation="landscape" r:id="rId1"/>
  <rowBreaks count="2" manualBreakCount="2">
    <brk id="52" max="45" man="1"/>
    <brk id="84" max="16383" man="1"/>
  </rowBreaks>
  <colBreaks count="1" manualBreakCount="1">
    <brk id="4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161"/>
  <sheetViews>
    <sheetView tabSelected="1" workbookViewId="0">
      <pane xSplit="3" ySplit="10" topLeftCell="Y85" activePane="bottomRight" state="frozen"/>
      <selection pane="topRight" activeCell="D1" sqref="D1"/>
      <selection pane="bottomLeft" activeCell="A11" sqref="A11"/>
      <selection pane="bottomRight" activeCell="AS69" sqref="AS69:AS74"/>
    </sheetView>
  </sheetViews>
  <sheetFormatPr defaultColWidth="9.140625" defaultRowHeight="15"/>
  <cols>
    <col min="1" max="1" width="5.5703125" style="242" customWidth="1"/>
    <col min="2" max="3" width="23.7109375" style="242" customWidth="1"/>
    <col min="4" max="4" width="16.42578125" style="242" customWidth="1"/>
    <col min="5" max="5" width="10.85546875" style="242" customWidth="1"/>
    <col min="6" max="6" width="10.7109375" style="242" customWidth="1"/>
    <col min="7" max="10" width="9.140625" style="242" customWidth="1"/>
    <col min="11" max="11" width="8.85546875" style="242" customWidth="1"/>
    <col min="12" max="12" width="9.140625" style="242" customWidth="1"/>
    <col min="13" max="13" width="10.42578125" style="242" customWidth="1"/>
    <col min="14" max="15" width="9.140625" style="242" customWidth="1"/>
    <col min="16" max="16" width="11.140625" style="242" customWidth="1"/>
    <col min="17" max="17" width="9.42578125" style="242" customWidth="1"/>
    <col min="18" max="18" width="10.5703125" style="242" customWidth="1"/>
    <col min="19" max="19" width="11.140625" style="242" customWidth="1"/>
    <col min="20" max="21" width="9.140625" style="242" customWidth="1"/>
    <col min="22" max="22" width="10.85546875" style="242" customWidth="1"/>
    <col min="23" max="24" width="9.140625" style="242" customWidth="1"/>
    <col min="25" max="25" width="10.28515625" style="242" customWidth="1"/>
    <col min="26" max="26" width="10.42578125" style="242" customWidth="1"/>
    <col min="27" max="28" width="10.42578125" style="242" hidden="1" customWidth="1"/>
    <col min="29" max="29" width="10.42578125" style="242" customWidth="1"/>
    <col min="30" max="30" width="11" style="242" hidden="1" customWidth="1"/>
    <col min="31" max="31" width="9.85546875" style="242" hidden="1" customWidth="1"/>
    <col min="32" max="32" width="9.140625" style="242" customWidth="1"/>
    <col min="33" max="33" width="11.140625" style="242" hidden="1" customWidth="1"/>
    <col min="34" max="34" width="10.85546875" style="242" hidden="1" customWidth="1"/>
    <col min="35" max="35" width="9.42578125" style="242" customWidth="1"/>
    <col min="36" max="36" width="9.140625" style="242" hidden="1" customWidth="1"/>
    <col min="37" max="37" width="10.5703125" style="242" hidden="1" customWidth="1"/>
    <col min="38" max="38" width="9.140625" style="242" customWidth="1"/>
    <col min="39" max="40" width="9.140625" style="242" hidden="1" customWidth="1"/>
    <col min="41" max="41" width="9.140625" style="243" customWidth="1"/>
    <col min="42" max="42" width="10.42578125" style="242" hidden="1" customWidth="1"/>
    <col min="43" max="43" width="9.140625" style="242" hidden="1" customWidth="1"/>
    <col min="44" max="44" width="65.28515625" style="237" customWidth="1"/>
    <col min="45" max="45" width="44.7109375" style="242" customWidth="1"/>
    <col min="46" max="49" width="9.140625" style="242" customWidth="1"/>
    <col min="50" max="16384" width="9.140625" style="242"/>
  </cols>
  <sheetData>
    <row r="1" spans="1:47" s="237" customFormat="1">
      <c r="I1" s="247"/>
      <c r="J1" s="247"/>
      <c r="K1" s="247"/>
      <c r="Y1" s="248"/>
      <c r="AI1" s="247"/>
      <c r="AO1" s="238"/>
      <c r="AS1" s="239" t="s">
        <v>451</v>
      </c>
    </row>
    <row r="2" spans="1:47" s="237" customFormat="1">
      <c r="F2" s="247"/>
      <c r="H2" s="247"/>
      <c r="I2" s="247"/>
      <c r="J2" s="247"/>
      <c r="Q2" s="247"/>
      <c r="AB2" s="247"/>
      <c r="AH2" s="248"/>
      <c r="AO2" s="238"/>
      <c r="AS2" s="239" t="s">
        <v>452</v>
      </c>
    </row>
    <row r="3" spans="1:47" s="237" customFormat="1" ht="15.75" customHeight="1">
      <c r="AO3" s="238"/>
      <c r="AS3" s="239" t="s">
        <v>453</v>
      </c>
    </row>
    <row r="4" spans="1:47" s="237" customFormat="1">
      <c r="AO4" s="238"/>
    </row>
    <row r="5" spans="1:47" s="237" customFormat="1">
      <c r="AO5" s="238"/>
      <c r="AS5" s="239" t="s">
        <v>449</v>
      </c>
    </row>
    <row r="6" spans="1:47" s="231" customFormat="1" ht="16.5" customHeight="1">
      <c r="A6" s="504" t="s">
        <v>448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4"/>
      <c r="AF6" s="504"/>
      <c r="AG6" s="504"/>
      <c r="AH6" s="504"/>
      <c r="AI6" s="504"/>
      <c r="AJ6" s="504"/>
      <c r="AK6" s="504"/>
      <c r="AL6" s="504"/>
      <c r="AM6" s="504"/>
      <c r="AN6" s="504"/>
      <c r="AO6" s="504"/>
      <c r="AP6" s="504"/>
      <c r="AQ6" s="504"/>
      <c r="AR6" s="504"/>
      <c r="AS6" s="504"/>
    </row>
    <row r="7" spans="1:47" s="231" customFormat="1" ht="33" customHeight="1">
      <c r="A7" s="504" t="s">
        <v>508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4"/>
      <c r="AF7" s="504"/>
      <c r="AG7" s="504"/>
      <c r="AH7" s="504"/>
      <c r="AI7" s="504"/>
      <c r="AJ7" s="504"/>
      <c r="AK7" s="504"/>
      <c r="AL7" s="504"/>
      <c r="AM7" s="504"/>
      <c r="AN7" s="504"/>
      <c r="AO7" s="504"/>
      <c r="AP7" s="504"/>
      <c r="AQ7" s="504"/>
      <c r="AR7" s="504"/>
      <c r="AS7" s="504"/>
    </row>
    <row r="8" spans="1:47" s="230" customFormat="1" ht="12.75">
      <c r="A8" s="214"/>
      <c r="B8" s="212"/>
      <c r="C8" s="212"/>
      <c r="D8" s="213"/>
      <c r="E8" s="213"/>
      <c r="F8" s="213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5"/>
      <c r="AP8" s="215"/>
      <c r="AQ8" s="215"/>
      <c r="AR8" s="215"/>
    </row>
    <row r="9" spans="1:47" s="230" customFormat="1" ht="27.75" customHeight="1">
      <c r="A9" s="503" t="s">
        <v>489</v>
      </c>
      <c r="B9" s="503" t="s">
        <v>486</v>
      </c>
      <c r="C9" s="505" t="s">
        <v>487</v>
      </c>
      <c r="D9" s="503" t="s">
        <v>1</v>
      </c>
      <c r="E9" s="503" t="s">
        <v>488</v>
      </c>
      <c r="F9" s="503"/>
      <c r="G9" s="503"/>
      <c r="H9" s="503" t="s">
        <v>18</v>
      </c>
      <c r="I9" s="503"/>
      <c r="J9" s="503"/>
      <c r="K9" s="503" t="s">
        <v>19</v>
      </c>
      <c r="L9" s="503"/>
      <c r="M9" s="503"/>
      <c r="N9" s="503" t="s">
        <v>23</v>
      </c>
      <c r="O9" s="503"/>
      <c r="P9" s="503"/>
      <c r="Q9" s="503" t="s">
        <v>25</v>
      </c>
      <c r="R9" s="503"/>
      <c r="S9" s="503"/>
      <c r="T9" s="503" t="s">
        <v>26</v>
      </c>
      <c r="U9" s="503"/>
      <c r="V9" s="503"/>
      <c r="W9" s="503" t="s">
        <v>27</v>
      </c>
      <c r="X9" s="503"/>
      <c r="Y9" s="503"/>
      <c r="Z9" s="503" t="s">
        <v>29</v>
      </c>
      <c r="AA9" s="503"/>
      <c r="AB9" s="503"/>
      <c r="AC9" s="503" t="s">
        <v>30</v>
      </c>
      <c r="AD9" s="503"/>
      <c r="AE9" s="503"/>
      <c r="AF9" s="503" t="s">
        <v>31</v>
      </c>
      <c r="AG9" s="503"/>
      <c r="AH9" s="503"/>
      <c r="AI9" s="503" t="s">
        <v>33</v>
      </c>
      <c r="AJ9" s="503"/>
      <c r="AK9" s="503"/>
      <c r="AL9" s="503" t="s">
        <v>34</v>
      </c>
      <c r="AM9" s="503"/>
      <c r="AN9" s="503"/>
      <c r="AO9" s="503" t="s">
        <v>35</v>
      </c>
      <c r="AP9" s="503"/>
      <c r="AQ9" s="503"/>
      <c r="AR9" s="458" t="s">
        <v>273</v>
      </c>
      <c r="AS9" s="507" t="s">
        <v>274</v>
      </c>
      <c r="AT9" s="232"/>
      <c r="AU9" s="232"/>
    </row>
    <row r="10" spans="1:47" s="230" customFormat="1" ht="37.5" customHeight="1">
      <c r="A10" s="503"/>
      <c r="B10" s="503"/>
      <c r="C10" s="506"/>
      <c r="D10" s="503"/>
      <c r="E10" s="254" t="s">
        <v>264</v>
      </c>
      <c r="F10" s="254" t="s">
        <v>265</v>
      </c>
      <c r="G10" s="240" t="s">
        <v>266</v>
      </c>
      <c r="H10" s="254" t="s">
        <v>264</v>
      </c>
      <c r="I10" s="254" t="s">
        <v>265</v>
      </c>
      <c r="J10" s="240" t="s">
        <v>266</v>
      </c>
      <c r="K10" s="254" t="s">
        <v>264</v>
      </c>
      <c r="L10" s="254" t="s">
        <v>265</v>
      </c>
      <c r="M10" s="240" t="s">
        <v>266</v>
      </c>
      <c r="N10" s="254" t="s">
        <v>264</v>
      </c>
      <c r="O10" s="254" t="s">
        <v>265</v>
      </c>
      <c r="P10" s="240" t="s">
        <v>266</v>
      </c>
      <c r="Q10" s="254" t="s">
        <v>264</v>
      </c>
      <c r="R10" s="254" t="s">
        <v>265</v>
      </c>
      <c r="S10" s="240" t="s">
        <v>266</v>
      </c>
      <c r="T10" s="254" t="s">
        <v>264</v>
      </c>
      <c r="U10" s="254" t="s">
        <v>265</v>
      </c>
      <c r="V10" s="240" t="s">
        <v>266</v>
      </c>
      <c r="W10" s="254" t="s">
        <v>264</v>
      </c>
      <c r="X10" s="254" t="s">
        <v>265</v>
      </c>
      <c r="Y10" s="240" t="s">
        <v>266</v>
      </c>
      <c r="Z10" s="254" t="s">
        <v>264</v>
      </c>
      <c r="AA10" s="254" t="s">
        <v>265</v>
      </c>
      <c r="AB10" s="240" t="s">
        <v>266</v>
      </c>
      <c r="AC10" s="254" t="s">
        <v>264</v>
      </c>
      <c r="AD10" s="254" t="s">
        <v>265</v>
      </c>
      <c r="AE10" s="240" t="s">
        <v>266</v>
      </c>
      <c r="AF10" s="254" t="s">
        <v>264</v>
      </c>
      <c r="AG10" s="254" t="s">
        <v>265</v>
      </c>
      <c r="AH10" s="240" t="s">
        <v>266</v>
      </c>
      <c r="AI10" s="254" t="s">
        <v>264</v>
      </c>
      <c r="AJ10" s="254" t="s">
        <v>265</v>
      </c>
      <c r="AK10" s="240" t="s">
        <v>266</v>
      </c>
      <c r="AL10" s="254" t="s">
        <v>264</v>
      </c>
      <c r="AM10" s="254" t="s">
        <v>265</v>
      </c>
      <c r="AN10" s="240" t="s">
        <v>266</v>
      </c>
      <c r="AO10" s="254" t="s">
        <v>264</v>
      </c>
      <c r="AP10" s="254" t="s">
        <v>265</v>
      </c>
      <c r="AQ10" s="240" t="s">
        <v>266</v>
      </c>
      <c r="AR10" s="458"/>
      <c r="AS10" s="507"/>
    </row>
    <row r="11" spans="1:47" s="234" customFormat="1" ht="12.75" customHeight="1">
      <c r="A11" s="494" t="s">
        <v>456</v>
      </c>
      <c r="B11" s="497" t="s">
        <v>445</v>
      </c>
      <c r="C11" s="498"/>
      <c r="D11" s="216" t="s">
        <v>443</v>
      </c>
      <c r="E11" s="149">
        <f>E12+E13+E15</f>
        <v>465751.4</v>
      </c>
      <c r="F11" s="149">
        <f>F12+F13+F15</f>
        <v>215176.09999999998</v>
      </c>
      <c r="G11" s="149">
        <f t="shared" ref="G11:G23" si="0">F11/E11*100</f>
        <v>46.199775244905325</v>
      </c>
      <c r="H11" s="149">
        <f>H12+H13+H15</f>
        <v>14185.499999999996</v>
      </c>
      <c r="I11" s="149">
        <f>I12+I13+I15</f>
        <v>13730.6</v>
      </c>
      <c r="J11" s="149">
        <f>I11/H11*100</f>
        <v>96.793204328363501</v>
      </c>
      <c r="K11" s="149">
        <f>K12+K13+K15</f>
        <v>44763.8</v>
      </c>
      <c r="L11" s="149">
        <f>L12+L13+L15</f>
        <v>43361.599999999991</v>
      </c>
      <c r="M11" s="149">
        <f>L11/K11*100</f>
        <v>96.867558160835287</v>
      </c>
      <c r="N11" s="149">
        <f>N12+N13+N15</f>
        <v>37815.5</v>
      </c>
      <c r="O11" s="149">
        <f>O12+O13+O15</f>
        <v>36498.700000000004</v>
      </c>
      <c r="P11" s="149">
        <f>O11/N11*100</f>
        <v>96.517829990347877</v>
      </c>
      <c r="Q11" s="149">
        <f>Q12+Q13+Q15</f>
        <v>40931</v>
      </c>
      <c r="R11" s="149">
        <f>R12+R13+R15</f>
        <v>40756.5</v>
      </c>
      <c r="S11" s="149">
        <f>R11/Q11*100</f>
        <v>99.573672766362904</v>
      </c>
      <c r="T11" s="149">
        <f>T12+T13+T15</f>
        <v>42476.3</v>
      </c>
      <c r="U11" s="149">
        <f>U12+U13+U15</f>
        <v>41214.000000000007</v>
      </c>
      <c r="V11" s="149">
        <f>U11/T11*100</f>
        <v>97.028225151437397</v>
      </c>
      <c r="W11" s="149">
        <f>W12+W13+W15</f>
        <v>40097.100000000006</v>
      </c>
      <c r="X11" s="149">
        <f>X12+X13+X15</f>
        <v>39614.699999999997</v>
      </c>
      <c r="Y11" s="149">
        <f>X11/W11*100</f>
        <v>98.796920475545591</v>
      </c>
      <c r="Z11" s="149">
        <f>Z12+Z13+Z15</f>
        <v>38558.899999999994</v>
      </c>
      <c r="AA11" s="149">
        <f>AA12+AA13+AA15</f>
        <v>0</v>
      </c>
      <c r="AB11" s="149">
        <f t="shared" ref="AB11:AB21" si="1">AA11/Z11*100</f>
        <v>0</v>
      </c>
      <c r="AC11" s="149">
        <f>AC12+AC13+AC15</f>
        <v>41532.400000000001</v>
      </c>
      <c r="AD11" s="149">
        <f>AD12+AD13+AD15</f>
        <v>0</v>
      </c>
      <c r="AE11" s="149">
        <f>AD11/AC11*100</f>
        <v>0</v>
      </c>
      <c r="AF11" s="149">
        <f>AF12+AF13+AF15</f>
        <v>45868.4</v>
      </c>
      <c r="AG11" s="149">
        <f>AG12+AG13+AG15</f>
        <v>0</v>
      </c>
      <c r="AH11" s="149">
        <f>AG11/AF11*100</f>
        <v>0</v>
      </c>
      <c r="AI11" s="149">
        <f>AI12+AI13+AI15</f>
        <v>33465.200000000004</v>
      </c>
      <c r="AJ11" s="149">
        <f>AJ12+AJ13+AJ15</f>
        <v>0</v>
      </c>
      <c r="AK11" s="149">
        <f t="shared" ref="AK11:AK13" si="2">AJ11/AI11*100</f>
        <v>0</v>
      </c>
      <c r="AL11" s="149">
        <f>AL12+AL13+AL15</f>
        <v>36075.900000000009</v>
      </c>
      <c r="AM11" s="149">
        <f>AM12+AM13+AM15</f>
        <v>0</v>
      </c>
      <c r="AN11" s="149">
        <f t="shared" ref="AN11:AN13" si="3">AM11/AL11*100</f>
        <v>0</v>
      </c>
      <c r="AO11" s="149">
        <f>AO12+AO13+AO15</f>
        <v>49981.4</v>
      </c>
      <c r="AP11" s="149">
        <f>AP12+AP13+AP15</f>
        <v>0</v>
      </c>
      <c r="AQ11" s="149" t="e">
        <f t="shared" ref="AQ11:AQ13" si="4">AO11/AP11*100</f>
        <v>#DIV/0!</v>
      </c>
      <c r="AR11" s="471"/>
      <c r="AS11" s="474"/>
      <c r="AT11" s="233"/>
    </row>
    <row r="12" spans="1:47" s="234" customFormat="1" ht="48">
      <c r="A12" s="495"/>
      <c r="B12" s="499"/>
      <c r="C12" s="500"/>
      <c r="D12" s="217" t="s">
        <v>441</v>
      </c>
      <c r="E12" s="149">
        <f>E18+E24+E29+E34+E39+E45</f>
        <v>107141.70000000001</v>
      </c>
      <c r="F12" s="149">
        <f>F18+F24+F29+F34+F39+F45</f>
        <v>38818.600000000006</v>
      </c>
      <c r="G12" s="149">
        <f t="shared" si="0"/>
        <v>36.231084629047331</v>
      </c>
      <c r="H12" s="149">
        <f>H18+H24+H29+H34+H39+H45</f>
        <v>425.9</v>
      </c>
      <c r="I12" s="149">
        <f>I18+I24+I29+I34+I39+I45</f>
        <v>156.19999999999999</v>
      </c>
      <c r="J12" s="149">
        <f t="shared" ref="J12:J13" si="5">I12/H12*100</f>
        <v>36.6752758863583</v>
      </c>
      <c r="K12" s="149">
        <f>K18+K24+K29+K34+K39+K45</f>
        <v>7249.9</v>
      </c>
      <c r="L12" s="149">
        <f>L18+L24+L29+L34+L39+L45</f>
        <v>6815.5</v>
      </c>
      <c r="M12" s="149">
        <f t="shared" ref="M12:M15" si="6">L12/K12*100</f>
        <v>94.008193216458153</v>
      </c>
      <c r="N12" s="149">
        <f>N18+N24+N29+N34+N39+N45</f>
        <v>7846.9</v>
      </c>
      <c r="O12" s="149">
        <f>O18+O24+O29+O34+O39+O45</f>
        <v>7532.5</v>
      </c>
      <c r="P12" s="149">
        <f t="shared" ref="P12:P15" si="7">O12/N12*100</f>
        <v>95.99332220367279</v>
      </c>
      <c r="Q12" s="149">
        <f>Q18+Q24+Q29+Q34+Q39+Q45</f>
        <v>7900.2000000000007</v>
      </c>
      <c r="R12" s="149">
        <f>R18+R24+R29+R34+R39+R45</f>
        <v>7745.9000000000005</v>
      </c>
      <c r="S12" s="149">
        <f t="shared" ref="S12:S15" si="8">R12/Q12*100</f>
        <v>98.046884888990149</v>
      </c>
      <c r="T12" s="149">
        <f>T18+T24+T29+T34+T39+T45</f>
        <v>8487.8000000000011</v>
      </c>
      <c r="U12" s="149">
        <f>U18+U24+U29+U34+U39+U45</f>
        <v>8368.6</v>
      </c>
      <c r="V12" s="149">
        <f t="shared" ref="V12:V15" si="9">U12/T12*100</f>
        <v>98.595631376799631</v>
      </c>
      <c r="W12" s="149">
        <f>W18+W24+W29+W34+W39+W45</f>
        <v>8208.2000000000007</v>
      </c>
      <c r="X12" s="149">
        <f>X18+X24+X29+X34+X39+X45</f>
        <v>8199.9</v>
      </c>
      <c r="Y12" s="149">
        <f t="shared" ref="Y12:Y15" si="10">X12/W12*100</f>
        <v>99.898881606198671</v>
      </c>
      <c r="Z12" s="149">
        <f>Z18+Z24+Z29+Z34+Z39+Z45</f>
        <v>10428.699999999999</v>
      </c>
      <c r="AA12" s="149">
        <f>AA18+AA24+AA29+AA34+AA39+AA45</f>
        <v>0</v>
      </c>
      <c r="AB12" s="149">
        <f t="shared" si="1"/>
        <v>0</v>
      </c>
      <c r="AC12" s="149">
        <f>AC18+AC24+AC29+AC34+AC39+AC45</f>
        <v>9667.7999999999993</v>
      </c>
      <c r="AD12" s="149">
        <f>AD18+AD24+AD29+AD34+AD39+AD45</f>
        <v>0</v>
      </c>
      <c r="AE12" s="149">
        <f t="shared" ref="AE12:AE35" si="11">AD12/AC12*100</f>
        <v>0</v>
      </c>
      <c r="AF12" s="149">
        <f>AF18+AF24+AF29+AF34+AF39+AF45</f>
        <v>9739.7999999999993</v>
      </c>
      <c r="AG12" s="149">
        <f>AG18+AG24+AG29+AG34+AG39+AG45</f>
        <v>0</v>
      </c>
      <c r="AH12" s="149">
        <f>AG12/AF12*100</f>
        <v>0</v>
      </c>
      <c r="AI12" s="149">
        <f>AI18+AI24+AI29+AI34+AI39+AI45</f>
        <v>7895.2999999999993</v>
      </c>
      <c r="AJ12" s="149">
        <f>AJ18+AJ24+AJ29+AJ34+AJ39+AJ45</f>
        <v>0</v>
      </c>
      <c r="AK12" s="149">
        <f t="shared" si="2"/>
        <v>0</v>
      </c>
      <c r="AL12" s="149">
        <f>AL18+AL24+AL29+AL34+AL39+AL45</f>
        <v>7525.1</v>
      </c>
      <c r="AM12" s="149">
        <f>AM18+AM24+AM29+AM34+AM39+AM45</f>
        <v>0</v>
      </c>
      <c r="AN12" s="149">
        <f t="shared" si="3"/>
        <v>0</v>
      </c>
      <c r="AO12" s="149">
        <f>AO18+AO24+AO29+AO34+AO39+AO45</f>
        <v>21766.100000000002</v>
      </c>
      <c r="AP12" s="149">
        <f>AP18+AP24+AP29+AP34+AP39+AP45</f>
        <v>0</v>
      </c>
      <c r="AQ12" s="149" t="e">
        <f t="shared" si="4"/>
        <v>#DIV/0!</v>
      </c>
      <c r="AR12" s="472"/>
      <c r="AS12" s="475"/>
      <c r="AT12" s="233"/>
      <c r="AU12" s="233"/>
    </row>
    <row r="13" spans="1:47" s="234" customFormat="1" ht="12.75" customHeight="1">
      <c r="A13" s="495"/>
      <c r="B13" s="499"/>
      <c r="C13" s="500"/>
      <c r="D13" s="217" t="s">
        <v>455</v>
      </c>
      <c r="E13" s="149">
        <f>E19+E25+E30+E35+E40</f>
        <v>353640</v>
      </c>
      <c r="F13" s="149">
        <f>F19+F25+F30+F35+F40</f>
        <v>174182.09999999998</v>
      </c>
      <c r="G13" s="149">
        <f t="shared" si="0"/>
        <v>49.254071937563616</v>
      </c>
      <c r="H13" s="149">
        <f>H19+H25+H30+H35+H40</f>
        <v>13659.599999999997</v>
      </c>
      <c r="I13" s="149">
        <f>I19+I25+I30+I35+I40</f>
        <v>13482.4</v>
      </c>
      <c r="J13" s="149">
        <f t="shared" si="5"/>
        <v>98.702743857799675</v>
      </c>
      <c r="K13" s="149">
        <f>K19+K25+K30+K35+K40</f>
        <v>36944</v>
      </c>
      <c r="L13" s="149">
        <f>L19+L25+L30+L35+L40</f>
        <v>35986.499999999993</v>
      </c>
      <c r="M13" s="149">
        <f t="shared" si="6"/>
        <v>97.408239497617998</v>
      </c>
      <c r="N13" s="149">
        <f>N19+N25+N30+N35+N40</f>
        <v>29830.2</v>
      </c>
      <c r="O13" s="149">
        <f>O19+O25+O30+O35+O40</f>
        <v>28827.800000000003</v>
      </c>
      <c r="P13" s="149">
        <f t="shared" si="7"/>
        <v>96.639647069077654</v>
      </c>
      <c r="Q13" s="149">
        <f>Q19+Q25+Q30+Q35+Q40</f>
        <v>32525.3</v>
      </c>
      <c r="R13" s="149">
        <f>R19+R25+R30+R35+R40</f>
        <v>32511.100000000002</v>
      </c>
      <c r="S13" s="149">
        <f t="shared" si="8"/>
        <v>99.956341678631716</v>
      </c>
      <c r="T13" s="149">
        <f>T19+T25+T30+T35+T40</f>
        <v>33438.1</v>
      </c>
      <c r="U13" s="149">
        <f>U19+U25+U30+U35+U40</f>
        <v>32297.600000000002</v>
      </c>
      <c r="V13" s="149">
        <f t="shared" si="9"/>
        <v>96.589220081284537</v>
      </c>
      <c r="W13" s="149">
        <f>W19+W25+W30+W35+W40</f>
        <v>31440.200000000004</v>
      </c>
      <c r="X13" s="149">
        <f>X19+X25+X30+X35+X40</f>
        <v>31076.7</v>
      </c>
      <c r="Y13" s="149">
        <f t="shared" si="10"/>
        <v>98.843836871266717</v>
      </c>
      <c r="Z13" s="149">
        <f>Z19+Z25+Z30+Z35+Z40</f>
        <v>27798</v>
      </c>
      <c r="AA13" s="149">
        <f>AA19+AA25+AA30+AA35+AA40</f>
        <v>0</v>
      </c>
      <c r="AB13" s="149">
        <f t="shared" si="1"/>
        <v>0</v>
      </c>
      <c r="AC13" s="149">
        <f>AC19+AC25+AC30+AC35+AC40</f>
        <v>31448.7</v>
      </c>
      <c r="AD13" s="149">
        <f>AD19+AD25+AD30+AD35+AD40</f>
        <v>0</v>
      </c>
      <c r="AE13" s="149">
        <f t="shared" si="11"/>
        <v>0</v>
      </c>
      <c r="AF13" s="149">
        <f>AF19+AF25+AF30+AF35+AF40</f>
        <v>35721.199999999997</v>
      </c>
      <c r="AG13" s="149">
        <f>AG19+AG25+AG30+AG35+AG40</f>
        <v>0</v>
      </c>
      <c r="AH13" s="149">
        <f>AG13/AF13*100</f>
        <v>0</v>
      </c>
      <c r="AI13" s="149">
        <f>AI19+AI25+AI30+AI35+AI40</f>
        <v>25163.000000000004</v>
      </c>
      <c r="AJ13" s="149">
        <f>AJ19+AJ25+AJ30+AJ35+AJ40</f>
        <v>0</v>
      </c>
      <c r="AK13" s="149">
        <f t="shared" si="2"/>
        <v>0</v>
      </c>
      <c r="AL13" s="149">
        <f>AL19+AL25+AL30+AL35+AL40</f>
        <v>28234.500000000004</v>
      </c>
      <c r="AM13" s="149">
        <f>AM19+AM25+AM30+AM35+AM40</f>
        <v>0</v>
      </c>
      <c r="AN13" s="149">
        <f t="shared" si="3"/>
        <v>0</v>
      </c>
      <c r="AO13" s="149">
        <f>AO19+AO25+AO30+AO35+AO40</f>
        <v>27437.200000000001</v>
      </c>
      <c r="AP13" s="149">
        <f>AP19+AP25+AP30+AP35+AP40</f>
        <v>0</v>
      </c>
      <c r="AQ13" s="149" t="e">
        <f t="shared" si="4"/>
        <v>#DIV/0!</v>
      </c>
      <c r="AR13" s="472"/>
      <c r="AS13" s="475"/>
      <c r="AT13" s="233"/>
      <c r="AU13" s="233"/>
    </row>
    <row r="14" spans="1:47" s="234" customFormat="1" ht="58.5" customHeight="1">
      <c r="A14" s="495"/>
      <c r="B14" s="499"/>
      <c r="C14" s="500"/>
      <c r="D14" s="259" t="s">
        <v>501</v>
      </c>
      <c r="E14" s="260">
        <f>H14+K14+N14+Q14+T14+W14+Z14+AC14+AF14+AI14+AL14+AO14</f>
        <v>3649.6000000000004</v>
      </c>
      <c r="F14" s="260">
        <f t="shared" ref="F14" si="12">I14+L14+O14+R14+U14+X14+AA14+AD14+AG14+AJ14+AM14+AP14</f>
        <v>2430.5</v>
      </c>
      <c r="G14" s="260">
        <f>F14/E14*100</f>
        <v>66.59633932485751</v>
      </c>
      <c r="H14" s="260">
        <f>H20+H41</f>
        <v>0</v>
      </c>
      <c r="I14" s="260">
        <f>I20+I41</f>
        <v>0</v>
      </c>
      <c r="J14" s="260">
        <v>0</v>
      </c>
      <c r="K14" s="260">
        <f>K20+K41</f>
        <v>150.5</v>
      </c>
      <c r="L14" s="260">
        <f>L20+L41</f>
        <v>150.5</v>
      </c>
      <c r="M14" s="260">
        <f>L14/K14*100</f>
        <v>100</v>
      </c>
      <c r="N14" s="260">
        <f>N20+N41</f>
        <v>70.400000000000091</v>
      </c>
      <c r="O14" s="260">
        <f>O20+O41</f>
        <v>61</v>
      </c>
      <c r="P14" s="260">
        <f>O14/N14*100</f>
        <v>86.647727272727167</v>
      </c>
      <c r="Q14" s="260">
        <f t="shared" ref="Q14:AO14" si="13">Q20+Q41</f>
        <v>24.6</v>
      </c>
      <c r="R14" s="260">
        <f t="shared" si="13"/>
        <v>24.6</v>
      </c>
      <c r="S14" s="260">
        <f t="shared" si="13"/>
        <v>100</v>
      </c>
      <c r="T14" s="260">
        <f t="shared" si="13"/>
        <v>1221.8000000000002</v>
      </c>
      <c r="U14" s="260">
        <f t="shared" si="13"/>
        <v>928.5</v>
      </c>
      <c r="V14" s="260">
        <f t="shared" si="13"/>
        <v>141.23422159887798</v>
      </c>
      <c r="W14" s="260">
        <f t="shared" si="13"/>
        <v>1500</v>
      </c>
      <c r="X14" s="260">
        <f t="shared" si="13"/>
        <v>1265.9000000000001</v>
      </c>
      <c r="Y14" s="260">
        <f t="shared" si="13"/>
        <v>84.393333333333345</v>
      </c>
      <c r="Z14" s="260">
        <f t="shared" si="13"/>
        <v>0</v>
      </c>
      <c r="AA14" s="260">
        <f t="shared" si="13"/>
        <v>0</v>
      </c>
      <c r="AB14" s="260">
        <f t="shared" si="13"/>
        <v>0</v>
      </c>
      <c r="AC14" s="260">
        <f t="shared" si="13"/>
        <v>0</v>
      </c>
      <c r="AD14" s="260">
        <f t="shared" si="13"/>
        <v>0</v>
      </c>
      <c r="AE14" s="260">
        <f t="shared" si="13"/>
        <v>0</v>
      </c>
      <c r="AF14" s="260">
        <f t="shared" si="13"/>
        <v>0</v>
      </c>
      <c r="AG14" s="260">
        <f t="shared" si="13"/>
        <v>0</v>
      </c>
      <c r="AH14" s="260">
        <f t="shared" si="13"/>
        <v>0</v>
      </c>
      <c r="AI14" s="260">
        <f t="shared" si="13"/>
        <v>682.3</v>
      </c>
      <c r="AJ14" s="260">
        <f t="shared" si="13"/>
        <v>0</v>
      </c>
      <c r="AK14" s="260" t="e">
        <f t="shared" si="13"/>
        <v>#DIV/0!</v>
      </c>
      <c r="AL14" s="260">
        <f t="shared" si="13"/>
        <v>0</v>
      </c>
      <c r="AM14" s="260">
        <f t="shared" si="13"/>
        <v>0</v>
      </c>
      <c r="AN14" s="260" t="e">
        <f t="shared" si="13"/>
        <v>#DIV/0!</v>
      </c>
      <c r="AO14" s="260">
        <f t="shared" si="13"/>
        <v>0</v>
      </c>
      <c r="AP14" s="149"/>
      <c r="AQ14" s="149"/>
      <c r="AR14" s="472"/>
      <c r="AS14" s="475"/>
      <c r="AT14" s="233"/>
      <c r="AU14" s="233"/>
    </row>
    <row r="15" spans="1:47" s="234" customFormat="1" ht="24">
      <c r="A15" s="495"/>
      <c r="B15" s="499"/>
      <c r="C15" s="500"/>
      <c r="D15" s="218" t="s">
        <v>257</v>
      </c>
      <c r="E15" s="149">
        <f>E21+E26+E36+E47</f>
        <v>4969.7</v>
      </c>
      <c r="F15" s="149">
        <f>F21+F26+F36+F47</f>
        <v>2175.4</v>
      </c>
      <c r="G15" s="149">
        <f>F15/E15*100</f>
        <v>43.773265991910982</v>
      </c>
      <c r="H15" s="149">
        <f>H21+H26+H36+H47</f>
        <v>100</v>
      </c>
      <c r="I15" s="149">
        <f>I21+I26+I36+I47</f>
        <v>92</v>
      </c>
      <c r="J15" s="149">
        <v>0</v>
      </c>
      <c r="K15" s="149">
        <f>K21+K26+K36+K47</f>
        <v>569.9</v>
      </c>
      <c r="L15" s="149">
        <f>L21+L26+L36+L47</f>
        <v>559.6</v>
      </c>
      <c r="M15" s="149">
        <f t="shared" si="6"/>
        <v>98.192665379891224</v>
      </c>
      <c r="N15" s="149">
        <f>N21+N26+N36+N47</f>
        <v>138.4</v>
      </c>
      <c r="O15" s="149">
        <f>O21+O26+O36+O47</f>
        <v>138.4</v>
      </c>
      <c r="P15" s="149">
        <f t="shared" si="7"/>
        <v>100</v>
      </c>
      <c r="Q15" s="149">
        <f>Q21+Q26+Q36+Q47</f>
        <v>505.5</v>
      </c>
      <c r="R15" s="149">
        <f>R21+R26+R36+R47</f>
        <v>499.5</v>
      </c>
      <c r="S15" s="149">
        <f t="shared" si="8"/>
        <v>98.813056379821958</v>
      </c>
      <c r="T15" s="149">
        <f>T21+T26+T36+T47</f>
        <v>550.4</v>
      </c>
      <c r="U15" s="149">
        <f>U21+U26+U36+U47</f>
        <v>547.79999999999995</v>
      </c>
      <c r="V15" s="149">
        <f t="shared" si="9"/>
        <v>99.527616279069761</v>
      </c>
      <c r="W15" s="149">
        <f>W21+W26+W36+W47</f>
        <v>448.7</v>
      </c>
      <c r="X15" s="149">
        <f>X21+X26+X36+X47</f>
        <v>338.1</v>
      </c>
      <c r="Y15" s="149">
        <f t="shared" si="10"/>
        <v>75.351014040561623</v>
      </c>
      <c r="Z15" s="149">
        <f>Z21+Z26+Z36+Z47</f>
        <v>332.2</v>
      </c>
      <c r="AA15" s="149">
        <f>AA21+AA26+AA36+AA47</f>
        <v>0</v>
      </c>
      <c r="AB15" s="149">
        <f t="shared" si="1"/>
        <v>0</v>
      </c>
      <c r="AC15" s="149">
        <f>AC21+AC26+AC36+AC47</f>
        <v>415.9</v>
      </c>
      <c r="AD15" s="149">
        <f>AD21+AD26+AD36+AD47</f>
        <v>0</v>
      </c>
      <c r="AE15" s="149">
        <f t="shared" si="11"/>
        <v>0</v>
      </c>
      <c r="AF15" s="149">
        <f>AF21+AF26+AF36+AF47</f>
        <v>407.4</v>
      </c>
      <c r="AG15" s="149">
        <f>AG21+AG26+AG36+AG47</f>
        <v>0</v>
      </c>
      <c r="AH15" s="149">
        <f>AG15/AF15*100</f>
        <v>0</v>
      </c>
      <c r="AI15" s="149">
        <f>AI21+AI26+AI36+AI47</f>
        <v>406.9</v>
      </c>
      <c r="AJ15" s="149">
        <f>AJ21+AJ26+AJ36+AJ47</f>
        <v>0</v>
      </c>
      <c r="AK15" s="149">
        <f>AJ15/AI15*100</f>
        <v>0</v>
      </c>
      <c r="AL15" s="149">
        <f>AL21+AL26+AL36+AL47</f>
        <v>316.3</v>
      </c>
      <c r="AM15" s="149">
        <f>AM21+AM26+AM36+AM47</f>
        <v>0</v>
      </c>
      <c r="AN15" s="149">
        <f>AM15/AL15*100</f>
        <v>0</v>
      </c>
      <c r="AO15" s="149">
        <f>AO21+AO26+AO36+AO47</f>
        <v>778.1</v>
      </c>
      <c r="AP15" s="149">
        <f>AP21+AP26+AP36+AP47</f>
        <v>0</v>
      </c>
      <c r="AQ15" s="149" t="e">
        <f>AO15/AP15*100</f>
        <v>#DIV/0!</v>
      </c>
      <c r="AR15" s="472"/>
      <c r="AS15" s="475"/>
      <c r="AT15" s="233"/>
      <c r="AU15" s="233"/>
    </row>
    <row r="16" spans="1:47" s="234" customFormat="1" ht="24">
      <c r="A16" s="496"/>
      <c r="B16" s="501"/>
      <c r="C16" s="502"/>
      <c r="D16" s="218" t="s">
        <v>460</v>
      </c>
      <c r="E16" s="149">
        <f>H16+K16+N16+Q16+T16+W16+Z16+AC16+AF16+AI16+AL16+AO16</f>
        <v>0</v>
      </c>
      <c r="F16" s="149">
        <f>I16+L16+O16+R16+U16+X16+AA16+AD16+AG16+AJ16+AM16+AP16</f>
        <v>0</v>
      </c>
      <c r="G16" s="149">
        <v>0</v>
      </c>
      <c r="H16" s="149">
        <v>0</v>
      </c>
      <c r="I16" s="149">
        <v>0</v>
      </c>
      <c r="J16" s="149">
        <v>0</v>
      </c>
      <c r="K16" s="241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225">
        <v>0</v>
      </c>
      <c r="U16" s="225">
        <v>0</v>
      </c>
      <c r="V16" s="149">
        <v>0</v>
      </c>
      <c r="W16" s="225">
        <v>0</v>
      </c>
      <c r="X16" s="225">
        <v>0</v>
      </c>
      <c r="Y16" s="225">
        <v>0</v>
      </c>
      <c r="Z16" s="225">
        <v>0</v>
      </c>
      <c r="AA16" s="225">
        <v>0</v>
      </c>
      <c r="AB16" s="225">
        <v>0</v>
      </c>
      <c r="AC16" s="225">
        <v>0</v>
      </c>
      <c r="AD16" s="225">
        <v>0</v>
      </c>
      <c r="AE16" s="225">
        <v>0</v>
      </c>
      <c r="AF16" s="225">
        <v>0</v>
      </c>
      <c r="AG16" s="225">
        <v>0</v>
      </c>
      <c r="AH16" s="149">
        <v>0</v>
      </c>
      <c r="AI16" s="149">
        <v>0</v>
      </c>
      <c r="AJ16" s="149">
        <v>0</v>
      </c>
      <c r="AK16" s="149">
        <v>0</v>
      </c>
      <c r="AL16" s="225">
        <v>0</v>
      </c>
      <c r="AM16" s="225">
        <v>0</v>
      </c>
      <c r="AN16" s="225">
        <v>0</v>
      </c>
      <c r="AO16" s="149">
        <v>0</v>
      </c>
      <c r="AP16" s="149">
        <v>0</v>
      </c>
      <c r="AQ16" s="149">
        <v>0</v>
      </c>
      <c r="AR16" s="473"/>
      <c r="AS16" s="476"/>
      <c r="AT16" s="233"/>
    </row>
    <row r="17" spans="1:50" s="230" customFormat="1" ht="83.25" customHeight="1">
      <c r="A17" s="485" t="s">
        <v>2</v>
      </c>
      <c r="B17" s="488" t="s">
        <v>461</v>
      </c>
      <c r="C17" s="482" t="s">
        <v>491</v>
      </c>
      <c r="D17" s="219" t="s">
        <v>443</v>
      </c>
      <c r="E17" s="123">
        <f>E18+E19+E21</f>
        <v>309506.7</v>
      </c>
      <c r="F17" s="123">
        <f>F18+F19+F21</f>
        <v>144075.49999999997</v>
      </c>
      <c r="G17" s="123">
        <f t="shared" si="0"/>
        <v>46.550042373880743</v>
      </c>
      <c r="H17" s="123">
        <f t="shared" ref="H17:I17" si="14">H18+H19+H21</f>
        <v>9177.4999999999982</v>
      </c>
      <c r="I17" s="123">
        <f t="shared" si="14"/>
        <v>8809.6</v>
      </c>
      <c r="J17" s="123">
        <f>I17/H17*100</f>
        <v>95.991283029147382</v>
      </c>
      <c r="K17" s="123">
        <f t="shared" ref="K17:L17" si="15">K18+K19+K21</f>
        <v>32233.4</v>
      </c>
      <c r="L17" s="123">
        <f t="shared" si="15"/>
        <v>31480.699999999997</v>
      </c>
      <c r="M17" s="123">
        <f>L17/K17*100</f>
        <v>97.664844540135377</v>
      </c>
      <c r="N17" s="123">
        <f t="shared" ref="N17:O17" si="16">N18+N19+N21</f>
        <v>26560.5</v>
      </c>
      <c r="O17" s="123">
        <f t="shared" si="16"/>
        <v>26153.5</v>
      </c>
      <c r="P17" s="123">
        <f>O17/N17*100</f>
        <v>98.467649328890644</v>
      </c>
      <c r="Q17" s="123">
        <f t="shared" ref="Q17:AO17" si="17">Q18+Q19+Q21</f>
        <v>26499.100000000002</v>
      </c>
      <c r="R17" s="123">
        <f t="shared" si="17"/>
        <v>26156.300000000003</v>
      </c>
      <c r="S17" s="123">
        <f t="shared" si="17"/>
        <v>296.93338691048694</v>
      </c>
      <c r="T17" s="123">
        <f t="shared" si="17"/>
        <v>26984.400000000001</v>
      </c>
      <c r="U17" s="123">
        <f t="shared" si="17"/>
        <v>25542.399999999998</v>
      </c>
      <c r="V17" s="123">
        <f t="shared" si="17"/>
        <v>291.03781547261269</v>
      </c>
      <c r="W17" s="123">
        <f t="shared" si="17"/>
        <v>26410.100000000002</v>
      </c>
      <c r="X17" s="123">
        <f t="shared" si="17"/>
        <v>25932.999999999996</v>
      </c>
      <c r="Y17" s="123">
        <f t="shared" si="17"/>
        <v>273.29353503815588</v>
      </c>
      <c r="Z17" s="123">
        <f t="shared" si="17"/>
        <v>23984.600000000002</v>
      </c>
      <c r="AA17" s="123">
        <f t="shared" si="17"/>
        <v>0</v>
      </c>
      <c r="AB17" s="123">
        <f t="shared" si="17"/>
        <v>0</v>
      </c>
      <c r="AC17" s="123">
        <f t="shared" si="17"/>
        <v>26624.3</v>
      </c>
      <c r="AD17" s="123">
        <f t="shared" si="17"/>
        <v>0</v>
      </c>
      <c r="AE17" s="123">
        <f t="shared" si="17"/>
        <v>0</v>
      </c>
      <c r="AF17" s="123">
        <f t="shared" si="17"/>
        <v>32155.800000000003</v>
      </c>
      <c r="AG17" s="123">
        <f t="shared" si="17"/>
        <v>0</v>
      </c>
      <c r="AH17" s="123">
        <f t="shared" si="17"/>
        <v>0</v>
      </c>
      <c r="AI17" s="123">
        <f t="shared" si="17"/>
        <v>21775.1</v>
      </c>
      <c r="AJ17" s="123">
        <f t="shared" si="17"/>
        <v>0</v>
      </c>
      <c r="AK17" s="123">
        <f t="shared" si="17"/>
        <v>0</v>
      </c>
      <c r="AL17" s="123">
        <f t="shared" si="17"/>
        <v>21828.7</v>
      </c>
      <c r="AM17" s="123">
        <f t="shared" si="17"/>
        <v>0</v>
      </c>
      <c r="AN17" s="123">
        <f t="shared" si="17"/>
        <v>0</v>
      </c>
      <c r="AO17" s="123">
        <f t="shared" si="17"/>
        <v>35273.200000000004</v>
      </c>
      <c r="AP17" s="123">
        <f>SUM(AP18:AP21)</f>
        <v>0</v>
      </c>
      <c r="AQ17" s="123">
        <f>SUM(AQ18:AQ21)</f>
        <v>0</v>
      </c>
      <c r="AR17" s="423" t="s">
        <v>512</v>
      </c>
      <c r="AS17" s="491" t="s">
        <v>516</v>
      </c>
      <c r="AT17" s="228"/>
      <c r="AU17" s="228"/>
      <c r="AV17" s="229"/>
      <c r="AX17" s="228"/>
    </row>
    <row r="18" spans="1:50" s="230" customFormat="1" ht="72" customHeight="1">
      <c r="A18" s="486"/>
      <c r="B18" s="489"/>
      <c r="C18" s="483"/>
      <c r="D18" s="220" t="s">
        <v>441</v>
      </c>
      <c r="E18" s="123">
        <f>H18+K18+N18+Q18+T18+W18+Z18+AC18+AF18+AI18+AL18+AO18</f>
        <v>98065.400000000009</v>
      </c>
      <c r="F18" s="123">
        <f>I18+L18+O18+R18+U18+X18+AA18+AD18+AG18+AJ18+AM18+AP18</f>
        <v>36841.800000000003</v>
      </c>
      <c r="G18" s="123">
        <f t="shared" si="0"/>
        <v>37.568602177730369</v>
      </c>
      <c r="H18" s="123">
        <f>283.9+142</f>
        <v>425.9</v>
      </c>
      <c r="I18" s="123">
        <v>156.19999999999999</v>
      </c>
      <c r="J18" s="123">
        <f>I18/H18*100</f>
        <v>36.6752758863583</v>
      </c>
      <c r="K18" s="123">
        <f>414.7+5550+1277.2+145.2+59.3-196.5</f>
        <v>7249.9</v>
      </c>
      <c r="L18" s="123">
        <v>6815.5</v>
      </c>
      <c r="M18" s="123">
        <f>L18/K18*100</f>
        <v>94.008193216458153</v>
      </c>
      <c r="N18" s="123">
        <f>75.4+5550+25.7+1788+145.2-100</f>
        <v>7484.2999999999993</v>
      </c>
      <c r="O18" s="123">
        <v>7405.6</v>
      </c>
      <c r="P18" s="123">
        <f>O18/N18*100</f>
        <v>98.948465454351123</v>
      </c>
      <c r="Q18" s="123">
        <f>73.1+5550+1315.1+203+63.2+100</f>
        <v>7304.4000000000005</v>
      </c>
      <c r="R18" s="123">
        <v>7295.1</v>
      </c>
      <c r="S18" s="123">
        <f>R18/Q18*100</f>
        <v>99.872679480860853</v>
      </c>
      <c r="T18" s="221">
        <f>73.1+6209.8+1199.5+203.5</f>
        <v>7685.9000000000005</v>
      </c>
      <c r="U18" s="221">
        <v>7580.1</v>
      </c>
      <c r="V18" s="117">
        <f t="shared" ref="V18:V21" si="18">U18/T18*100</f>
        <v>98.62345333662941</v>
      </c>
      <c r="W18" s="123">
        <f>63+5600+177.1+1445.1+203+94.9-0.1+14.3</f>
        <v>7597.3</v>
      </c>
      <c r="X18" s="123">
        <v>7589.3</v>
      </c>
      <c r="Y18" s="117">
        <f t="shared" ref="Y18:Y21" si="19">X18/W18*100</f>
        <v>99.894699432693187</v>
      </c>
      <c r="Z18" s="123">
        <f>88.5+7022.7+1565.7+95-146</f>
        <v>8625.9</v>
      </c>
      <c r="AA18" s="123">
        <v>0</v>
      </c>
      <c r="AB18" s="117">
        <f t="shared" si="1"/>
        <v>0</v>
      </c>
      <c r="AC18" s="221">
        <f>49.4+5650+1663.9+95+11.5+446.8</f>
        <v>7916.5999999999995</v>
      </c>
      <c r="AD18" s="221">
        <v>0</v>
      </c>
      <c r="AE18" s="117">
        <f t="shared" si="11"/>
        <v>0</v>
      </c>
      <c r="AF18" s="221">
        <f>51.3+5650+131.6+1017.5+95.2+1564.9</f>
        <v>8510.5</v>
      </c>
      <c r="AG18" s="222">
        <v>0</v>
      </c>
      <c r="AH18" s="123">
        <f t="shared" ref="AH18:AH21" si="20">AG18/AF18*100</f>
        <v>0</v>
      </c>
      <c r="AI18" s="221">
        <f>69.4+5650+1332.4+121</f>
        <v>7172.7999999999993</v>
      </c>
      <c r="AJ18" s="221">
        <v>0</v>
      </c>
      <c r="AK18" s="221">
        <f>AJ18/AI18*100</f>
        <v>0</v>
      </c>
      <c r="AL18" s="221">
        <f>73.1+5700+905.2+121+23.5</f>
        <v>6822.8</v>
      </c>
      <c r="AM18" s="221">
        <v>0</v>
      </c>
      <c r="AN18" s="221">
        <f>AM18/AL18*100</f>
        <v>0</v>
      </c>
      <c r="AO18" s="221">
        <f>210.3+16860.7+10.2+4330.7+121.7+0.1-264.6</f>
        <v>21269.100000000002</v>
      </c>
      <c r="AP18" s="123">
        <v>0</v>
      </c>
      <c r="AQ18" s="123">
        <f>AP18/AO18*100</f>
        <v>0</v>
      </c>
      <c r="AR18" s="424"/>
      <c r="AS18" s="492"/>
      <c r="AT18" s="233"/>
      <c r="AU18" s="233"/>
      <c r="AV18" s="229"/>
      <c r="AX18" s="228"/>
    </row>
    <row r="19" spans="1:50" s="230" customFormat="1" ht="108.75" customHeight="1">
      <c r="A19" s="486"/>
      <c r="B19" s="489"/>
      <c r="C19" s="483"/>
      <c r="D19" s="220" t="s">
        <v>454</v>
      </c>
      <c r="E19" s="123">
        <f t="shared" ref="E19:F21" si="21">H19+K19+N19+Q19+T19+W19+Z19+AC19+AF19+AI19+AL19+AO19</f>
        <v>206471.59999999998</v>
      </c>
      <c r="F19" s="123">
        <f t="shared" si="21"/>
        <v>105058.29999999999</v>
      </c>
      <c r="G19" s="123">
        <f t="shared" si="0"/>
        <v>50.882687982269715</v>
      </c>
      <c r="H19" s="123">
        <f>4572.9+4778.7-700</f>
        <v>8651.5999999999985</v>
      </c>
      <c r="I19" s="123">
        <v>8561.4</v>
      </c>
      <c r="J19" s="123">
        <f>I19/H19*100</f>
        <v>98.957418281011627</v>
      </c>
      <c r="K19" s="123">
        <f>11769+13000-355.4</f>
        <v>24413.599999999999</v>
      </c>
      <c r="L19" s="123">
        <v>24105.599999999999</v>
      </c>
      <c r="M19" s="123">
        <f>L19/K19*100</f>
        <v>98.738408100403049</v>
      </c>
      <c r="N19" s="123">
        <f>29202.5+2935.3-13000-200</f>
        <v>18937.8</v>
      </c>
      <c r="O19" s="123">
        <v>18609.5</v>
      </c>
      <c r="P19" s="123">
        <f>O19/N19*100</f>
        <v>98.266430102757454</v>
      </c>
      <c r="Q19" s="123">
        <f>14189.2+4500</f>
        <v>18689.2</v>
      </c>
      <c r="R19" s="123">
        <v>18361.7</v>
      </c>
      <c r="S19" s="123">
        <f>R19/Q19*100</f>
        <v>98.247651049804162</v>
      </c>
      <c r="T19" s="221">
        <f>11223+3000+4525.1</f>
        <v>18748.099999999999</v>
      </c>
      <c r="U19" s="221">
        <v>17414.5</v>
      </c>
      <c r="V19" s="117">
        <f t="shared" si="18"/>
        <v>92.886745856913507</v>
      </c>
      <c r="W19" s="123">
        <f>21241.9+3733.4+30-1641.2-5000</f>
        <v>18364.100000000002</v>
      </c>
      <c r="X19" s="123">
        <v>18005.599999999999</v>
      </c>
      <c r="Y19" s="117">
        <f t="shared" si="19"/>
        <v>98.047821564901056</v>
      </c>
      <c r="Z19" s="123">
        <f>14315.6+0.1+710.8</f>
        <v>15026.5</v>
      </c>
      <c r="AA19" s="123">
        <v>0</v>
      </c>
      <c r="AB19" s="117">
        <f t="shared" si="1"/>
        <v>0</v>
      </c>
      <c r="AC19" s="221">
        <f>11979.5+6312.3</f>
        <v>18291.8</v>
      </c>
      <c r="AD19" s="221">
        <v>0</v>
      </c>
      <c r="AE19" s="117">
        <f t="shared" si="11"/>
        <v>0</v>
      </c>
      <c r="AF19" s="221">
        <f>23738.7-500.8</f>
        <v>23237.9</v>
      </c>
      <c r="AG19" s="222">
        <v>0</v>
      </c>
      <c r="AH19" s="123">
        <f t="shared" si="20"/>
        <v>0</v>
      </c>
      <c r="AI19" s="221">
        <v>14195.4</v>
      </c>
      <c r="AJ19" s="221">
        <v>0</v>
      </c>
      <c r="AK19" s="221">
        <f>AJ19/AI19*100</f>
        <v>0</v>
      </c>
      <c r="AL19" s="221">
        <f>11442.6+3247</f>
        <v>14689.6</v>
      </c>
      <c r="AM19" s="221">
        <v>0</v>
      </c>
      <c r="AN19" s="221">
        <f>AM19/AL19*100</f>
        <v>0</v>
      </c>
      <c r="AO19" s="221">
        <f>20904.2+3-0.1-2636.7-5044.4</f>
        <v>13226.000000000002</v>
      </c>
      <c r="AP19" s="123">
        <v>0</v>
      </c>
      <c r="AQ19" s="123">
        <f>AP19/AO19*100</f>
        <v>0</v>
      </c>
      <c r="AR19" s="424"/>
      <c r="AS19" s="492"/>
      <c r="AT19" s="233"/>
      <c r="AU19" s="233"/>
      <c r="AV19" s="229"/>
      <c r="AX19" s="228"/>
    </row>
    <row r="20" spans="1:50" s="230" customFormat="1" ht="119.25" customHeight="1">
      <c r="A20" s="486"/>
      <c r="B20" s="489"/>
      <c r="C20" s="483"/>
      <c r="D20" s="259" t="s">
        <v>501</v>
      </c>
      <c r="E20" s="260">
        <f t="shared" si="21"/>
        <v>523.70000000000005</v>
      </c>
      <c r="F20" s="260">
        <f t="shared" si="21"/>
        <v>230.4</v>
      </c>
      <c r="G20" s="260">
        <f>F20/E20*100</f>
        <v>43.99465342753485</v>
      </c>
      <c r="H20" s="260">
        <v>0</v>
      </c>
      <c r="I20" s="260">
        <v>0</v>
      </c>
      <c r="J20" s="260">
        <v>0</v>
      </c>
      <c r="K20" s="260">
        <v>0</v>
      </c>
      <c r="L20" s="260">
        <v>0</v>
      </c>
      <c r="M20" s="260">
        <v>0</v>
      </c>
      <c r="N20" s="260">
        <v>0</v>
      </c>
      <c r="O20" s="260">
        <v>0</v>
      </c>
      <c r="P20" s="260">
        <v>0</v>
      </c>
      <c r="Q20" s="260">
        <v>24.6</v>
      </c>
      <c r="R20" s="260">
        <v>24.6</v>
      </c>
      <c r="S20" s="260">
        <f>R20/Q20*100</f>
        <v>100</v>
      </c>
      <c r="T20" s="261">
        <v>499.1</v>
      </c>
      <c r="U20" s="261">
        <v>205.8</v>
      </c>
      <c r="V20" s="260">
        <f>U20/T20*100</f>
        <v>41.23422159887798</v>
      </c>
      <c r="W20" s="262">
        <v>0</v>
      </c>
      <c r="X20" s="262">
        <v>0</v>
      </c>
      <c r="Y20" s="262">
        <v>0</v>
      </c>
      <c r="Z20" s="260">
        <v>0</v>
      </c>
      <c r="AA20" s="260">
        <v>0</v>
      </c>
      <c r="AB20" s="262">
        <v>0</v>
      </c>
      <c r="AC20" s="261">
        <v>0</v>
      </c>
      <c r="AD20" s="261">
        <v>0</v>
      </c>
      <c r="AE20" s="262">
        <v>0</v>
      </c>
      <c r="AF20" s="261">
        <v>0</v>
      </c>
      <c r="AG20" s="263">
        <v>0</v>
      </c>
      <c r="AH20" s="260">
        <v>0</v>
      </c>
      <c r="AI20" s="261">
        <v>0</v>
      </c>
      <c r="AJ20" s="261">
        <v>0</v>
      </c>
      <c r="AK20" s="261" t="e">
        <f>AJ20/AI20*100</f>
        <v>#DIV/0!</v>
      </c>
      <c r="AL20" s="261">
        <v>0</v>
      </c>
      <c r="AM20" s="261">
        <v>0</v>
      </c>
      <c r="AN20" s="261" t="e">
        <f>AM20/AL20*100</f>
        <v>#DIV/0!</v>
      </c>
      <c r="AO20" s="261">
        <v>0</v>
      </c>
      <c r="AP20" s="123"/>
      <c r="AQ20" s="123"/>
      <c r="AR20" s="424"/>
      <c r="AS20" s="492"/>
      <c r="AT20" s="228"/>
      <c r="AU20" s="228"/>
      <c r="AV20" s="229"/>
      <c r="AX20" s="228"/>
    </row>
    <row r="21" spans="1:50" s="230" customFormat="1" ht="147.75" customHeight="1">
      <c r="A21" s="486"/>
      <c r="B21" s="489"/>
      <c r="C21" s="483"/>
      <c r="D21" s="143" t="s">
        <v>257</v>
      </c>
      <c r="E21" s="123">
        <f t="shared" si="21"/>
        <v>4969.7</v>
      </c>
      <c r="F21" s="123">
        <f t="shared" si="21"/>
        <v>2175.4</v>
      </c>
      <c r="G21" s="123">
        <f t="shared" si="0"/>
        <v>43.773265991910982</v>
      </c>
      <c r="H21" s="123">
        <v>100</v>
      </c>
      <c r="I21" s="123">
        <v>92</v>
      </c>
      <c r="J21" s="123">
        <f>I21/H21*100</f>
        <v>92</v>
      </c>
      <c r="K21" s="123">
        <v>569.9</v>
      </c>
      <c r="L21" s="123">
        <v>559.6</v>
      </c>
      <c r="M21" s="123">
        <f>L21/K21*100</f>
        <v>98.192665379891224</v>
      </c>
      <c r="N21" s="123">
        <v>138.4</v>
      </c>
      <c r="O21" s="123">
        <v>138.4</v>
      </c>
      <c r="P21" s="123">
        <f>O21/N21*100</f>
        <v>100</v>
      </c>
      <c r="Q21" s="123">
        <f>445.5+60</f>
        <v>505.5</v>
      </c>
      <c r="R21" s="123">
        <v>499.5</v>
      </c>
      <c r="S21" s="123">
        <f>R21/Q21*100</f>
        <v>98.813056379821958</v>
      </c>
      <c r="T21" s="221">
        <f>415.4+45+90</f>
        <v>550.4</v>
      </c>
      <c r="U21" s="221">
        <v>547.79999999999995</v>
      </c>
      <c r="V21" s="117">
        <f t="shared" si="18"/>
        <v>99.527616279069761</v>
      </c>
      <c r="W21" s="117">
        <f>488.7-40</f>
        <v>448.7</v>
      </c>
      <c r="X21" s="117">
        <v>338.1</v>
      </c>
      <c r="Y21" s="117">
        <f t="shared" si="19"/>
        <v>75.351014040561623</v>
      </c>
      <c r="Z21" s="123">
        <v>332.2</v>
      </c>
      <c r="AA21" s="123">
        <v>0</v>
      </c>
      <c r="AB21" s="117">
        <f t="shared" si="1"/>
        <v>0</v>
      </c>
      <c r="AC21" s="221">
        <f>385.9+30</f>
        <v>415.9</v>
      </c>
      <c r="AD21" s="221">
        <v>0</v>
      </c>
      <c r="AE21" s="117">
        <f t="shared" si="11"/>
        <v>0</v>
      </c>
      <c r="AF21" s="221">
        <v>407.4</v>
      </c>
      <c r="AG21" s="222">
        <v>0</v>
      </c>
      <c r="AH21" s="123">
        <f t="shared" si="20"/>
        <v>0</v>
      </c>
      <c r="AI21" s="221">
        <v>406.9</v>
      </c>
      <c r="AJ21" s="221">
        <v>0</v>
      </c>
      <c r="AK21" s="221">
        <f>AJ21/AI21*100</f>
        <v>0</v>
      </c>
      <c r="AL21" s="221">
        <v>316.3</v>
      </c>
      <c r="AM21" s="221">
        <v>0</v>
      </c>
      <c r="AN21" s="221">
        <f>AM21/AL21*100</f>
        <v>0</v>
      </c>
      <c r="AO21" s="221">
        <f>981.5-63.4-140</f>
        <v>778.1</v>
      </c>
      <c r="AP21" s="123">
        <v>0</v>
      </c>
      <c r="AQ21" s="123">
        <f>AP21/AO21*100</f>
        <v>0</v>
      </c>
      <c r="AR21" s="424"/>
      <c r="AS21" s="492"/>
      <c r="AT21" s="233"/>
      <c r="AU21" s="233"/>
      <c r="AV21" s="229"/>
      <c r="AX21" s="228"/>
    </row>
    <row r="22" spans="1:50" s="230" customFormat="1" ht="123" customHeight="1">
      <c r="A22" s="487"/>
      <c r="B22" s="490"/>
      <c r="C22" s="484"/>
      <c r="D22" s="143" t="s">
        <v>460</v>
      </c>
      <c r="E22" s="123">
        <f>H22+K22+N22+Q22+T22+W22+Z22+AC22+AF22+AI22+AL22+AO22</f>
        <v>0</v>
      </c>
      <c r="F22" s="123">
        <f>I22+L22+O22+R22+U22+X22+AA22+AD22+AG22+AJ22+AM22+AP22</f>
        <v>0</v>
      </c>
      <c r="G22" s="123">
        <v>0</v>
      </c>
      <c r="H22" s="123">
        <v>0</v>
      </c>
      <c r="I22" s="123">
        <v>0</v>
      </c>
      <c r="J22" s="123">
        <v>0</v>
      </c>
      <c r="K22" s="132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17">
        <v>0</v>
      </c>
      <c r="U22" s="117">
        <v>0</v>
      </c>
      <c r="V22" s="123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23">
        <v>0</v>
      </c>
      <c r="AI22" s="123">
        <v>0</v>
      </c>
      <c r="AJ22" s="123">
        <v>0</v>
      </c>
      <c r="AK22" s="123">
        <v>0</v>
      </c>
      <c r="AL22" s="117">
        <v>0</v>
      </c>
      <c r="AM22" s="117">
        <v>0</v>
      </c>
      <c r="AN22" s="117">
        <v>0</v>
      </c>
      <c r="AO22" s="123">
        <v>0</v>
      </c>
      <c r="AP22" s="123">
        <v>0</v>
      </c>
      <c r="AQ22" s="123">
        <v>0</v>
      </c>
      <c r="AR22" s="425"/>
      <c r="AS22" s="493"/>
      <c r="AT22" s="228"/>
      <c r="AU22" s="228"/>
      <c r="AV22" s="229"/>
    </row>
    <row r="23" spans="1:50" s="230" customFormat="1" ht="18.75" customHeight="1">
      <c r="A23" s="485" t="s">
        <v>4</v>
      </c>
      <c r="B23" s="482" t="s">
        <v>485</v>
      </c>
      <c r="C23" s="482" t="s">
        <v>482</v>
      </c>
      <c r="D23" s="219" t="s">
        <v>443</v>
      </c>
      <c r="E23" s="123">
        <f>E24+E25+E26+E27</f>
        <v>124203.5</v>
      </c>
      <c r="F23" s="123">
        <f>F24+F25+F26+F27</f>
        <v>58323.3</v>
      </c>
      <c r="G23" s="123">
        <f t="shared" si="0"/>
        <v>46.957855454959002</v>
      </c>
      <c r="H23" s="123">
        <f>H24+H25+H26+H27</f>
        <v>3784.3</v>
      </c>
      <c r="I23" s="123">
        <f>I24+I25+I26+I27</f>
        <v>3753.3</v>
      </c>
      <c r="J23" s="123">
        <f>I23/H23*100</f>
        <v>99.180826044446789</v>
      </c>
      <c r="K23" s="123">
        <f>K24+K25+K26+K27</f>
        <v>11691.9</v>
      </c>
      <c r="L23" s="123">
        <f>L24+L25+L26+L27</f>
        <v>11246.6</v>
      </c>
      <c r="M23" s="123">
        <f t="shared" ref="M23:M28" si="22">L23/K23*100</f>
        <v>96.191380357341416</v>
      </c>
      <c r="N23" s="123">
        <f>N24+N25+N26+N27</f>
        <v>9434</v>
      </c>
      <c r="O23" s="123">
        <f>O24+O25+O26+O27</f>
        <v>9312.4</v>
      </c>
      <c r="P23" s="123">
        <f t="shared" ref="P23:P28" si="23">O23/N23*100</f>
        <v>98.711045155819377</v>
      </c>
      <c r="Q23" s="123">
        <f t="shared" ref="Q23:AO23" si="24">Q24+Q25+Q26+Q27</f>
        <v>12239.4</v>
      </c>
      <c r="R23" s="123">
        <f t="shared" si="24"/>
        <v>12536.1</v>
      </c>
      <c r="S23" s="123">
        <f t="shared" si="24"/>
        <v>102.42413843815874</v>
      </c>
      <c r="T23" s="123">
        <f t="shared" si="24"/>
        <v>9787.7999999999993</v>
      </c>
      <c r="U23" s="123">
        <f t="shared" si="24"/>
        <v>9887.2000000000007</v>
      </c>
      <c r="V23" s="123">
        <f t="shared" si="24"/>
        <v>101.0155499703713</v>
      </c>
      <c r="W23" s="123">
        <f t="shared" si="24"/>
        <v>11577.5</v>
      </c>
      <c r="X23" s="123">
        <f t="shared" si="24"/>
        <v>11587.7</v>
      </c>
      <c r="Y23" s="123">
        <f t="shared" si="24"/>
        <v>100.08810192183115</v>
      </c>
      <c r="Z23" s="123">
        <f t="shared" si="24"/>
        <v>10790</v>
      </c>
      <c r="AA23" s="123">
        <f t="shared" si="24"/>
        <v>0</v>
      </c>
      <c r="AB23" s="123">
        <f t="shared" si="24"/>
        <v>0</v>
      </c>
      <c r="AC23" s="123">
        <f t="shared" si="24"/>
        <v>11839.1</v>
      </c>
      <c r="AD23" s="123">
        <f t="shared" si="24"/>
        <v>0</v>
      </c>
      <c r="AE23" s="123">
        <f t="shared" si="24"/>
        <v>0</v>
      </c>
      <c r="AF23" s="123">
        <f t="shared" si="24"/>
        <v>9612.6999999999989</v>
      </c>
      <c r="AG23" s="123">
        <f t="shared" si="24"/>
        <v>0</v>
      </c>
      <c r="AH23" s="123">
        <f t="shared" si="24"/>
        <v>0</v>
      </c>
      <c r="AI23" s="123">
        <f t="shared" si="24"/>
        <v>9471</v>
      </c>
      <c r="AJ23" s="123">
        <f t="shared" si="24"/>
        <v>0</v>
      </c>
      <c r="AK23" s="123">
        <f t="shared" si="24"/>
        <v>0</v>
      </c>
      <c r="AL23" s="123">
        <f t="shared" si="24"/>
        <v>12253.300000000001</v>
      </c>
      <c r="AM23" s="123">
        <f t="shared" si="24"/>
        <v>0</v>
      </c>
      <c r="AN23" s="123">
        <f t="shared" si="24"/>
        <v>0</v>
      </c>
      <c r="AO23" s="123">
        <f t="shared" si="24"/>
        <v>11722.5</v>
      </c>
      <c r="AP23" s="123">
        <f>SUM(AP24:AP26)</f>
        <v>0</v>
      </c>
      <c r="AQ23" s="123">
        <f t="shared" ref="AQ23" si="25">AP23/AO23*100</f>
        <v>0</v>
      </c>
      <c r="AR23" s="423" t="s">
        <v>515</v>
      </c>
      <c r="AS23" s="341" t="s">
        <v>517</v>
      </c>
      <c r="AT23" s="228"/>
      <c r="AU23" s="228"/>
      <c r="AV23" s="229"/>
      <c r="AX23" s="228"/>
    </row>
    <row r="24" spans="1:50" s="230" customFormat="1" ht="54.75" customHeight="1">
      <c r="A24" s="486"/>
      <c r="B24" s="483"/>
      <c r="C24" s="483"/>
      <c r="D24" s="220" t="s">
        <v>441</v>
      </c>
      <c r="E24" s="123">
        <f>H24+K24+N24+Q24+T24+W24+Z24+AC24+AF24+AI24+AL24+AO24</f>
        <v>0</v>
      </c>
      <c r="F24" s="123">
        <f>I24+L24+O24+R24+U24+X24+AA24+AD24+AG24+AJ24+AM24+AP24</f>
        <v>0</v>
      </c>
      <c r="G24" s="123">
        <v>0</v>
      </c>
      <c r="H24" s="123">
        <v>0</v>
      </c>
      <c r="I24" s="123">
        <v>0</v>
      </c>
      <c r="J24" s="123">
        <v>0</v>
      </c>
      <c r="K24" s="132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17">
        <v>0</v>
      </c>
      <c r="U24" s="117">
        <v>0</v>
      </c>
      <c r="V24" s="123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23">
        <v>0</v>
      </c>
      <c r="AI24" s="123">
        <v>0</v>
      </c>
      <c r="AJ24" s="123">
        <v>0</v>
      </c>
      <c r="AK24" s="123">
        <v>0</v>
      </c>
      <c r="AL24" s="117">
        <v>0</v>
      </c>
      <c r="AM24" s="117">
        <v>0</v>
      </c>
      <c r="AN24" s="117">
        <v>0</v>
      </c>
      <c r="AO24" s="123">
        <v>0</v>
      </c>
      <c r="AP24" s="123">
        <v>0</v>
      </c>
      <c r="AQ24" s="123">
        <v>0</v>
      </c>
      <c r="AR24" s="424"/>
      <c r="AS24" s="342"/>
      <c r="AT24" s="228"/>
      <c r="AU24" s="228"/>
      <c r="AV24" s="229"/>
      <c r="AX24" s="228"/>
    </row>
    <row r="25" spans="1:50" s="230" customFormat="1" ht="33.75" customHeight="1">
      <c r="A25" s="486"/>
      <c r="B25" s="483"/>
      <c r="C25" s="483"/>
      <c r="D25" s="220" t="s">
        <v>454</v>
      </c>
      <c r="E25" s="123">
        <f>H25+K25+N25+Q25+T25+W25+Z25+AC25+AF25+AI25+AL25+AO25</f>
        <v>124203.5</v>
      </c>
      <c r="F25" s="123">
        <f>I25+L25+O25+R25+U25+X25+AA25+AD25+AG25+AJ25+AM25+AP25</f>
        <v>58323.3</v>
      </c>
      <c r="G25" s="123">
        <f>F25/E25*100</f>
        <v>46.957855454959002</v>
      </c>
      <c r="H25" s="123">
        <f>4237.1+701.9-1000-154.7</f>
        <v>3784.3</v>
      </c>
      <c r="I25" s="123">
        <v>3753.3</v>
      </c>
      <c r="J25" s="123">
        <f>I25/H25*100</f>
        <v>99.180826044446789</v>
      </c>
      <c r="K25" s="123">
        <f>7399.2+3292.7+1000</f>
        <v>11691.9</v>
      </c>
      <c r="L25" s="123">
        <v>11246.6</v>
      </c>
      <c r="M25" s="123">
        <f>L25/K25*100</f>
        <v>96.191380357341416</v>
      </c>
      <c r="N25" s="123">
        <f>7681+2097-299.9-44.1</f>
        <v>9434</v>
      </c>
      <c r="O25" s="123">
        <v>9312.4</v>
      </c>
      <c r="P25" s="123">
        <f>O25/N25*100</f>
        <v>98.711045155819377</v>
      </c>
      <c r="Q25" s="123">
        <f>8528.2+2995.1+2484.7-1768.6</f>
        <v>12239.4</v>
      </c>
      <c r="R25" s="123">
        <v>12536.1</v>
      </c>
      <c r="S25" s="123">
        <f>R25/Q25*100</f>
        <v>102.42413843815874</v>
      </c>
      <c r="T25" s="221">
        <f>7711.1+2776.7-700</f>
        <v>9787.7999999999993</v>
      </c>
      <c r="U25" s="221">
        <v>9887.2000000000007</v>
      </c>
      <c r="V25" s="117">
        <f t="shared" ref="V25" si="26">U25/T25*100</f>
        <v>101.0155499703713</v>
      </c>
      <c r="W25" s="123">
        <f>8289.2+3288.3</f>
        <v>11577.5</v>
      </c>
      <c r="X25" s="117">
        <v>11587.7</v>
      </c>
      <c r="Y25" s="117">
        <f t="shared" ref="Y25" si="27">X25/W25*100</f>
        <v>100.08810192183115</v>
      </c>
      <c r="Z25" s="123">
        <f>7241.5+3548.5</f>
        <v>10790</v>
      </c>
      <c r="AA25" s="123">
        <v>0</v>
      </c>
      <c r="AB25" s="117">
        <f t="shared" ref="AB25" si="28">AA25/Z25*100</f>
        <v>0</v>
      </c>
      <c r="AC25" s="221">
        <f>6659.3+3273.9+1905.9</f>
        <v>11839.1</v>
      </c>
      <c r="AD25" s="221">
        <v>0</v>
      </c>
      <c r="AE25" s="117">
        <f t="shared" ref="AE25" si="29">AD25/AC25*100</f>
        <v>0</v>
      </c>
      <c r="AF25" s="221">
        <f>6884.4+2655.7+72.6</f>
        <v>9612.6999999999989</v>
      </c>
      <c r="AG25" s="222">
        <v>0</v>
      </c>
      <c r="AH25" s="123">
        <f t="shared" ref="AH25" si="30">AG25/AF25*100</f>
        <v>0</v>
      </c>
      <c r="AI25" s="221">
        <f>6826.5+2644.5</f>
        <v>9471</v>
      </c>
      <c r="AJ25" s="221">
        <v>0</v>
      </c>
      <c r="AK25" s="221">
        <f>AJ25/AI25*100</f>
        <v>0</v>
      </c>
      <c r="AL25" s="221">
        <f>6845.2+2452.5+2955.6</f>
        <v>12253.300000000001</v>
      </c>
      <c r="AM25" s="221">
        <v>0</v>
      </c>
      <c r="AN25" s="221">
        <f>AM25/AL25*100</f>
        <v>0</v>
      </c>
      <c r="AO25" s="221">
        <f>9139.3+4643.5-2060.3</f>
        <v>11722.5</v>
      </c>
      <c r="AP25" s="123">
        <v>0</v>
      </c>
      <c r="AQ25" s="123">
        <f>AP25/AO25*100</f>
        <v>0</v>
      </c>
      <c r="AR25" s="424"/>
      <c r="AS25" s="342"/>
      <c r="AT25" s="233"/>
      <c r="AU25" s="233"/>
      <c r="AV25" s="229"/>
      <c r="AX25" s="228"/>
    </row>
    <row r="26" spans="1:50" s="230" customFormat="1" ht="48.75" customHeight="1">
      <c r="A26" s="486"/>
      <c r="B26" s="483"/>
      <c r="C26" s="483"/>
      <c r="D26" s="143" t="s">
        <v>257</v>
      </c>
      <c r="E26" s="123">
        <f t="shared" ref="E26:F26" si="31">H26+K26+N26+Q26+T26+W26+Z26+AC26+AF26+AI26+AL26+AO26</f>
        <v>0</v>
      </c>
      <c r="F26" s="123">
        <f t="shared" si="31"/>
        <v>0</v>
      </c>
      <c r="G26" s="123">
        <v>0</v>
      </c>
      <c r="H26" s="123">
        <v>0</v>
      </c>
      <c r="I26" s="123">
        <v>0</v>
      </c>
      <c r="J26" s="123">
        <v>0</v>
      </c>
      <c r="K26" s="132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  <c r="Q26" s="123">
        <v>0</v>
      </c>
      <c r="R26" s="123">
        <v>0</v>
      </c>
      <c r="S26" s="123">
        <v>0</v>
      </c>
      <c r="T26" s="117">
        <v>0</v>
      </c>
      <c r="U26" s="117">
        <v>0</v>
      </c>
      <c r="V26" s="123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23">
        <v>0</v>
      </c>
      <c r="AJ26" s="123">
        <v>0</v>
      </c>
      <c r="AK26" s="123">
        <v>0</v>
      </c>
      <c r="AL26" s="117">
        <v>0</v>
      </c>
      <c r="AM26" s="117">
        <v>0</v>
      </c>
      <c r="AN26" s="117">
        <v>0</v>
      </c>
      <c r="AO26" s="123">
        <v>0</v>
      </c>
      <c r="AP26" s="123">
        <v>0</v>
      </c>
      <c r="AQ26" s="123">
        <v>0</v>
      </c>
      <c r="AR26" s="424"/>
      <c r="AS26" s="342"/>
      <c r="AT26" s="228"/>
      <c r="AU26" s="228"/>
      <c r="AV26" s="229"/>
    </row>
    <row r="27" spans="1:50" s="230" customFormat="1" ht="67.5" customHeight="1">
      <c r="A27" s="487"/>
      <c r="B27" s="484"/>
      <c r="C27" s="484"/>
      <c r="D27" s="143" t="s">
        <v>460</v>
      </c>
      <c r="E27" s="123">
        <f>H27+K27+N27+Q27+T27+W27+Z27+AC27+AF27+AI27+AL27+AO27</f>
        <v>0</v>
      </c>
      <c r="F27" s="123">
        <f>I27+L27+O27+R27+U27+X27+AA27+AD27+AG27+AJ27+AM27+AP27</f>
        <v>0</v>
      </c>
      <c r="G27" s="123">
        <v>0</v>
      </c>
      <c r="H27" s="123">
        <v>0</v>
      </c>
      <c r="I27" s="123">
        <v>0</v>
      </c>
      <c r="J27" s="123">
        <v>0</v>
      </c>
      <c r="K27" s="132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17">
        <v>0</v>
      </c>
      <c r="U27" s="117">
        <v>0</v>
      </c>
      <c r="V27" s="123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23">
        <v>0</v>
      </c>
      <c r="AI27" s="123">
        <v>0</v>
      </c>
      <c r="AJ27" s="123">
        <v>0</v>
      </c>
      <c r="AK27" s="123">
        <v>0</v>
      </c>
      <c r="AL27" s="117">
        <v>0</v>
      </c>
      <c r="AM27" s="117">
        <v>0</v>
      </c>
      <c r="AN27" s="117">
        <v>0</v>
      </c>
      <c r="AO27" s="123">
        <v>0</v>
      </c>
      <c r="AP27" s="123">
        <v>0</v>
      </c>
      <c r="AQ27" s="123">
        <v>0</v>
      </c>
      <c r="AR27" s="425"/>
      <c r="AS27" s="343"/>
      <c r="AT27" s="228"/>
      <c r="AU27" s="228"/>
      <c r="AV27" s="229"/>
    </row>
    <row r="28" spans="1:50" s="230" customFormat="1" ht="18" customHeight="1">
      <c r="A28" s="485" t="s">
        <v>457</v>
      </c>
      <c r="B28" s="482" t="s">
        <v>462</v>
      </c>
      <c r="C28" s="482" t="s">
        <v>483</v>
      </c>
      <c r="D28" s="219" t="s">
        <v>443</v>
      </c>
      <c r="E28" s="123">
        <f>SUM(E29:E30)</f>
        <v>5227.7</v>
      </c>
      <c r="F28" s="123">
        <f>SUM(F29:F30)</f>
        <v>2396.3999999999996</v>
      </c>
      <c r="G28" s="123">
        <f>F28/E28*100</f>
        <v>45.840426956405295</v>
      </c>
      <c r="H28" s="123">
        <f>SUM(H29:H30)</f>
        <v>392</v>
      </c>
      <c r="I28" s="123">
        <f>SUM(I29:I30)</f>
        <v>380.9</v>
      </c>
      <c r="J28" s="123">
        <f t="shared" ref="J28:J33" si="32">I28/H28*100</f>
        <v>97.168367346938766</v>
      </c>
      <c r="K28" s="123">
        <f>SUM(K29:K30)</f>
        <v>392</v>
      </c>
      <c r="L28" s="123">
        <f>SUM(L29:L30)</f>
        <v>380.9</v>
      </c>
      <c r="M28" s="123">
        <f t="shared" si="22"/>
        <v>97.168367346938766</v>
      </c>
      <c r="N28" s="123">
        <f>SUM(N29:N30)</f>
        <v>392</v>
      </c>
      <c r="O28" s="123">
        <f>SUM(O29:O30)</f>
        <v>338.5</v>
      </c>
      <c r="P28" s="123">
        <f t="shared" si="23"/>
        <v>86.352040816326522</v>
      </c>
      <c r="Q28" s="123">
        <f>SUM(Q29:Q30)</f>
        <v>450.2</v>
      </c>
      <c r="R28" s="123">
        <f>SUM(R29:R30)</f>
        <v>404</v>
      </c>
      <c r="S28" s="123">
        <f t="shared" ref="S28" si="33">R28/Q28*100</f>
        <v>89.737894269213683</v>
      </c>
      <c r="T28" s="123">
        <f>SUM(T29:T30)</f>
        <v>480.2</v>
      </c>
      <c r="U28" s="123">
        <f>SUM(U29:U30)</f>
        <v>474.4</v>
      </c>
      <c r="V28" s="123">
        <f>U28/T28*100</f>
        <v>98.792169929196163</v>
      </c>
      <c r="W28" s="123">
        <f t="shared" ref="W28:AD28" si="34">SUM(W29:W30)</f>
        <v>420.2</v>
      </c>
      <c r="X28" s="123">
        <f t="shared" si="34"/>
        <v>417.7</v>
      </c>
      <c r="Y28" s="123">
        <f t="shared" si="34"/>
        <v>99.405045216563536</v>
      </c>
      <c r="Z28" s="123">
        <f t="shared" si="34"/>
        <v>450.2</v>
      </c>
      <c r="AA28" s="123">
        <f t="shared" si="34"/>
        <v>0</v>
      </c>
      <c r="AB28" s="117">
        <f t="shared" ref="AB28:AB35" si="35">AA28/Z28*100</f>
        <v>0</v>
      </c>
      <c r="AC28" s="123">
        <f t="shared" si="34"/>
        <v>450.2</v>
      </c>
      <c r="AD28" s="123">
        <f t="shared" si="34"/>
        <v>0</v>
      </c>
      <c r="AE28" s="123">
        <f t="shared" si="11"/>
        <v>0</v>
      </c>
      <c r="AF28" s="123">
        <f t="shared" ref="AF28:AQ28" si="36">SUM(AF29:AF30)</f>
        <v>450.2</v>
      </c>
      <c r="AG28" s="123">
        <f t="shared" si="36"/>
        <v>0</v>
      </c>
      <c r="AH28" s="123">
        <f t="shared" ref="AH28" si="37">AG28/AF28*100</f>
        <v>0</v>
      </c>
      <c r="AI28" s="123">
        <f t="shared" si="36"/>
        <v>450.2</v>
      </c>
      <c r="AJ28" s="123">
        <f t="shared" si="36"/>
        <v>0</v>
      </c>
      <c r="AK28" s="123">
        <f t="shared" si="36"/>
        <v>0</v>
      </c>
      <c r="AL28" s="123">
        <f t="shared" si="36"/>
        <v>450.2</v>
      </c>
      <c r="AM28" s="123">
        <f t="shared" si="36"/>
        <v>0</v>
      </c>
      <c r="AN28" s="123">
        <f t="shared" si="36"/>
        <v>0</v>
      </c>
      <c r="AO28" s="123">
        <f t="shared" si="36"/>
        <v>450.1</v>
      </c>
      <c r="AP28" s="123">
        <f t="shared" si="36"/>
        <v>0</v>
      </c>
      <c r="AQ28" s="123">
        <f t="shared" si="36"/>
        <v>0</v>
      </c>
      <c r="AR28" s="423" t="s">
        <v>511</v>
      </c>
      <c r="AS28" s="341"/>
      <c r="AT28" s="228"/>
      <c r="AU28" s="228"/>
      <c r="AV28" s="229"/>
      <c r="AX28" s="228"/>
    </row>
    <row r="29" spans="1:50" s="230" customFormat="1" ht="55.5" customHeight="1">
      <c r="A29" s="486"/>
      <c r="B29" s="483"/>
      <c r="C29" s="483"/>
      <c r="D29" s="220" t="s">
        <v>441</v>
      </c>
      <c r="E29" s="123">
        <f>H29+K29+N29+Q29+T29+W29+Z29+AC29+AF29+AI29+AL29+AO29</f>
        <v>0</v>
      </c>
      <c r="F29" s="123">
        <f>I29+L29+O29+R29+U29+X29+AA29+AD29+AG29+AJ29+AM29+AP29</f>
        <v>0</v>
      </c>
      <c r="G29" s="123">
        <v>0</v>
      </c>
      <c r="H29" s="123">
        <v>0</v>
      </c>
      <c r="I29" s="123">
        <v>0</v>
      </c>
      <c r="J29" s="123">
        <v>0</v>
      </c>
      <c r="K29" s="132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0</v>
      </c>
      <c r="S29" s="123">
        <v>0</v>
      </c>
      <c r="T29" s="117">
        <v>0</v>
      </c>
      <c r="U29" s="117">
        <v>0</v>
      </c>
      <c r="V29" s="123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23">
        <v>0</v>
      </c>
      <c r="AJ29" s="123">
        <v>0</v>
      </c>
      <c r="AK29" s="123">
        <v>0</v>
      </c>
      <c r="AL29" s="117">
        <v>0</v>
      </c>
      <c r="AM29" s="117">
        <v>0</v>
      </c>
      <c r="AN29" s="117">
        <v>0</v>
      </c>
      <c r="AO29" s="123">
        <v>0</v>
      </c>
      <c r="AP29" s="123">
        <v>0</v>
      </c>
      <c r="AQ29" s="123">
        <v>0</v>
      </c>
      <c r="AR29" s="424"/>
      <c r="AS29" s="342"/>
      <c r="AT29" s="228"/>
      <c r="AU29" s="228"/>
      <c r="AV29" s="229"/>
      <c r="AX29" s="228"/>
    </row>
    <row r="30" spans="1:50" s="230" customFormat="1" ht="12.75" customHeight="1">
      <c r="A30" s="486"/>
      <c r="B30" s="483"/>
      <c r="C30" s="483"/>
      <c r="D30" s="220" t="s">
        <v>454</v>
      </c>
      <c r="E30" s="123">
        <f t="shared" ref="E30:F31" si="38">H30+K30+N30+Q30+T30+W30+Z30+AC30+AF30+AI30+AL30+AO30</f>
        <v>5227.7</v>
      </c>
      <c r="F30" s="123">
        <f t="shared" si="38"/>
        <v>2396.3999999999996</v>
      </c>
      <c r="G30" s="123">
        <f>F30/E30*100</f>
        <v>45.840426956405295</v>
      </c>
      <c r="H30" s="123">
        <v>392</v>
      </c>
      <c r="I30" s="123">
        <v>380.9</v>
      </c>
      <c r="J30" s="123">
        <f>I30/H30*100</f>
        <v>97.168367346938766</v>
      </c>
      <c r="K30" s="123">
        <v>392</v>
      </c>
      <c r="L30" s="123">
        <v>380.9</v>
      </c>
      <c r="M30" s="123">
        <f>L30/K30*100</f>
        <v>97.168367346938766</v>
      </c>
      <c r="N30" s="123">
        <v>392</v>
      </c>
      <c r="O30" s="123">
        <v>338.5</v>
      </c>
      <c r="P30" s="123">
        <f>O30/N30*100</f>
        <v>86.352040816326522</v>
      </c>
      <c r="Q30" s="123">
        <v>450.2</v>
      </c>
      <c r="R30" s="123">
        <v>404</v>
      </c>
      <c r="S30" s="123">
        <f>R30/Q30*100</f>
        <v>89.737894269213683</v>
      </c>
      <c r="T30" s="221">
        <v>480.2</v>
      </c>
      <c r="U30" s="221">
        <v>474.4</v>
      </c>
      <c r="V30" s="123">
        <f>U30/T30*100</f>
        <v>98.792169929196163</v>
      </c>
      <c r="W30" s="117">
        <v>420.2</v>
      </c>
      <c r="X30" s="117">
        <v>417.7</v>
      </c>
      <c r="Y30" s="117">
        <f t="shared" ref="Y30" si="39">X30/W30*100</f>
        <v>99.405045216563536</v>
      </c>
      <c r="Z30" s="123">
        <v>450.2</v>
      </c>
      <c r="AA30" s="123">
        <v>0</v>
      </c>
      <c r="AB30" s="117">
        <f t="shared" ref="AB30" si="40">AA30/Z30*100</f>
        <v>0</v>
      </c>
      <c r="AC30" s="221">
        <v>450.2</v>
      </c>
      <c r="AD30" s="221">
        <v>0</v>
      </c>
      <c r="AE30" s="117">
        <f t="shared" ref="AE30" si="41">AD30/AC30*100</f>
        <v>0</v>
      </c>
      <c r="AF30" s="221">
        <v>450.2</v>
      </c>
      <c r="AG30" s="222">
        <v>0</v>
      </c>
      <c r="AH30" s="123">
        <f t="shared" ref="AH30" si="42">AG30/AF30*100</f>
        <v>0</v>
      </c>
      <c r="AI30" s="221">
        <v>450.2</v>
      </c>
      <c r="AJ30" s="221">
        <v>0</v>
      </c>
      <c r="AK30" s="221">
        <f>AJ30/AI30*100</f>
        <v>0</v>
      </c>
      <c r="AL30" s="221">
        <v>450.2</v>
      </c>
      <c r="AM30" s="221">
        <v>0</v>
      </c>
      <c r="AN30" s="221">
        <f>AM30/AL30*100</f>
        <v>0</v>
      </c>
      <c r="AO30" s="221">
        <v>450.1</v>
      </c>
      <c r="AP30" s="123">
        <v>0</v>
      </c>
      <c r="AQ30" s="123">
        <f>AP30/AO30*100</f>
        <v>0</v>
      </c>
      <c r="AR30" s="424"/>
      <c r="AS30" s="342"/>
      <c r="AT30" s="233">
        <f>H30+K30+N30+Q30+T30+W30</f>
        <v>2526.6</v>
      </c>
      <c r="AU30" s="233">
        <f>I30+L30+O30+R30+U30+X30</f>
        <v>2396.3999999999996</v>
      </c>
      <c r="AV30" s="229"/>
      <c r="AX30" s="228"/>
    </row>
    <row r="31" spans="1:50" s="230" customFormat="1" ht="27" customHeight="1">
      <c r="A31" s="486"/>
      <c r="B31" s="483"/>
      <c r="C31" s="483"/>
      <c r="D31" s="143" t="s">
        <v>257</v>
      </c>
      <c r="E31" s="123">
        <f t="shared" si="38"/>
        <v>0</v>
      </c>
      <c r="F31" s="123">
        <f t="shared" si="38"/>
        <v>0</v>
      </c>
      <c r="G31" s="123">
        <v>0</v>
      </c>
      <c r="H31" s="123">
        <v>0</v>
      </c>
      <c r="I31" s="123">
        <v>0</v>
      </c>
      <c r="J31" s="123">
        <v>0</v>
      </c>
      <c r="K31" s="132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17">
        <v>0</v>
      </c>
      <c r="U31" s="117">
        <v>0</v>
      </c>
      <c r="V31" s="123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23">
        <v>0</v>
      </c>
      <c r="AJ31" s="123">
        <v>0</v>
      </c>
      <c r="AK31" s="123">
        <v>0</v>
      </c>
      <c r="AL31" s="117">
        <v>0</v>
      </c>
      <c r="AM31" s="117">
        <v>0</v>
      </c>
      <c r="AN31" s="117">
        <v>0</v>
      </c>
      <c r="AO31" s="123">
        <v>0</v>
      </c>
      <c r="AP31" s="123">
        <v>0</v>
      </c>
      <c r="AQ31" s="123">
        <v>0</v>
      </c>
      <c r="AR31" s="424"/>
      <c r="AS31" s="342"/>
      <c r="AT31" s="228"/>
      <c r="AU31" s="228"/>
      <c r="AV31" s="229"/>
      <c r="AX31" s="228"/>
    </row>
    <row r="32" spans="1:50" s="230" customFormat="1" ht="24">
      <c r="A32" s="487"/>
      <c r="B32" s="484"/>
      <c r="C32" s="484"/>
      <c r="D32" s="143" t="s">
        <v>460</v>
      </c>
      <c r="E32" s="123">
        <f>H32+K32+N32+Q32+T32+W32+Z32+AC32+AF32+AI32+AL32+AO32</f>
        <v>0</v>
      </c>
      <c r="F32" s="123">
        <f>I32+L32+O32+R32+U32+X32+AA32+AD32+AG32+AJ32+AM32+AP32</f>
        <v>0</v>
      </c>
      <c r="G32" s="123">
        <v>0</v>
      </c>
      <c r="H32" s="123">
        <v>0</v>
      </c>
      <c r="I32" s="123">
        <v>0</v>
      </c>
      <c r="J32" s="123">
        <v>0</v>
      </c>
      <c r="K32" s="132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17">
        <v>0</v>
      </c>
      <c r="U32" s="117">
        <v>0</v>
      </c>
      <c r="V32" s="123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23">
        <v>0</v>
      </c>
      <c r="AI32" s="123">
        <v>0</v>
      </c>
      <c r="AJ32" s="123">
        <v>0</v>
      </c>
      <c r="AK32" s="123">
        <v>0</v>
      </c>
      <c r="AL32" s="117">
        <v>0</v>
      </c>
      <c r="AM32" s="117">
        <v>0</v>
      </c>
      <c r="AN32" s="117">
        <v>0</v>
      </c>
      <c r="AO32" s="123">
        <v>0</v>
      </c>
      <c r="AP32" s="123">
        <v>0</v>
      </c>
      <c r="AQ32" s="123">
        <v>0</v>
      </c>
      <c r="AR32" s="425"/>
      <c r="AS32" s="343"/>
      <c r="AT32" s="228"/>
      <c r="AU32" s="228"/>
      <c r="AV32" s="229"/>
    </row>
    <row r="33" spans="1:50" s="230" customFormat="1" ht="12.75">
      <c r="A33" s="485" t="s">
        <v>6</v>
      </c>
      <c r="B33" s="482" t="s">
        <v>463</v>
      </c>
      <c r="C33" s="482" t="s">
        <v>492</v>
      </c>
      <c r="D33" s="219" t="s">
        <v>443</v>
      </c>
      <c r="E33" s="123">
        <f>SUM(E34:E36)</f>
        <v>14727.599999999999</v>
      </c>
      <c r="F33" s="123">
        <f t="shared" ref="F33:O33" si="43">SUM(F34:F36)</f>
        <v>4491.7000000000007</v>
      </c>
      <c r="G33" s="123">
        <f>F33/E33*100</f>
        <v>30.498519785980072</v>
      </c>
      <c r="H33" s="123">
        <f t="shared" si="43"/>
        <v>85.8</v>
      </c>
      <c r="I33" s="123">
        <f t="shared" si="43"/>
        <v>40.9</v>
      </c>
      <c r="J33" s="123">
        <f t="shared" si="32"/>
        <v>47.668997668997669</v>
      </c>
      <c r="K33" s="123">
        <f t="shared" si="43"/>
        <v>275</v>
      </c>
      <c r="L33" s="123">
        <f t="shared" si="43"/>
        <v>124.7</v>
      </c>
      <c r="M33" s="123">
        <f t="shared" ref="M33" si="44">L33/K33*100</f>
        <v>45.345454545454544</v>
      </c>
      <c r="N33" s="123">
        <f t="shared" si="43"/>
        <v>1053.0999999999999</v>
      </c>
      <c r="O33" s="123">
        <f t="shared" si="43"/>
        <v>526.79999999999995</v>
      </c>
      <c r="P33" s="123">
        <f t="shared" ref="P33" si="45">O33/N33*100</f>
        <v>50.023739435951001</v>
      </c>
      <c r="Q33" s="123">
        <f t="shared" ref="Q33:AA33" si="46">SUM(Q34:Q36)</f>
        <v>1313.1999999999998</v>
      </c>
      <c r="R33" s="123">
        <f t="shared" si="46"/>
        <v>1231</v>
      </c>
      <c r="S33" s="123">
        <f t="shared" ref="S33" si="47">R33/Q33*100</f>
        <v>93.740481267133731</v>
      </c>
      <c r="T33" s="123">
        <f t="shared" si="46"/>
        <v>1639.1999999999998</v>
      </c>
      <c r="U33" s="123">
        <f t="shared" si="46"/>
        <v>1625.8</v>
      </c>
      <c r="V33" s="123">
        <f t="shared" si="46"/>
        <v>198.32896869933907</v>
      </c>
      <c r="W33" s="123">
        <f t="shared" si="46"/>
        <v>942.80000000000007</v>
      </c>
      <c r="X33" s="123">
        <f t="shared" si="46"/>
        <v>942.5</v>
      </c>
      <c r="Y33" s="123">
        <f t="shared" si="46"/>
        <v>199.95089212637092</v>
      </c>
      <c r="Z33" s="123">
        <f t="shared" si="46"/>
        <v>2416.8999999999996</v>
      </c>
      <c r="AA33" s="123">
        <f t="shared" si="46"/>
        <v>0</v>
      </c>
      <c r="AB33" s="117">
        <f t="shared" si="35"/>
        <v>0</v>
      </c>
      <c r="AC33" s="123">
        <f t="shared" ref="AC33:AP33" si="48">SUM(AC34:AC36)</f>
        <v>2406.7999999999997</v>
      </c>
      <c r="AD33" s="123">
        <f t="shared" si="48"/>
        <v>0</v>
      </c>
      <c r="AE33" s="123">
        <f t="shared" si="11"/>
        <v>0</v>
      </c>
      <c r="AF33" s="123">
        <f t="shared" si="48"/>
        <v>1758.6999999999998</v>
      </c>
      <c r="AG33" s="123">
        <f t="shared" si="48"/>
        <v>0</v>
      </c>
      <c r="AH33" s="123">
        <f t="shared" ref="AH33:AH35" si="49">AG33/AF33*100</f>
        <v>0</v>
      </c>
      <c r="AI33" s="123">
        <f t="shared" si="48"/>
        <v>1250</v>
      </c>
      <c r="AJ33" s="123">
        <f t="shared" si="48"/>
        <v>0</v>
      </c>
      <c r="AK33" s="123">
        <f>AJ33/AI33*100</f>
        <v>0</v>
      </c>
      <c r="AL33" s="123">
        <f t="shared" si="48"/>
        <v>1043.7</v>
      </c>
      <c r="AM33" s="123">
        <f t="shared" si="48"/>
        <v>0</v>
      </c>
      <c r="AN33" s="117">
        <f>AM33/AL33*100</f>
        <v>0</v>
      </c>
      <c r="AO33" s="123">
        <f t="shared" si="48"/>
        <v>542.4</v>
      </c>
      <c r="AP33" s="123">
        <f t="shared" si="48"/>
        <v>0</v>
      </c>
      <c r="AQ33" s="123">
        <f>AP33/AO33*100</f>
        <v>0</v>
      </c>
      <c r="AR33" s="423" t="s">
        <v>505</v>
      </c>
      <c r="AS33" s="341" t="s">
        <v>507</v>
      </c>
      <c r="AT33" s="228"/>
      <c r="AU33" s="228"/>
      <c r="AV33" s="229"/>
      <c r="AX33" s="228"/>
    </row>
    <row r="34" spans="1:50" s="230" customFormat="1" ht="48">
      <c r="A34" s="486"/>
      <c r="B34" s="483"/>
      <c r="C34" s="483"/>
      <c r="D34" s="220" t="s">
        <v>441</v>
      </c>
      <c r="E34" s="123">
        <f>H34+K34+N34+Q34+T34+W34+Z34+AC34+AF34+AI34+AL34+AO34</f>
        <v>9076.2999999999993</v>
      </c>
      <c r="F34" s="123">
        <f>I34+L34+O34+R34+U34+X34+AA34+AD34+AG34+AJ34+AM34+AP34</f>
        <v>1976.8000000000002</v>
      </c>
      <c r="G34" s="123">
        <f>F34/E34*100</f>
        <v>21.779800138823092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3">
        <v>362.6</v>
      </c>
      <c r="O34" s="123">
        <v>126.9</v>
      </c>
      <c r="P34" s="123">
        <f>O34/N34*100</f>
        <v>34.997242140099281</v>
      </c>
      <c r="Q34" s="123">
        <f>13+210+16.8+189.2+8.4+25.2+116.3+36.1+54.3-73.5</f>
        <v>595.79999999999995</v>
      </c>
      <c r="R34" s="123">
        <v>450.8</v>
      </c>
      <c r="S34" s="123">
        <f>R34/Q34*100</f>
        <v>75.662974152400139</v>
      </c>
      <c r="T34" s="221">
        <f>13+262+20.7+240.8+25.2+116.3+36.1+19.3+50+18.5</f>
        <v>801.9</v>
      </c>
      <c r="U34" s="221">
        <v>788.5</v>
      </c>
      <c r="V34" s="117">
        <f t="shared" ref="V34:V35" si="50">U34/T34*100</f>
        <v>98.328968699339072</v>
      </c>
      <c r="W34" s="117">
        <f>13+8.4+262+37.7+18.6+20.7+409.6+8.4+25.2+354.4+36.1-37.8+50-650.4+55</f>
        <v>610.9</v>
      </c>
      <c r="X34" s="117">
        <v>610.6</v>
      </c>
      <c r="Y34" s="117">
        <f t="shared" ref="Y34:Y35" si="51">X34/W34*100</f>
        <v>99.950892126370945</v>
      </c>
      <c r="Z34" s="123">
        <f>13+8.4+262+27.4+20.7+440.1+8.4+25.2+344.5+36.1+617</f>
        <v>1802.7999999999997</v>
      </c>
      <c r="AA34" s="123">
        <v>0</v>
      </c>
      <c r="AB34" s="117">
        <f t="shared" si="35"/>
        <v>0</v>
      </c>
      <c r="AC34" s="221">
        <f>13+16.8+262+27.4+20.7+414.2+8.4+25.2+344.5+36.1-52.1+16.7+618.3</f>
        <v>1751.1999999999998</v>
      </c>
      <c r="AD34" s="221">
        <v>0</v>
      </c>
      <c r="AE34" s="117">
        <f t="shared" si="11"/>
        <v>0</v>
      </c>
      <c r="AF34" s="221">
        <f>13.1+16.8+262+30.1+27.4+1.2+350.6+8.4+25.2+387.6+36.1+70.8</f>
        <v>1229.3</v>
      </c>
      <c r="AG34" s="222">
        <v>0</v>
      </c>
      <c r="AH34" s="123">
        <f t="shared" si="49"/>
        <v>0</v>
      </c>
      <c r="AI34" s="221">
        <f>13+16.8+262+182.2+8.4+25.2+178.8+36.1</f>
        <v>722.5</v>
      </c>
      <c r="AJ34" s="221">
        <v>0</v>
      </c>
      <c r="AK34" s="221">
        <f>AJ34/AI34*100</f>
        <v>0</v>
      </c>
      <c r="AL34" s="221">
        <f>13+16.8+429.6+33+54.2+25.2+94.4+36.1</f>
        <v>702.30000000000007</v>
      </c>
      <c r="AM34" s="221">
        <v>0</v>
      </c>
      <c r="AN34" s="221">
        <f>AM34/AL34*100</f>
        <v>0</v>
      </c>
      <c r="AO34" s="221">
        <f>5.1+16.8+18.3+36.1+195.4+10.2+215.1</f>
        <v>497</v>
      </c>
      <c r="AP34" s="123">
        <v>0</v>
      </c>
      <c r="AQ34" s="123">
        <f>AP34/AO34*100</f>
        <v>0</v>
      </c>
      <c r="AR34" s="424"/>
      <c r="AS34" s="342"/>
      <c r="AT34" s="233"/>
      <c r="AU34" s="233"/>
      <c r="AV34" s="229"/>
      <c r="AX34" s="228"/>
    </row>
    <row r="35" spans="1:50" s="230" customFormat="1" ht="12.75" customHeight="1">
      <c r="A35" s="486"/>
      <c r="B35" s="483"/>
      <c r="C35" s="483"/>
      <c r="D35" s="220" t="s">
        <v>454</v>
      </c>
      <c r="E35" s="123">
        <f t="shared" ref="E35:F36" si="52">H35+K35+N35+Q35+T35+W35+Z35+AC35+AF35+AI35+AL35+AO35</f>
        <v>5651.2999999999993</v>
      </c>
      <c r="F35" s="123">
        <f t="shared" si="52"/>
        <v>2514.9</v>
      </c>
      <c r="G35" s="123">
        <f>F35/E35*100</f>
        <v>44.501265195618714</v>
      </c>
      <c r="H35" s="123">
        <f>10+75.8</f>
        <v>85.8</v>
      </c>
      <c r="I35" s="123">
        <v>40.9</v>
      </c>
      <c r="J35" s="123">
        <f>I35/H35*100</f>
        <v>47.668997668997669</v>
      </c>
      <c r="K35" s="123">
        <f>16.8+56+165.8+36.4</f>
        <v>275</v>
      </c>
      <c r="L35" s="123">
        <v>124.7</v>
      </c>
      <c r="M35" s="123">
        <f>L35/K35*100</f>
        <v>45.345454545454544</v>
      </c>
      <c r="N35" s="123">
        <f>34+132+8.5+50.6+135.2+36.4+29.1+264.7</f>
        <v>690.5</v>
      </c>
      <c r="O35" s="123">
        <v>399.9</v>
      </c>
      <c r="P35" s="123">
        <f>O35/N35*100</f>
        <v>57.914554670528595</v>
      </c>
      <c r="Q35" s="123">
        <f>19.1+287+17.6+25.4+117.6+36.4+15+85+114.3</f>
        <v>717.4</v>
      </c>
      <c r="R35" s="123">
        <v>780.2</v>
      </c>
      <c r="S35" s="123">
        <f>R35/Q35*100</f>
        <v>108.75383328686925</v>
      </c>
      <c r="T35" s="221">
        <f>3.9+17.7+325.1+21.7+8.5+25.4+141.5+36.4+371.4-114.3</f>
        <v>837.3</v>
      </c>
      <c r="U35" s="221">
        <v>837.3</v>
      </c>
      <c r="V35" s="117">
        <f t="shared" si="50"/>
        <v>100</v>
      </c>
      <c r="W35" s="117">
        <f>7.1+8.5+363.5+37.1+18.8+21.7+8.5+25.4+177.8+36.4+18.2-19.7-371.4</f>
        <v>331.90000000000009</v>
      </c>
      <c r="X35" s="117">
        <v>331.9</v>
      </c>
      <c r="Y35" s="117">
        <f t="shared" si="51"/>
        <v>99.999999999999972</v>
      </c>
      <c r="Z35" s="123">
        <f>7+8.5+363.1+27.6+17.6+8.5+25.4+188.9+36.4-68.9</f>
        <v>614.1</v>
      </c>
      <c r="AA35" s="123">
        <v>0</v>
      </c>
      <c r="AB35" s="117">
        <f t="shared" si="35"/>
        <v>0</v>
      </c>
      <c r="AC35" s="221">
        <f>6.4+8.5+356.1+27.6+21.7+8.5+25.4+165+36.4</f>
        <v>655.6</v>
      </c>
      <c r="AD35" s="221">
        <v>0</v>
      </c>
      <c r="AE35" s="117">
        <f t="shared" si="11"/>
        <v>0</v>
      </c>
      <c r="AF35" s="221">
        <f>4.4+8.4+354.7+26.4+27.6+1.3+25.4+188.8+36.4-56.2+57.9-145.7</f>
        <v>529.39999999999986</v>
      </c>
      <c r="AG35" s="222">
        <v>0</v>
      </c>
      <c r="AH35" s="123">
        <f t="shared" si="49"/>
        <v>0</v>
      </c>
      <c r="AI35" s="221">
        <f>5.4+16.9+297+8.5+0.2+223.7+36.4-44.7-15.9</f>
        <v>527.5</v>
      </c>
      <c r="AJ35" s="221">
        <v>0</v>
      </c>
      <c r="AK35" s="221">
        <f>AJ35/AI35*100</f>
        <v>0</v>
      </c>
      <c r="AL35" s="221">
        <f>4.2+16.9+214.9+9.1+104.6+36.4-44.7</f>
        <v>341.4</v>
      </c>
      <c r="AM35" s="221">
        <v>0</v>
      </c>
      <c r="AN35" s="221">
        <f>AM35/AL35*100</f>
        <v>0</v>
      </c>
      <c r="AO35" s="221">
        <f>1.8+16.2+72.2-44.8</f>
        <v>45.400000000000006</v>
      </c>
      <c r="AP35" s="123">
        <v>0</v>
      </c>
      <c r="AQ35" s="123">
        <f>AP35/AO35*100</f>
        <v>0</v>
      </c>
      <c r="AR35" s="424"/>
      <c r="AS35" s="342"/>
      <c r="AT35" s="233"/>
      <c r="AU35" s="233"/>
      <c r="AV35" s="229"/>
      <c r="AX35" s="228"/>
    </row>
    <row r="36" spans="1:50" s="230" customFormat="1" ht="24">
      <c r="A36" s="486"/>
      <c r="B36" s="483"/>
      <c r="C36" s="483"/>
      <c r="D36" s="143" t="s">
        <v>257</v>
      </c>
      <c r="E36" s="123">
        <f t="shared" si="52"/>
        <v>0</v>
      </c>
      <c r="F36" s="123">
        <f t="shared" si="52"/>
        <v>0</v>
      </c>
      <c r="G36" s="123">
        <v>0</v>
      </c>
      <c r="H36" s="123">
        <v>0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  <c r="N36" s="123">
        <v>0</v>
      </c>
      <c r="O36" s="123">
        <v>0</v>
      </c>
      <c r="P36" s="123">
        <v>0</v>
      </c>
      <c r="Q36" s="123">
        <v>0</v>
      </c>
      <c r="R36" s="123">
        <v>0</v>
      </c>
      <c r="S36" s="123">
        <v>0</v>
      </c>
      <c r="T36" s="117">
        <v>0</v>
      </c>
      <c r="U36" s="117">
        <v>0</v>
      </c>
      <c r="V36" s="117">
        <v>0</v>
      </c>
      <c r="W36" s="117">
        <v>0</v>
      </c>
      <c r="X36" s="117">
        <v>0</v>
      </c>
      <c r="Y36" s="117">
        <v>0</v>
      </c>
      <c r="Z36" s="123">
        <v>0</v>
      </c>
      <c r="AA36" s="123">
        <v>0</v>
      </c>
      <c r="AB36" s="123">
        <v>0</v>
      </c>
      <c r="AC36" s="117">
        <v>0</v>
      </c>
      <c r="AD36" s="117">
        <v>0</v>
      </c>
      <c r="AE36" s="117">
        <v>0</v>
      </c>
      <c r="AF36" s="117">
        <v>0</v>
      </c>
      <c r="AG36" s="117">
        <v>0</v>
      </c>
      <c r="AH36" s="117">
        <v>0</v>
      </c>
      <c r="AI36" s="123">
        <v>0</v>
      </c>
      <c r="AJ36" s="123">
        <v>0</v>
      </c>
      <c r="AK36" s="123">
        <v>0</v>
      </c>
      <c r="AL36" s="117">
        <v>0</v>
      </c>
      <c r="AM36" s="117">
        <v>0</v>
      </c>
      <c r="AN36" s="117">
        <v>0</v>
      </c>
      <c r="AO36" s="117">
        <v>0</v>
      </c>
      <c r="AP36" s="123">
        <v>0</v>
      </c>
      <c r="AQ36" s="123">
        <v>0</v>
      </c>
      <c r="AR36" s="424"/>
      <c r="AS36" s="342"/>
      <c r="AT36" s="228"/>
      <c r="AU36" s="228"/>
      <c r="AV36" s="229"/>
      <c r="AX36" s="228"/>
    </row>
    <row r="37" spans="1:50" s="230" customFormat="1" ht="24">
      <c r="A37" s="487"/>
      <c r="B37" s="484"/>
      <c r="C37" s="484"/>
      <c r="D37" s="143" t="s">
        <v>460</v>
      </c>
      <c r="E37" s="123">
        <f>H37+K37+N37+Q37+T37+W37+Z37+AC37+AF37+AI37+AL37+AO37</f>
        <v>0</v>
      </c>
      <c r="F37" s="123">
        <f>I37+L37+O37+R37+U37+X37+AA37+AD37+AG37+AJ37+AM37+AP37</f>
        <v>0</v>
      </c>
      <c r="G37" s="123">
        <v>0</v>
      </c>
      <c r="H37" s="123">
        <v>0</v>
      </c>
      <c r="I37" s="123">
        <v>0</v>
      </c>
      <c r="J37" s="123">
        <v>0</v>
      </c>
      <c r="K37" s="132">
        <v>0</v>
      </c>
      <c r="L37" s="123">
        <v>0</v>
      </c>
      <c r="M37" s="123">
        <v>0</v>
      </c>
      <c r="N37" s="123">
        <v>0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17">
        <v>0</v>
      </c>
      <c r="U37" s="117">
        <v>0</v>
      </c>
      <c r="V37" s="123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23">
        <v>0</v>
      </c>
      <c r="AI37" s="123">
        <v>0</v>
      </c>
      <c r="AJ37" s="123">
        <v>0</v>
      </c>
      <c r="AK37" s="123">
        <v>0</v>
      </c>
      <c r="AL37" s="117">
        <v>0</v>
      </c>
      <c r="AM37" s="117">
        <v>0</v>
      </c>
      <c r="AN37" s="117">
        <v>0</v>
      </c>
      <c r="AO37" s="123">
        <v>0</v>
      </c>
      <c r="AP37" s="123"/>
      <c r="AQ37" s="123"/>
      <c r="AR37" s="425"/>
      <c r="AS37" s="343"/>
      <c r="AT37" s="228"/>
      <c r="AU37" s="228"/>
      <c r="AV37" s="229"/>
    </row>
    <row r="38" spans="1:50" s="230" customFormat="1" ht="47.25" customHeight="1">
      <c r="A38" s="485" t="s">
        <v>10</v>
      </c>
      <c r="B38" s="482" t="s">
        <v>464</v>
      </c>
      <c r="C38" s="482" t="s">
        <v>493</v>
      </c>
      <c r="D38" s="219" t="s">
        <v>443</v>
      </c>
      <c r="E38" s="123">
        <f>SUM(E39:E40)</f>
        <v>12085.9</v>
      </c>
      <c r="F38" s="123">
        <f>SUM(F39:F40)</f>
        <v>5889.2</v>
      </c>
      <c r="G38" s="123">
        <f>F38/E38*100</f>
        <v>48.727856427738111</v>
      </c>
      <c r="H38" s="123">
        <f>SUM(H39:H40)</f>
        <v>745.9</v>
      </c>
      <c r="I38" s="123">
        <f>SUM(I39:I40)</f>
        <v>745.9</v>
      </c>
      <c r="J38" s="123">
        <f>I38/H38*100</f>
        <v>100</v>
      </c>
      <c r="K38" s="123">
        <f>SUM(K39:K40)</f>
        <v>171.5</v>
      </c>
      <c r="L38" s="123">
        <f>SUM(L39:L40)</f>
        <v>128.69999999999999</v>
      </c>
      <c r="M38" s="123">
        <f>L38/K38*100</f>
        <v>75.043731778425652</v>
      </c>
      <c r="N38" s="123">
        <f>SUM(N39:N40)</f>
        <v>375.90000000000009</v>
      </c>
      <c r="O38" s="123">
        <f>SUM(O39:O40)</f>
        <v>167.5</v>
      </c>
      <c r="P38" s="123">
        <f>O38/N38*100</f>
        <v>44.559723330673037</v>
      </c>
      <c r="Q38" s="123">
        <f>SUM(Q39:Q40)</f>
        <v>429.09999999999991</v>
      </c>
      <c r="R38" s="123">
        <f>SUM(R39:R40)</f>
        <v>429.1</v>
      </c>
      <c r="S38" s="123">
        <f>R38/Q38*100</f>
        <v>100.00000000000003</v>
      </c>
      <c r="T38" s="123">
        <f>SUM(T39:T40)</f>
        <v>3584.7000000000003</v>
      </c>
      <c r="U38" s="123">
        <f>SUM(U39:U40)</f>
        <v>3684.2</v>
      </c>
      <c r="V38" s="123">
        <f>SUM(V39:V40)</f>
        <v>102.77568555248695</v>
      </c>
      <c r="W38" s="123">
        <f>SUM(W39:W40)</f>
        <v>746.5</v>
      </c>
      <c r="X38" s="123">
        <f>SUM(X39:X40)</f>
        <v>733.8</v>
      </c>
      <c r="Y38" s="117">
        <f>X38/W38*100</f>
        <v>98.298727394507708</v>
      </c>
      <c r="Z38" s="123">
        <f>SUM(Z39:Z40)</f>
        <v>917.2</v>
      </c>
      <c r="AA38" s="123">
        <f>SUM(AA39:AA40)</f>
        <v>0</v>
      </c>
      <c r="AB38" s="123">
        <f>AA38/Z38*100</f>
        <v>0</v>
      </c>
      <c r="AC38" s="123">
        <f>SUM(AC39:AC40)</f>
        <v>212</v>
      </c>
      <c r="AD38" s="123">
        <f>SUM(AD39:AD40)</f>
        <v>0</v>
      </c>
      <c r="AE38" s="117">
        <f>AD38/AC38*100</f>
        <v>0</v>
      </c>
      <c r="AF38" s="123">
        <f>SUM(AF39:AF40)</f>
        <v>1891</v>
      </c>
      <c r="AG38" s="123">
        <f>SUM(AG39:AG40)</f>
        <v>0</v>
      </c>
      <c r="AH38" s="117">
        <f>AG38/AF38*100</f>
        <v>0</v>
      </c>
      <c r="AI38" s="123">
        <f t="shared" ref="AI38:AQ38" si="53">SUM(AI39:AI40)</f>
        <v>518.9</v>
      </c>
      <c r="AJ38" s="123">
        <f t="shared" si="53"/>
        <v>0</v>
      </c>
      <c r="AK38" s="123">
        <f t="shared" si="53"/>
        <v>0</v>
      </c>
      <c r="AL38" s="123">
        <f t="shared" si="53"/>
        <v>500</v>
      </c>
      <c r="AM38" s="123">
        <f t="shared" si="53"/>
        <v>0</v>
      </c>
      <c r="AN38" s="123">
        <f t="shared" si="53"/>
        <v>0</v>
      </c>
      <c r="AO38" s="123">
        <f t="shared" si="53"/>
        <v>1993.2</v>
      </c>
      <c r="AP38" s="123">
        <f t="shared" si="53"/>
        <v>0</v>
      </c>
      <c r="AQ38" s="123">
        <f t="shared" si="53"/>
        <v>0</v>
      </c>
      <c r="AR38" s="423" t="s">
        <v>513</v>
      </c>
      <c r="AS38" s="423" t="s">
        <v>518</v>
      </c>
      <c r="AT38" s="228"/>
      <c r="AU38" s="228"/>
      <c r="AV38" s="229"/>
      <c r="AX38" s="228"/>
    </row>
    <row r="39" spans="1:50" s="230" customFormat="1" ht="59.25" customHeight="1">
      <c r="A39" s="486"/>
      <c r="B39" s="483"/>
      <c r="C39" s="483"/>
      <c r="D39" s="220" t="s">
        <v>441</v>
      </c>
      <c r="E39" s="123">
        <f>H39+K39+N39+Q39+T39+W39+Z39+AC39+AF39+AI39+AL39+AO39</f>
        <v>0</v>
      </c>
      <c r="F39" s="123">
        <f>I39+L39+O39+R39+U39+X39+AA39+AD39+AG39+AJ39+AM39+AP39</f>
        <v>0</v>
      </c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23">
        <v>0</v>
      </c>
      <c r="AA39" s="123">
        <v>0</v>
      </c>
      <c r="AB39" s="123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23">
        <v>0</v>
      </c>
      <c r="AJ39" s="123">
        <v>0</v>
      </c>
      <c r="AK39" s="123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424"/>
      <c r="AS39" s="424"/>
      <c r="AT39" s="228"/>
      <c r="AU39" s="228"/>
      <c r="AV39" s="229"/>
      <c r="AX39" s="228"/>
    </row>
    <row r="40" spans="1:50" s="230" customFormat="1" ht="50.25" customHeight="1">
      <c r="A40" s="486"/>
      <c r="B40" s="483"/>
      <c r="C40" s="483"/>
      <c r="D40" s="220" t="s">
        <v>454</v>
      </c>
      <c r="E40" s="123">
        <f t="shared" ref="E40:F42" si="54">H40+K40+N40+Q40+T40+W40+Z40+AC40+AF40+AI40+AL40+AO40</f>
        <v>12085.9</v>
      </c>
      <c r="F40" s="123">
        <f t="shared" si="54"/>
        <v>5889.2</v>
      </c>
      <c r="G40" s="123">
        <f>F40/E40*100</f>
        <v>48.727856427738111</v>
      </c>
      <c r="H40" s="123">
        <f>0+745.9</f>
        <v>745.9</v>
      </c>
      <c r="I40" s="123">
        <v>745.9</v>
      </c>
      <c r="J40" s="123">
        <f>I40/H40*100</f>
        <v>100</v>
      </c>
      <c r="K40" s="123">
        <f>30+56.4+31+800-745.9</f>
        <v>171.5</v>
      </c>
      <c r="L40" s="123">
        <v>128.69999999999999</v>
      </c>
      <c r="M40" s="123">
        <f>L40/K40*100</f>
        <v>75.043731778425652</v>
      </c>
      <c r="N40" s="123">
        <f>3999+56.3+31-2910.4-800</f>
        <v>375.90000000000009</v>
      </c>
      <c r="O40" s="123">
        <v>167.5</v>
      </c>
      <c r="P40" s="123">
        <f>O40/N40*100</f>
        <v>44.559723330673037</v>
      </c>
      <c r="Q40" s="123">
        <f>737+56.4+26-4.2-386.1</f>
        <v>429.09999999999991</v>
      </c>
      <c r="R40" s="123">
        <v>429.1</v>
      </c>
      <c r="S40" s="123">
        <f>R40/Q40*100</f>
        <v>100.00000000000003</v>
      </c>
      <c r="T40" s="221">
        <f>511+56.4+26+2771.3+220</f>
        <v>3584.7000000000003</v>
      </c>
      <c r="U40" s="221">
        <v>3684.2</v>
      </c>
      <c r="V40" s="117">
        <f t="shared" ref="V40" si="55">U40/T40*100</f>
        <v>102.77568555248695</v>
      </c>
      <c r="W40" s="117">
        <f>508+56.4+16+386.1-220</f>
        <v>746.5</v>
      </c>
      <c r="X40" s="117">
        <v>733.8</v>
      </c>
      <c r="Y40" s="117">
        <f t="shared" ref="Y40" si="56">X40/W40*100</f>
        <v>98.298727394507708</v>
      </c>
      <c r="Z40" s="123">
        <f>561.5+56.4+16+1000-716.7</f>
        <v>917.2</v>
      </c>
      <c r="AA40" s="123">
        <v>0</v>
      </c>
      <c r="AB40" s="117">
        <f t="shared" ref="AB40" si="57">AA40/Z40*100</f>
        <v>0</v>
      </c>
      <c r="AC40" s="221">
        <f>683+538.4+16+974.6-2000</f>
        <v>212</v>
      </c>
      <c r="AD40" s="221">
        <v>0</v>
      </c>
      <c r="AE40" s="117">
        <f t="shared" ref="AE40" si="58">AD40/AC40*100</f>
        <v>0</v>
      </c>
      <c r="AF40" s="221">
        <f>433+442+16+1000</f>
        <v>1891</v>
      </c>
      <c r="AG40" s="222">
        <v>0</v>
      </c>
      <c r="AH40" s="123">
        <f t="shared" ref="AH40" si="59">AG40/AF40*100</f>
        <v>0</v>
      </c>
      <c r="AI40" s="221">
        <f>438.5+56.4+24</f>
        <v>518.9</v>
      </c>
      <c r="AJ40" s="221">
        <v>0</v>
      </c>
      <c r="AK40" s="221">
        <f>AJ40/AI40*100</f>
        <v>0</v>
      </c>
      <c r="AL40" s="221">
        <f>303+226+31-60</f>
        <v>500</v>
      </c>
      <c r="AM40" s="221">
        <v>0</v>
      </c>
      <c r="AN40" s="221">
        <f>AM40/AL40*100</f>
        <v>0</v>
      </c>
      <c r="AO40" s="221">
        <f>21+1991.6+35.2-54.6</f>
        <v>1993.2</v>
      </c>
      <c r="AP40" s="123">
        <v>0</v>
      </c>
      <c r="AQ40" s="123">
        <f>AP40/AO40*100</f>
        <v>0</v>
      </c>
      <c r="AR40" s="424"/>
      <c r="AS40" s="424"/>
      <c r="AT40" s="233"/>
      <c r="AU40" s="233"/>
      <c r="AV40" s="229"/>
      <c r="AX40" s="228"/>
    </row>
    <row r="41" spans="1:50" s="230" customFormat="1" ht="69.75" customHeight="1">
      <c r="A41" s="486"/>
      <c r="B41" s="483"/>
      <c r="C41" s="483"/>
      <c r="D41" s="259" t="s">
        <v>501</v>
      </c>
      <c r="E41" s="260">
        <f t="shared" si="54"/>
        <v>3125.9000000000005</v>
      </c>
      <c r="F41" s="260">
        <f t="shared" si="54"/>
        <v>2200.1000000000004</v>
      </c>
      <c r="G41" s="260">
        <f>F41/E41*100</f>
        <v>70.382929716241733</v>
      </c>
      <c r="H41" s="260">
        <v>0</v>
      </c>
      <c r="I41" s="260">
        <v>0</v>
      </c>
      <c r="J41" s="260">
        <v>0</v>
      </c>
      <c r="K41" s="260">
        <v>150.5</v>
      </c>
      <c r="L41" s="260">
        <v>150.5</v>
      </c>
      <c r="M41" s="260">
        <f>L41/K41*100</f>
        <v>100</v>
      </c>
      <c r="N41" s="260">
        <f>1720.9-150.5-1500</f>
        <v>70.400000000000091</v>
      </c>
      <c r="O41" s="260">
        <v>61</v>
      </c>
      <c r="P41" s="260">
        <f>O41/N41*100</f>
        <v>86.647727272727167</v>
      </c>
      <c r="Q41" s="260">
        <v>0</v>
      </c>
      <c r="R41" s="260">
        <v>0</v>
      </c>
      <c r="S41" s="260">
        <v>0</v>
      </c>
      <c r="T41" s="261">
        <v>722.7</v>
      </c>
      <c r="U41" s="261">
        <v>722.7</v>
      </c>
      <c r="V41" s="260">
        <f>U41/T41*100</f>
        <v>100</v>
      </c>
      <c r="W41" s="262">
        <v>1500</v>
      </c>
      <c r="X41" s="262">
        <v>1265.9000000000001</v>
      </c>
      <c r="Y41" s="260">
        <f>X41/W41*100</f>
        <v>84.393333333333345</v>
      </c>
      <c r="Z41" s="260">
        <v>0</v>
      </c>
      <c r="AA41" s="260">
        <v>0</v>
      </c>
      <c r="AB41" s="262">
        <v>0</v>
      </c>
      <c r="AC41" s="261">
        <v>0</v>
      </c>
      <c r="AD41" s="261">
        <v>0</v>
      </c>
      <c r="AE41" s="262">
        <v>0</v>
      </c>
      <c r="AF41" s="261">
        <v>0</v>
      </c>
      <c r="AG41" s="263">
        <v>0</v>
      </c>
      <c r="AH41" s="260">
        <v>0</v>
      </c>
      <c r="AI41" s="261">
        <v>682.3</v>
      </c>
      <c r="AJ41" s="261">
        <v>0</v>
      </c>
      <c r="AK41" s="261">
        <f>AJ41/AI41*100</f>
        <v>0</v>
      </c>
      <c r="AL41" s="261">
        <v>0</v>
      </c>
      <c r="AM41" s="261">
        <v>0</v>
      </c>
      <c r="AN41" s="261" t="e">
        <f>AM41/AL41*100</f>
        <v>#DIV/0!</v>
      </c>
      <c r="AO41" s="261">
        <v>0</v>
      </c>
      <c r="AP41" s="123"/>
      <c r="AQ41" s="123"/>
      <c r="AR41" s="424"/>
      <c r="AS41" s="424"/>
      <c r="AT41" s="228"/>
      <c r="AU41" s="228"/>
      <c r="AV41" s="229"/>
      <c r="AX41" s="228"/>
    </row>
    <row r="42" spans="1:50" s="230" customFormat="1" ht="52.5" customHeight="1">
      <c r="A42" s="486"/>
      <c r="B42" s="483"/>
      <c r="C42" s="483"/>
      <c r="D42" s="143" t="s">
        <v>257</v>
      </c>
      <c r="E42" s="123">
        <f t="shared" si="54"/>
        <v>0</v>
      </c>
      <c r="F42" s="123">
        <f t="shared" si="54"/>
        <v>0</v>
      </c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3">
        <v>0</v>
      </c>
      <c r="O42" s="123">
        <v>0</v>
      </c>
      <c r="P42" s="123">
        <v>0</v>
      </c>
      <c r="Q42" s="123">
        <v>0</v>
      </c>
      <c r="R42" s="123">
        <v>0</v>
      </c>
      <c r="S42" s="123">
        <v>0</v>
      </c>
      <c r="T42" s="117">
        <v>0</v>
      </c>
      <c r="U42" s="117">
        <v>0</v>
      </c>
      <c r="V42" s="117">
        <v>0</v>
      </c>
      <c r="W42" s="117">
        <v>0</v>
      </c>
      <c r="X42" s="117">
        <v>0</v>
      </c>
      <c r="Y42" s="117">
        <v>0</v>
      </c>
      <c r="Z42" s="123">
        <v>0</v>
      </c>
      <c r="AA42" s="123">
        <v>0</v>
      </c>
      <c r="AB42" s="123">
        <v>0</v>
      </c>
      <c r="AC42" s="117">
        <v>0</v>
      </c>
      <c r="AD42" s="117">
        <v>0</v>
      </c>
      <c r="AE42" s="117">
        <v>0</v>
      </c>
      <c r="AF42" s="117">
        <v>0</v>
      </c>
      <c r="AG42" s="117">
        <v>0</v>
      </c>
      <c r="AH42" s="117">
        <v>0</v>
      </c>
      <c r="AI42" s="123">
        <v>0</v>
      </c>
      <c r="AJ42" s="123">
        <v>0</v>
      </c>
      <c r="AK42" s="123">
        <v>0</v>
      </c>
      <c r="AL42" s="117">
        <v>0</v>
      </c>
      <c r="AM42" s="117">
        <v>0</v>
      </c>
      <c r="AN42" s="117">
        <v>0</v>
      </c>
      <c r="AO42" s="117">
        <v>0</v>
      </c>
      <c r="AP42" s="117">
        <v>0</v>
      </c>
      <c r="AQ42" s="117">
        <v>0</v>
      </c>
      <c r="AR42" s="424"/>
      <c r="AS42" s="424"/>
      <c r="AT42" s="228"/>
      <c r="AU42" s="228"/>
      <c r="AV42" s="229"/>
    </row>
    <row r="43" spans="1:50" s="230" customFormat="1" ht="65.25" customHeight="1">
      <c r="A43" s="487"/>
      <c r="B43" s="484"/>
      <c r="C43" s="484"/>
      <c r="D43" s="143" t="s">
        <v>460</v>
      </c>
      <c r="E43" s="123">
        <f>H43+K43+N43+Q43+T43+W43+Z43+AC43+AF43+AI43+AL43+AO43</f>
        <v>0</v>
      </c>
      <c r="F43" s="123">
        <f>I43+L43+O43+R43+U43+X43+AA43+AD43+AG43+AJ43+AM43+AP43</f>
        <v>0</v>
      </c>
      <c r="G43" s="123">
        <v>0</v>
      </c>
      <c r="H43" s="123">
        <v>0</v>
      </c>
      <c r="I43" s="123">
        <v>0</v>
      </c>
      <c r="J43" s="123">
        <v>0</v>
      </c>
      <c r="K43" s="132">
        <v>0</v>
      </c>
      <c r="L43" s="123">
        <v>0</v>
      </c>
      <c r="M43" s="123">
        <v>0</v>
      </c>
      <c r="N43" s="123">
        <v>0</v>
      </c>
      <c r="O43" s="123">
        <v>0</v>
      </c>
      <c r="P43" s="123">
        <v>0</v>
      </c>
      <c r="Q43" s="123">
        <v>0</v>
      </c>
      <c r="R43" s="123">
        <v>0</v>
      </c>
      <c r="S43" s="123">
        <v>0</v>
      </c>
      <c r="T43" s="117">
        <v>0</v>
      </c>
      <c r="U43" s="117">
        <v>0</v>
      </c>
      <c r="V43" s="123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23">
        <v>0</v>
      </c>
      <c r="AI43" s="123">
        <v>0</v>
      </c>
      <c r="AJ43" s="123">
        <v>0</v>
      </c>
      <c r="AK43" s="123">
        <v>0</v>
      </c>
      <c r="AL43" s="117">
        <v>0</v>
      </c>
      <c r="AM43" s="117">
        <v>0</v>
      </c>
      <c r="AN43" s="117">
        <v>0</v>
      </c>
      <c r="AO43" s="123">
        <v>0</v>
      </c>
      <c r="AP43" s="117"/>
      <c r="AQ43" s="117"/>
      <c r="AR43" s="425"/>
      <c r="AS43" s="425"/>
      <c r="AT43" s="228"/>
      <c r="AU43" s="228"/>
      <c r="AV43" s="229"/>
    </row>
    <row r="44" spans="1:50" s="230" customFormat="1" ht="21.75" customHeight="1">
      <c r="A44" s="485" t="s">
        <v>11</v>
      </c>
      <c r="B44" s="482" t="s">
        <v>465</v>
      </c>
      <c r="C44" s="482" t="s">
        <v>450</v>
      </c>
      <c r="D44" s="219" t="s">
        <v>443</v>
      </c>
      <c r="E44" s="123">
        <f>SUM(E45:E47)</f>
        <v>0</v>
      </c>
      <c r="F44" s="123">
        <f t="shared" ref="F44" si="60">SUM(F45:F47)</f>
        <v>0</v>
      </c>
      <c r="G44" s="123">
        <v>0</v>
      </c>
      <c r="H44" s="123">
        <f t="shared" ref="H44:I44" si="61">SUM(H45:H47)</f>
        <v>0</v>
      </c>
      <c r="I44" s="123">
        <f t="shared" si="61"/>
        <v>0</v>
      </c>
      <c r="J44" s="123">
        <v>0</v>
      </c>
      <c r="K44" s="123">
        <f t="shared" ref="K44:L44" si="62">SUM(K45:K47)</f>
        <v>0</v>
      </c>
      <c r="L44" s="123">
        <f t="shared" si="62"/>
        <v>0</v>
      </c>
      <c r="M44" s="123">
        <v>0</v>
      </c>
      <c r="N44" s="123">
        <f t="shared" ref="N44:O44" si="63">SUM(N45:N47)</f>
        <v>0</v>
      </c>
      <c r="O44" s="123">
        <f t="shared" si="63"/>
        <v>0</v>
      </c>
      <c r="P44" s="123">
        <v>0</v>
      </c>
      <c r="Q44" s="123">
        <f t="shared" ref="Q44:R44" si="64">SUM(Q45:Q47)</f>
        <v>0</v>
      </c>
      <c r="R44" s="123">
        <f t="shared" si="64"/>
        <v>0</v>
      </c>
      <c r="S44" s="123">
        <v>0</v>
      </c>
      <c r="T44" s="123">
        <f t="shared" ref="T44:AA44" si="65">SUM(T45:T47)</f>
        <v>0</v>
      </c>
      <c r="U44" s="123">
        <f t="shared" si="65"/>
        <v>0</v>
      </c>
      <c r="V44" s="123">
        <f t="shared" si="65"/>
        <v>0</v>
      </c>
      <c r="W44" s="123">
        <f t="shared" si="65"/>
        <v>0</v>
      </c>
      <c r="X44" s="123">
        <f t="shared" si="65"/>
        <v>0</v>
      </c>
      <c r="Y44" s="123">
        <f t="shared" si="65"/>
        <v>0</v>
      </c>
      <c r="Z44" s="123">
        <f t="shared" si="65"/>
        <v>0</v>
      </c>
      <c r="AA44" s="123">
        <f t="shared" si="65"/>
        <v>0</v>
      </c>
      <c r="AB44" s="117">
        <v>0</v>
      </c>
      <c r="AC44" s="123">
        <f t="shared" ref="AC44:AD44" si="66">SUM(AC45:AC47)</f>
        <v>0</v>
      </c>
      <c r="AD44" s="123">
        <f t="shared" si="66"/>
        <v>0</v>
      </c>
      <c r="AE44" s="123">
        <v>0</v>
      </c>
      <c r="AF44" s="123">
        <f t="shared" ref="AF44:AG44" si="67">SUM(AF45:AF47)</f>
        <v>0</v>
      </c>
      <c r="AG44" s="123">
        <f t="shared" si="67"/>
        <v>0</v>
      </c>
      <c r="AH44" s="123">
        <v>0</v>
      </c>
      <c r="AI44" s="123">
        <f t="shared" ref="AI44:AJ44" si="68">SUM(AI45:AI47)</f>
        <v>0</v>
      </c>
      <c r="AJ44" s="123">
        <f t="shared" si="68"/>
        <v>0</v>
      </c>
      <c r="AK44" s="123">
        <v>0</v>
      </c>
      <c r="AL44" s="123">
        <f t="shared" ref="AL44:AM44" si="69">SUM(AL45:AL47)</f>
        <v>0</v>
      </c>
      <c r="AM44" s="123">
        <f t="shared" si="69"/>
        <v>0</v>
      </c>
      <c r="AN44" s="117">
        <v>0</v>
      </c>
      <c r="AO44" s="123">
        <f t="shared" ref="AO44:AP44" si="70">SUM(AO45:AO47)</f>
        <v>0</v>
      </c>
      <c r="AP44" s="123">
        <f t="shared" si="70"/>
        <v>0</v>
      </c>
      <c r="AQ44" s="123">
        <v>0</v>
      </c>
      <c r="AR44" s="423" t="s">
        <v>503</v>
      </c>
      <c r="AS44" s="341"/>
      <c r="AT44" s="228"/>
      <c r="AU44" s="228"/>
      <c r="AV44" s="229"/>
    </row>
    <row r="45" spans="1:50" s="230" customFormat="1" ht="64.5" customHeight="1">
      <c r="A45" s="486"/>
      <c r="B45" s="483"/>
      <c r="C45" s="483"/>
      <c r="D45" s="220" t="s">
        <v>441</v>
      </c>
      <c r="E45" s="123">
        <f>H45+K45+N45+Q45+T45+W45+Z45+AC45+AF45+AI45+AL45+AO45</f>
        <v>0</v>
      </c>
      <c r="F45" s="123">
        <f>I45+L45+O45+R45+U45+X45+AA45+AD45+AG45+AJ45+AM45+AP45</f>
        <v>0</v>
      </c>
      <c r="G45" s="123">
        <v>0</v>
      </c>
      <c r="H45" s="123">
        <v>0</v>
      </c>
      <c r="I45" s="123">
        <v>0</v>
      </c>
      <c r="J45" s="123">
        <v>0</v>
      </c>
      <c r="K45" s="132">
        <v>0</v>
      </c>
      <c r="L45" s="123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23">
        <v>0</v>
      </c>
      <c r="AJ45" s="123">
        <v>0</v>
      </c>
      <c r="AK45" s="123">
        <v>0</v>
      </c>
      <c r="AL45" s="117">
        <v>0</v>
      </c>
      <c r="AM45" s="117">
        <v>0</v>
      </c>
      <c r="AN45" s="117">
        <v>0</v>
      </c>
      <c r="AO45" s="123">
        <v>0</v>
      </c>
      <c r="AP45" s="123">
        <v>0</v>
      </c>
      <c r="AQ45" s="123">
        <v>0</v>
      </c>
      <c r="AR45" s="424"/>
      <c r="AS45" s="342"/>
      <c r="AT45" s="228"/>
      <c r="AU45" s="228"/>
      <c r="AV45" s="229"/>
    </row>
    <row r="46" spans="1:50" s="230" customFormat="1" ht="21" customHeight="1">
      <c r="A46" s="486"/>
      <c r="B46" s="483"/>
      <c r="C46" s="483"/>
      <c r="D46" s="220" t="s">
        <v>454</v>
      </c>
      <c r="E46" s="123">
        <f t="shared" ref="E46:F47" si="71">H46+K46+N46+Q46+T46+W46+Z46+AC46+AF46+AI46+AL46+AO46</f>
        <v>0</v>
      </c>
      <c r="F46" s="123">
        <f t="shared" si="71"/>
        <v>0</v>
      </c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123">
        <v>0</v>
      </c>
      <c r="P46" s="123">
        <v>0</v>
      </c>
      <c r="Q46" s="123">
        <v>0</v>
      </c>
      <c r="R46" s="123">
        <v>0</v>
      </c>
      <c r="S46" s="123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23">
        <v>0</v>
      </c>
      <c r="AA46" s="123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23">
        <v>0</v>
      </c>
      <c r="AJ46" s="123">
        <v>0</v>
      </c>
      <c r="AK46" s="123">
        <v>0</v>
      </c>
      <c r="AL46" s="117">
        <v>0</v>
      </c>
      <c r="AM46" s="117">
        <v>0</v>
      </c>
      <c r="AN46" s="117">
        <v>0</v>
      </c>
      <c r="AO46" s="117">
        <v>0</v>
      </c>
      <c r="AP46" s="123">
        <v>0</v>
      </c>
      <c r="AQ46" s="123">
        <v>0</v>
      </c>
      <c r="AR46" s="424"/>
      <c r="AS46" s="342"/>
      <c r="AT46" s="228"/>
      <c r="AU46" s="228"/>
      <c r="AV46" s="229"/>
    </row>
    <row r="47" spans="1:50" s="230" customFormat="1" ht="30" customHeight="1">
      <c r="A47" s="486"/>
      <c r="B47" s="483"/>
      <c r="C47" s="483"/>
      <c r="D47" s="143" t="s">
        <v>257</v>
      </c>
      <c r="E47" s="123">
        <f t="shared" si="71"/>
        <v>0</v>
      </c>
      <c r="F47" s="123">
        <f t="shared" si="71"/>
        <v>0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123">
        <v>0</v>
      </c>
      <c r="Q47" s="123">
        <v>0</v>
      </c>
      <c r="R47" s="123">
        <v>0</v>
      </c>
      <c r="S47" s="123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23">
        <v>0</v>
      </c>
      <c r="AA47" s="123">
        <v>0</v>
      </c>
      <c r="AB47" s="123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23">
        <v>0</v>
      </c>
      <c r="AJ47" s="123">
        <v>0</v>
      </c>
      <c r="AK47" s="123">
        <v>0</v>
      </c>
      <c r="AL47" s="117">
        <v>0</v>
      </c>
      <c r="AM47" s="117">
        <v>0</v>
      </c>
      <c r="AN47" s="117">
        <v>0</v>
      </c>
      <c r="AO47" s="117">
        <v>0</v>
      </c>
      <c r="AP47" s="123">
        <v>0</v>
      </c>
      <c r="AQ47" s="123">
        <v>0</v>
      </c>
      <c r="AR47" s="424"/>
      <c r="AS47" s="342"/>
      <c r="AT47" s="228"/>
      <c r="AU47" s="228"/>
      <c r="AV47" s="229"/>
    </row>
    <row r="48" spans="1:50" s="230" customFormat="1" ht="24">
      <c r="A48" s="487"/>
      <c r="B48" s="484"/>
      <c r="C48" s="484"/>
      <c r="D48" s="143" t="s">
        <v>460</v>
      </c>
      <c r="E48" s="123">
        <f>H48+K48+N48+Q48+T48+W48+Z48+AC48+AF48+AI48+AL48+AO48</f>
        <v>0</v>
      </c>
      <c r="F48" s="123">
        <f>I48+L48+O48+R48+U48+X48+AA48+AD48+AG48+AJ48+AM48+AP48</f>
        <v>0</v>
      </c>
      <c r="G48" s="123">
        <v>0</v>
      </c>
      <c r="H48" s="123">
        <v>0</v>
      </c>
      <c r="I48" s="123">
        <v>0</v>
      </c>
      <c r="J48" s="123">
        <v>0</v>
      </c>
      <c r="K48" s="132">
        <v>0</v>
      </c>
      <c r="L48" s="123">
        <v>0</v>
      </c>
      <c r="M48" s="123">
        <v>0</v>
      </c>
      <c r="N48" s="123">
        <v>0</v>
      </c>
      <c r="O48" s="123">
        <v>0</v>
      </c>
      <c r="P48" s="123">
        <v>0</v>
      </c>
      <c r="Q48" s="123">
        <v>0</v>
      </c>
      <c r="R48" s="123">
        <v>0</v>
      </c>
      <c r="S48" s="123">
        <v>0</v>
      </c>
      <c r="T48" s="117">
        <v>0</v>
      </c>
      <c r="U48" s="117">
        <v>0</v>
      </c>
      <c r="V48" s="123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23">
        <v>0</v>
      </c>
      <c r="AI48" s="123">
        <v>0</v>
      </c>
      <c r="AJ48" s="123">
        <v>0</v>
      </c>
      <c r="AK48" s="123">
        <v>0</v>
      </c>
      <c r="AL48" s="117">
        <v>0</v>
      </c>
      <c r="AM48" s="117">
        <v>0</v>
      </c>
      <c r="AN48" s="117">
        <v>0</v>
      </c>
      <c r="AO48" s="123">
        <v>0</v>
      </c>
      <c r="AP48" s="123">
        <v>0</v>
      </c>
      <c r="AQ48" s="123">
        <v>0</v>
      </c>
      <c r="AR48" s="425"/>
      <c r="AS48" s="343"/>
      <c r="AT48" s="228"/>
      <c r="AU48" s="228"/>
      <c r="AV48" s="229"/>
    </row>
    <row r="49" spans="1:50" s="234" customFormat="1" ht="297" customHeight="1">
      <c r="A49" s="256" t="s">
        <v>458</v>
      </c>
      <c r="B49" s="143" t="s">
        <v>466</v>
      </c>
      <c r="C49" s="257" t="s">
        <v>494</v>
      </c>
      <c r="D49" s="143" t="s">
        <v>442</v>
      </c>
      <c r="E49" s="149" t="s">
        <v>279</v>
      </c>
      <c r="F49" s="149" t="s">
        <v>279</v>
      </c>
      <c r="G49" s="149" t="s">
        <v>279</v>
      </c>
      <c r="H49" s="149" t="s">
        <v>279</v>
      </c>
      <c r="I49" s="149" t="s">
        <v>279</v>
      </c>
      <c r="J49" s="149" t="s">
        <v>279</v>
      </c>
      <c r="K49" s="149" t="s">
        <v>279</v>
      </c>
      <c r="L49" s="149" t="s">
        <v>279</v>
      </c>
      <c r="M49" s="149" t="s">
        <v>279</v>
      </c>
      <c r="N49" s="149" t="s">
        <v>279</v>
      </c>
      <c r="O49" s="149" t="s">
        <v>279</v>
      </c>
      <c r="P49" s="149" t="s">
        <v>279</v>
      </c>
      <c r="Q49" s="149" t="s">
        <v>279</v>
      </c>
      <c r="R49" s="149" t="s">
        <v>279</v>
      </c>
      <c r="S49" s="149" t="s">
        <v>279</v>
      </c>
      <c r="T49" s="149" t="s">
        <v>279</v>
      </c>
      <c r="U49" s="149" t="s">
        <v>279</v>
      </c>
      <c r="V49" s="149" t="s">
        <v>279</v>
      </c>
      <c r="W49" s="149" t="s">
        <v>279</v>
      </c>
      <c r="X49" s="149" t="s">
        <v>279</v>
      </c>
      <c r="Y49" s="149" t="s">
        <v>279</v>
      </c>
      <c r="Z49" s="149" t="s">
        <v>279</v>
      </c>
      <c r="AA49" s="149" t="s">
        <v>279</v>
      </c>
      <c r="AB49" s="149" t="s">
        <v>279</v>
      </c>
      <c r="AC49" s="149" t="s">
        <v>279</v>
      </c>
      <c r="AD49" s="149" t="s">
        <v>279</v>
      </c>
      <c r="AE49" s="149" t="s">
        <v>279</v>
      </c>
      <c r="AF49" s="149" t="s">
        <v>279</v>
      </c>
      <c r="AG49" s="149" t="s">
        <v>279</v>
      </c>
      <c r="AH49" s="149" t="s">
        <v>279</v>
      </c>
      <c r="AI49" s="149" t="s">
        <v>279</v>
      </c>
      <c r="AJ49" s="149" t="s">
        <v>279</v>
      </c>
      <c r="AK49" s="149" t="s">
        <v>279</v>
      </c>
      <c r="AL49" s="149" t="s">
        <v>279</v>
      </c>
      <c r="AM49" s="149" t="s">
        <v>279</v>
      </c>
      <c r="AN49" s="149" t="s">
        <v>279</v>
      </c>
      <c r="AO49" s="149" t="s">
        <v>279</v>
      </c>
      <c r="AP49" s="149"/>
      <c r="AQ49" s="149"/>
      <c r="AR49" s="253" t="s">
        <v>514</v>
      </c>
      <c r="AS49" s="140"/>
      <c r="AT49" s="228"/>
      <c r="AU49" s="228"/>
      <c r="AV49" s="229"/>
    </row>
    <row r="50" spans="1:50" s="234" customFormat="1" ht="12.75">
      <c r="A50" s="462" t="s">
        <v>459</v>
      </c>
      <c r="B50" s="465" t="s">
        <v>446</v>
      </c>
      <c r="C50" s="466"/>
      <c r="D50" s="216" t="s">
        <v>443</v>
      </c>
      <c r="E50" s="149">
        <f>E51+E52+E53</f>
        <v>0</v>
      </c>
      <c r="F50" s="149">
        <f t="shared" ref="F50:AP50" si="72">F51+F52+F53</f>
        <v>0</v>
      </c>
      <c r="G50" s="149">
        <v>0</v>
      </c>
      <c r="H50" s="149">
        <f t="shared" si="72"/>
        <v>0</v>
      </c>
      <c r="I50" s="149">
        <f t="shared" si="72"/>
        <v>0</v>
      </c>
      <c r="J50" s="149">
        <v>0</v>
      </c>
      <c r="K50" s="149">
        <f t="shared" si="72"/>
        <v>0</v>
      </c>
      <c r="L50" s="149">
        <f t="shared" si="72"/>
        <v>0</v>
      </c>
      <c r="M50" s="149">
        <v>0</v>
      </c>
      <c r="N50" s="149">
        <f t="shared" si="72"/>
        <v>0</v>
      </c>
      <c r="O50" s="149">
        <f t="shared" si="72"/>
        <v>0</v>
      </c>
      <c r="P50" s="149">
        <v>0</v>
      </c>
      <c r="Q50" s="149">
        <f t="shared" si="72"/>
        <v>0</v>
      </c>
      <c r="R50" s="149">
        <f t="shared" si="72"/>
        <v>0</v>
      </c>
      <c r="S50" s="149">
        <v>0</v>
      </c>
      <c r="T50" s="149">
        <f t="shared" si="72"/>
        <v>0</v>
      </c>
      <c r="U50" s="149">
        <f t="shared" si="72"/>
        <v>0</v>
      </c>
      <c r="V50" s="149">
        <v>0</v>
      </c>
      <c r="W50" s="149">
        <f t="shared" si="72"/>
        <v>0</v>
      </c>
      <c r="X50" s="149">
        <f t="shared" si="72"/>
        <v>0</v>
      </c>
      <c r="Y50" s="149">
        <v>0</v>
      </c>
      <c r="Z50" s="149">
        <f t="shared" si="72"/>
        <v>0</v>
      </c>
      <c r="AA50" s="149">
        <f t="shared" si="72"/>
        <v>0</v>
      </c>
      <c r="AB50" s="149" t="e">
        <f>AA50/Z50*100</f>
        <v>#DIV/0!</v>
      </c>
      <c r="AC50" s="149">
        <f t="shared" si="72"/>
        <v>0</v>
      </c>
      <c r="AD50" s="149">
        <f t="shared" si="72"/>
        <v>0</v>
      </c>
      <c r="AE50" s="149" t="e">
        <f>AD50/AC50*100</f>
        <v>#DIV/0!</v>
      </c>
      <c r="AF50" s="149">
        <f t="shared" si="72"/>
        <v>0</v>
      </c>
      <c r="AG50" s="149">
        <f t="shared" si="72"/>
        <v>0</v>
      </c>
      <c r="AH50" s="149" t="e">
        <f>AG50/AF50*100</f>
        <v>#DIV/0!</v>
      </c>
      <c r="AI50" s="149">
        <f t="shared" si="72"/>
        <v>0</v>
      </c>
      <c r="AJ50" s="149">
        <f t="shared" si="72"/>
        <v>0</v>
      </c>
      <c r="AK50" s="149" t="e">
        <f>AJ50/AI50*100</f>
        <v>#DIV/0!</v>
      </c>
      <c r="AL50" s="149">
        <f t="shared" si="72"/>
        <v>0</v>
      </c>
      <c r="AM50" s="149">
        <f t="shared" si="72"/>
        <v>0</v>
      </c>
      <c r="AN50" s="149" t="e">
        <f>AM50/AL50*100</f>
        <v>#DIV/0!</v>
      </c>
      <c r="AO50" s="149">
        <f t="shared" si="72"/>
        <v>0</v>
      </c>
      <c r="AP50" s="149">
        <f t="shared" si="72"/>
        <v>0</v>
      </c>
      <c r="AQ50" s="149" t="e">
        <f>AP50/AO50*100</f>
        <v>#DIV/0!</v>
      </c>
      <c r="AR50" s="471"/>
      <c r="AS50" s="474"/>
      <c r="AT50" s="228"/>
      <c r="AU50" s="228"/>
      <c r="AV50" s="229"/>
    </row>
    <row r="51" spans="1:50" s="234" customFormat="1" ht="48">
      <c r="A51" s="463"/>
      <c r="B51" s="467"/>
      <c r="C51" s="468"/>
      <c r="D51" s="217" t="s">
        <v>441</v>
      </c>
      <c r="E51" s="149">
        <f t="shared" ref="E51:F53" si="73">E57</f>
        <v>0</v>
      </c>
      <c r="F51" s="149">
        <f t="shared" si="73"/>
        <v>0</v>
      </c>
      <c r="G51" s="149">
        <v>0</v>
      </c>
      <c r="H51" s="149">
        <f t="shared" ref="H51:I53" si="74">H57</f>
        <v>0</v>
      </c>
      <c r="I51" s="149">
        <f t="shared" si="74"/>
        <v>0</v>
      </c>
      <c r="J51" s="149">
        <v>0</v>
      </c>
      <c r="K51" s="149">
        <f t="shared" ref="K51:L53" si="75">K57</f>
        <v>0</v>
      </c>
      <c r="L51" s="149">
        <f t="shared" si="75"/>
        <v>0</v>
      </c>
      <c r="M51" s="149">
        <v>0</v>
      </c>
      <c r="N51" s="149">
        <f t="shared" ref="N51:O53" si="76">N57</f>
        <v>0</v>
      </c>
      <c r="O51" s="149">
        <f t="shared" si="76"/>
        <v>0</v>
      </c>
      <c r="P51" s="149">
        <v>0</v>
      </c>
      <c r="Q51" s="149">
        <f t="shared" ref="Q51:R53" si="77">Q57</f>
        <v>0</v>
      </c>
      <c r="R51" s="149">
        <f t="shared" si="77"/>
        <v>0</v>
      </c>
      <c r="S51" s="149">
        <v>0</v>
      </c>
      <c r="T51" s="149">
        <f t="shared" ref="T51:AD53" si="78">T57</f>
        <v>0</v>
      </c>
      <c r="U51" s="149">
        <f t="shared" si="78"/>
        <v>0</v>
      </c>
      <c r="V51" s="149">
        <f t="shared" si="78"/>
        <v>0</v>
      </c>
      <c r="W51" s="149">
        <f t="shared" si="78"/>
        <v>0</v>
      </c>
      <c r="X51" s="149">
        <f t="shared" si="78"/>
        <v>0</v>
      </c>
      <c r="Y51" s="149">
        <f t="shared" si="78"/>
        <v>0</v>
      </c>
      <c r="Z51" s="149">
        <f t="shared" si="78"/>
        <v>0</v>
      </c>
      <c r="AA51" s="149">
        <f t="shared" si="78"/>
        <v>0</v>
      </c>
      <c r="AB51" s="149">
        <f t="shared" si="78"/>
        <v>0</v>
      </c>
      <c r="AC51" s="149">
        <f t="shared" si="78"/>
        <v>0</v>
      </c>
      <c r="AD51" s="149">
        <f t="shared" si="78"/>
        <v>0</v>
      </c>
      <c r="AE51" s="149" t="e">
        <f t="shared" ref="AE51:AE52" si="79">AD51/AC51*100</f>
        <v>#DIV/0!</v>
      </c>
      <c r="AF51" s="149">
        <f t="shared" ref="AF51:AQ53" si="80">AF57</f>
        <v>0</v>
      </c>
      <c r="AG51" s="149">
        <f t="shared" si="80"/>
        <v>0</v>
      </c>
      <c r="AH51" s="149">
        <f t="shared" si="80"/>
        <v>0</v>
      </c>
      <c r="AI51" s="149">
        <f t="shared" si="80"/>
        <v>0</v>
      </c>
      <c r="AJ51" s="149">
        <f t="shared" si="80"/>
        <v>0</v>
      </c>
      <c r="AK51" s="149">
        <f t="shared" si="80"/>
        <v>0</v>
      </c>
      <c r="AL51" s="149">
        <f t="shared" si="80"/>
        <v>0</v>
      </c>
      <c r="AM51" s="149">
        <f t="shared" si="80"/>
        <v>0</v>
      </c>
      <c r="AN51" s="149">
        <f t="shared" si="80"/>
        <v>0</v>
      </c>
      <c r="AO51" s="149">
        <f t="shared" si="80"/>
        <v>0</v>
      </c>
      <c r="AP51" s="149">
        <f t="shared" si="80"/>
        <v>0</v>
      </c>
      <c r="AQ51" s="149">
        <f t="shared" si="80"/>
        <v>0</v>
      </c>
      <c r="AR51" s="472"/>
      <c r="AS51" s="475"/>
      <c r="AT51" s="228"/>
      <c r="AU51" s="228"/>
      <c r="AV51" s="229"/>
    </row>
    <row r="52" spans="1:50" s="234" customFormat="1" ht="20.25" customHeight="1">
      <c r="A52" s="463"/>
      <c r="B52" s="467"/>
      <c r="C52" s="468"/>
      <c r="D52" s="217" t="s">
        <v>455</v>
      </c>
      <c r="E52" s="149">
        <f t="shared" si="73"/>
        <v>0</v>
      </c>
      <c r="F52" s="149">
        <f t="shared" si="73"/>
        <v>0</v>
      </c>
      <c r="G52" s="149">
        <v>0</v>
      </c>
      <c r="H52" s="149">
        <f t="shared" si="74"/>
        <v>0</v>
      </c>
      <c r="I52" s="149">
        <f t="shared" si="74"/>
        <v>0</v>
      </c>
      <c r="J52" s="149">
        <v>0</v>
      </c>
      <c r="K52" s="149">
        <f t="shared" si="75"/>
        <v>0</v>
      </c>
      <c r="L52" s="149">
        <f t="shared" si="75"/>
        <v>0</v>
      </c>
      <c r="M52" s="149">
        <v>0</v>
      </c>
      <c r="N52" s="149">
        <f t="shared" si="76"/>
        <v>0</v>
      </c>
      <c r="O52" s="149">
        <f t="shared" si="76"/>
        <v>0</v>
      </c>
      <c r="P52" s="149">
        <v>0</v>
      </c>
      <c r="Q52" s="149">
        <f t="shared" si="77"/>
        <v>0</v>
      </c>
      <c r="R52" s="149">
        <f t="shared" si="77"/>
        <v>0</v>
      </c>
      <c r="S52" s="149">
        <v>0</v>
      </c>
      <c r="T52" s="149">
        <f t="shared" si="78"/>
        <v>0</v>
      </c>
      <c r="U52" s="149">
        <f t="shared" si="78"/>
        <v>0</v>
      </c>
      <c r="V52" s="149">
        <f t="shared" si="78"/>
        <v>0</v>
      </c>
      <c r="W52" s="149">
        <f t="shared" si="78"/>
        <v>0</v>
      </c>
      <c r="X52" s="149">
        <f t="shared" si="78"/>
        <v>0</v>
      </c>
      <c r="Y52" s="149">
        <f t="shared" si="78"/>
        <v>0</v>
      </c>
      <c r="Z52" s="149">
        <f t="shared" si="78"/>
        <v>0</v>
      </c>
      <c r="AA52" s="149">
        <f t="shared" si="78"/>
        <v>0</v>
      </c>
      <c r="AB52" s="149">
        <f t="shared" si="78"/>
        <v>0</v>
      </c>
      <c r="AC52" s="149">
        <f t="shared" si="78"/>
        <v>0</v>
      </c>
      <c r="AD52" s="149">
        <f t="shared" si="78"/>
        <v>0</v>
      </c>
      <c r="AE52" s="149" t="e">
        <f t="shared" si="79"/>
        <v>#DIV/0!</v>
      </c>
      <c r="AF52" s="149">
        <f t="shared" si="80"/>
        <v>0</v>
      </c>
      <c r="AG52" s="149">
        <f t="shared" si="80"/>
        <v>0</v>
      </c>
      <c r="AH52" s="149">
        <f t="shared" si="80"/>
        <v>0</v>
      </c>
      <c r="AI52" s="149">
        <f t="shared" si="80"/>
        <v>0</v>
      </c>
      <c r="AJ52" s="149">
        <f t="shared" si="80"/>
        <v>0</v>
      </c>
      <c r="AK52" s="149">
        <f t="shared" si="80"/>
        <v>0</v>
      </c>
      <c r="AL52" s="149">
        <f t="shared" si="80"/>
        <v>0</v>
      </c>
      <c r="AM52" s="149">
        <f t="shared" si="80"/>
        <v>0</v>
      </c>
      <c r="AN52" s="149">
        <f t="shared" si="80"/>
        <v>0</v>
      </c>
      <c r="AO52" s="149">
        <f t="shared" si="80"/>
        <v>0</v>
      </c>
      <c r="AP52" s="149">
        <f t="shared" si="80"/>
        <v>0</v>
      </c>
      <c r="AQ52" s="149">
        <f t="shared" si="80"/>
        <v>0</v>
      </c>
      <c r="AR52" s="472"/>
      <c r="AS52" s="475"/>
      <c r="AT52" s="228"/>
      <c r="AU52" s="228"/>
      <c r="AV52" s="229"/>
    </row>
    <row r="53" spans="1:50" s="234" customFormat="1" ht="26.25" customHeight="1">
      <c r="A53" s="463"/>
      <c r="B53" s="467"/>
      <c r="C53" s="468"/>
      <c r="D53" s="218" t="s">
        <v>257</v>
      </c>
      <c r="E53" s="149">
        <f t="shared" si="73"/>
        <v>0</v>
      </c>
      <c r="F53" s="149">
        <f t="shared" si="73"/>
        <v>0</v>
      </c>
      <c r="G53" s="149">
        <v>0</v>
      </c>
      <c r="H53" s="149">
        <f t="shared" si="74"/>
        <v>0</v>
      </c>
      <c r="I53" s="149">
        <f t="shared" si="74"/>
        <v>0</v>
      </c>
      <c r="J53" s="149">
        <v>0</v>
      </c>
      <c r="K53" s="149">
        <f t="shared" si="75"/>
        <v>0</v>
      </c>
      <c r="L53" s="149">
        <f t="shared" si="75"/>
        <v>0</v>
      </c>
      <c r="M53" s="149">
        <v>0</v>
      </c>
      <c r="N53" s="149">
        <f t="shared" si="76"/>
        <v>0</v>
      </c>
      <c r="O53" s="149">
        <f t="shared" si="76"/>
        <v>0</v>
      </c>
      <c r="P53" s="149">
        <f>P59</f>
        <v>0</v>
      </c>
      <c r="Q53" s="149">
        <f t="shared" si="77"/>
        <v>0</v>
      </c>
      <c r="R53" s="149">
        <f t="shared" si="77"/>
        <v>0</v>
      </c>
      <c r="S53" s="149">
        <v>0</v>
      </c>
      <c r="T53" s="149">
        <f t="shared" si="78"/>
        <v>0</v>
      </c>
      <c r="U53" s="149">
        <f t="shared" si="78"/>
        <v>0</v>
      </c>
      <c r="V53" s="149">
        <f t="shared" si="78"/>
        <v>0</v>
      </c>
      <c r="W53" s="149">
        <f t="shared" si="78"/>
        <v>0</v>
      </c>
      <c r="X53" s="149">
        <f t="shared" si="78"/>
        <v>0</v>
      </c>
      <c r="Y53" s="149">
        <f t="shared" si="78"/>
        <v>0</v>
      </c>
      <c r="Z53" s="149">
        <f t="shared" si="78"/>
        <v>0</v>
      </c>
      <c r="AA53" s="149">
        <f t="shared" si="78"/>
        <v>0</v>
      </c>
      <c r="AB53" s="149">
        <f t="shared" si="78"/>
        <v>0</v>
      </c>
      <c r="AC53" s="149">
        <f t="shared" si="78"/>
        <v>0</v>
      </c>
      <c r="AD53" s="149">
        <f t="shared" si="78"/>
        <v>0</v>
      </c>
      <c r="AE53" s="149">
        <f>AE59</f>
        <v>0</v>
      </c>
      <c r="AF53" s="149">
        <f t="shared" si="80"/>
        <v>0</v>
      </c>
      <c r="AG53" s="149">
        <f t="shared" si="80"/>
        <v>0</v>
      </c>
      <c r="AH53" s="149">
        <f t="shared" si="80"/>
        <v>0</v>
      </c>
      <c r="AI53" s="149">
        <f t="shared" si="80"/>
        <v>0</v>
      </c>
      <c r="AJ53" s="149">
        <f t="shared" si="80"/>
        <v>0</v>
      </c>
      <c r="AK53" s="149">
        <f t="shared" si="80"/>
        <v>0</v>
      </c>
      <c r="AL53" s="149">
        <f t="shared" si="80"/>
        <v>0</v>
      </c>
      <c r="AM53" s="149">
        <f t="shared" si="80"/>
        <v>0</v>
      </c>
      <c r="AN53" s="149">
        <f t="shared" si="80"/>
        <v>0</v>
      </c>
      <c r="AO53" s="149">
        <f t="shared" si="80"/>
        <v>0</v>
      </c>
      <c r="AP53" s="149">
        <f t="shared" si="80"/>
        <v>0</v>
      </c>
      <c r="AQ53" s="149">
        <f t="shared" si="80"/>
        <v>0</v>
      </c>
      <c r="AR53" s="472"/>
      <c r="AS53" s="475"/>
      <c r="AT53" s="228"/>
      <c r="AU53" s="228"/>
      <c r="AV53" s="229"/>
    </row>
    <row r="54" spans="1:50" s="234" customFormat="1" ht="24">
      <c r="A54" s="464"/>
      <c r="B54" s="469"/>
      <c r="C54" s="470"/>
      <c r="D54" s="218" t="s">
        <v>460</v>
      </c>
      <c r="E54" s="149">
        <f>H54+K54+N54+Q54+T54+W54+Z54+AC54+AF54+AI54+AL54+AO54</f>
        <v>0</v>
      </c>
      <c r="F54" s="149">
        <f>I54+L54+O54+R54+U54+X54+AA54+AD54+AG54+AJ54+AM54+AP54</f>
        <v>0</v>
      </c>
      <c r="G54" s="149">
        <v>0</v>
      </c>
      <c r="H54" s="149">
        <v>0</v>
      </c>
      <c r="I54" s="149">
        <v>0</v>
      </c>
      <c r="J54" s="149">
        <v>0</v>
      </c>
      <c r="K54" s="241">
        <v>0</v>
      </c>
      <c r="L54" s="149">
        <v>0</v>
      </c>
      <c r="M54" s="149">
        <v>0</v>
      </c>
      <c r="N54" s="149">
        <v>0</v>
      </c>
      <c r="O54" s="149">
        <v>0</v>
      </c>
      <c r="P54" s="149">
        <v>0</v>
      </c>
      <c r="Q54" s="149">
        <v>0</v>
      </c>
      <c r="R54" s="149">
        <v>0</v>
      </c>
      <c r="S54" s="149">
        <v>0</v>
      </c>
      <c r="T54" s="225">
        <v>0</v>
      </c>
      <c r="U54" s="225">
        <v>0</v>
      </c>
      <c r="V54" s="149">
        <v>0</v>
      </c>
      <c r="W54" s="225">
        <v>0</v>
      </c>
      <c r="X54" s="225">
        <v>0</v>
      </c>
      <c r="Y54" s="225">
        <v>0</v>
      </c>
      <c r="Z54" s="225">
        <v>0</v>
      </c>
      <c r="AA54" s="225">
        <v>0</v>
      </c>
      <c r="AB54" s="225">
        <v>0</v>
      </c>
      <c r="AC54" s="225">
        <v>0</v>
      </c>
      <c r="AD54" s="225">
        <v>0</v>
      </c>
      <c r="AE54" s="225">
        <v>0</v>
      </c>
      <c r="AF54" s="225">
        <v>0</v>
      </c>
      <c r="AG54" s="225">
        <v>0</v>
      </c>
      <c r="AH54" s="149">
        <v>0</v>
      </c>
      <c r="AI54" s="149">
        <v>0</v>
      </c>
      <c r="AJ54" s="149">
        <v>0</v>
      </c>
      <c r="AK54" s="149">
        <v>0</v>
      </c>
      <c r="AL54" s="225">
        <v>0</v>
      </c>
      <c r="AM54" s="225">
        <v>0</v>
      </c>
      <c r="AN54" s="225">
        <v>0</v>
      </c>
      <c r="AO54" s="149">
        <v>0</v>
      </c>
      <c r="AP54" s="149"/>
      <c r="AQ54" s="149"/>
      <c r="AR54" s="473"/>
      <c r="AS54" s="476"/>
      <c r="AT54" s="228"/>
      <c r="AU54" s="228"/>
      <c r="AV54" s="229"/>
    </row>
    <row r="55" spans="1:50" s="234" customFormat="1" ht="309.75" customHeight="1">
      <c r="A55" s="256" t="s">
        <v>7</v>
      </c>
      <c r="B55" s="143" t="s">
        <v>467</v>
      </c>
      <c r="C55" s="257" t="s">
        <v>495</v>
      </c>
      <c r="D55" s="143" t="s">
        <v>442</v>
      </c>
      <c r="E55" s="149" t="s">
        <v>279</v>
      </c>
      <c r="F55" s="149" t="s">
        <v>279</v>
      </c>
      <c r="G55" s="149" t="s">
        <v>279</v>
      </c>
      <c r="H55" s="149" t="s">
        <v>279</v>
      </c>
      <c r="I55" s="149" t="s">
        <v>279</v>
      </c>
      <c r="J55" s="149" t="s">
        <v>279</v>
      </c>
      <c r="K55" s="149" t="s">
        <v>279</v>
      </c>
      <c r="L55" s="149" t="s">
        <v>279</v>
      </c>
      <c r="M55" s="149" t="s">
        <v>279</v>
      </c>
      <c r="N55" s="149" t="s">
        <v>279</v>
      </c>
      <c r="O55" s="149" t="s">
        <v>279</v>
      </c>
      <c r="P55" s="149" t="s">
        <v>279</v>
      </c>
      <c r="Q55" s="149" t="s">
        <v>279</v>
      </c>
      <c r="R55" s="149" t="s">
        <v>279</v>
      </c>
      <c r="S55" s="149" t="s">
        <v>279</v>
      </c>
      <c r="T55" s="149" t="s">
        <v>279</v>
      </c>
      <c r="U55" s="149" t="s">
        <v>279</v>
      </c>
      <c r="V55" s="149" t="s">
        <v>279</v>
      </c>
      <c r="W55" s="149" t="s">
        <v>279</v>
      </c>
      <c r="X55" s="149" t="s">
        <v>279</v>
      </c>
      <c r="Y55" s="149" t="s">
        <v>279</v>
      </c>
      <c r="Z55" s="149" t="s">
        <v>279</v>
      </c>
      <c r="AA55" s="149" t="s">
        <v>279</v>
      </c>
      <c r="AB55" s="149" t="s">
        <v>279</v>
      </c>
      <c r="AC55" s="149" t="s">
        <v>279</v>
      </c>
      <c r="AD55" s="149" t="s">
        <v>279</v>
      </c>
      <c r="AE55" s="149" t="s">
        <v>279</v>
      </c>
      <c r="AF55" s="149" t="s">
        <v>279</v>
      </c>
      <c r="AG55" s="149" t="s">
        <v>279</v>
      </c>
      <c r="AH55" s="149" t="s">
        <v>279</v>
      </c>
      <c r="AI55" s="149" t="s">
        <v>279</v>
      </c>
      <c r="AJ55" s="149" t="s">
        <v>279</v>
      </c>
      <c r="AK55" s="149" t="s">
        <v>279</v>
      </c>
      <c r="AL55" s="149" t="s">
        <v>279</v>
      </c>
      <c r="AM55" s="149" t="s">
        <v>279</v>
      </c>
      <c r="AN55" s="149" t="s">
        <v>279</v>
      </c>
      <c r="AO55" s="149" t="s">
        <v>279</v>
      </c>
      <c r="AP55" s="149"/>
      <c r="AQ55" s="149"/>
      <c r="AR55" s="253" t="s">
        <v>509</v>
      </c>
      <c r="AS55" s="140"/>
      <c r="AT55" s="228"/>
      <c r="AU55" s="228"/>
      <c r="AV55" s="229"/>
    </row>
    <row r="56" spans="1:50" s="230" customFormat="1" ht="12.75">
      <c r="A56" s="479" t="s">
        <v>8</v>
      </c>
      <c r="B56" s="482" t="s">
        <v>468</v>
      </c>
      <c r="C56" s="341" t="s">
        <v>496</v>
      </c>
      <c r="D56" s="219" t="s">
        <v>443</v>
      </c>
      <c r="E56" s="123">
        <f>SUM(E57:E59)</f>
        <v>0</v>
      </c>
      <c r="F56" s="123">
        <f t="shared" ref="F56" si="81">SUM(F57:F59)</f>
        <v>0</v>
      </c>
      <c r="G56" s="123">
        <v>0</v>
      </c>
      <c r="H56" s="132">
        <f>H57+H58+H59</f>
        <v>0</v>
      </c>
      <c r="I56" s="132">
        <f>I57+I58+I59</f>
        <v>0</v>
      </c>
      <c r="J56" s="123">
        <v>0</v>
      </c>
      <c r="K56" s="132">
        <f>K57+K58+K59</f>
        <v>0</v>
      </c>
      <c r="L56" s="132">
        <f>L57+L58+L59</f>
        <v>0</v>
      </c>
      <c r="M56" s="132">
        <v>0</v>
      </c>
      <c r="N56" s="132">
        <f>N57+N58+N59</f>
        <v>0</v>
      </c>
      <c r="O56" s="132">
        <f>O57+O58+O59</f>
        <v>0</v>
      </c>
      <c r="P56" s="123">
        <v>0</v>
      </c>
      <c r="Q56" s="132">
        <f>Q57+Q58+Q59</f>
        <v>0</v>
      </c>
      <c r="R56" s="132">
        <f>R57+R58+R59</f>
        <v>0</v>
      </c>
      <c r="S56" s="132">
        <v>0</v>
      </c>
      <c r="T56" s="132">
        <f t="shared" ref="T56:AP56" si="82">T57+T58+T59</f>
        <v>0</v>
      </c>
      <c r="U56" s="132">
        <f t="shared" si="82"/>
        <v>0</v>
      </c>
      <c r="V56" s="132">
        <v>0</v>
      </c>
      <c r="W56" s="132">
        <f t="shared" si="82"/>
        <v>0</v>
      </c>
      <c r="X56" s="132">
        <f t="shared" si="82"/>
        <v>0</v>
      </c>
      <c r="Y56" s="132">
        <v>0</v>
      </c>
      <c r="Z56" s="132">
        <f t="shared" si="82"/>
        <v>0</v>
      </c>
      <c r="AA56" s="132">
        <f t="shared" si="82"/>
        <v>0</v>
      </c>
      <c r="AB56" s="132">
        <v>0</v>
      </c>
      <c r="AC56" s="132">
        <f t="shared" si="82"/>
        <v>0</v>
      </c>
      <c r="AD56" s="132">
        <f t="shared" si="82"/>
        <v>0</v>
      </c>
      <c r="AE56" s="132">
        <v>0</v>
      </c>
      <c r="AF56" s="132">
        <f t="shared" si="82"/>
        <v>0</v>
      </c>
      <c r="AG56" s="132">
        <f t="shared" si="82"/>
        <v>0</v>
      </c>
      <c r="AH56" s="117">
        <v>0</v>
      </c>
      <c r="AI56" s="132">
        <f t="shared" si="82"/>
        <v>0</v>
      </c>
      <c r="AJ56" s="132">
        <f t="shared" si="82"/>
        <v>0</v>
      </c>
      <c r="AK56" s="132">
        <v>0</v>
      </c>
      <c r="AL56" s="132">
        <f t="shared" si="82"/>
        <v>0</v>
      </c>
      <c r="AM56" s="132">
        <f t="shared" si="82"/>
        <v>0</v>
      </c>
      <c r="AN56" s="132">
        <v>0</v>
      </c>
      <c r="AO56" s="132">
        <f t="shared" si="82"/>
        <v>0</v>
      </c>
      <c r="AP56" s="132">
        <f t="shared" si="82"/>
        <v>0</v>
      </c>
      <c r="AQ56" s="123">
        <v>0</v>
      </c>
      <c r="AR56" s="423"/>
      <c r="AS56" s="341"/>
      <c r="AT56" s="228"/>
      <c r="AU56" s="228"/>
      <c r="AV56" s="229"/>
      <c r="AX56" s="228"/>
    </row>
    <row r="57" spans="1:50" s="230" customFormat="1" ht="48">
      <c r="A57" s="480"/>
      <c r="B57" s="483"/>
      <c r="C57" s="342"/>
      <c r="D57" s="220" t="s">
        <v>441</v>
      </c>
      <c r="E57" s="123">
        <f>H57+K57+N57+Q57+T57+W57+Z57+AC57+AF57+AI57+AL57+AO57</f>
        <v>0</v>
      </c>
      <c r="F57" s="123">
        <f>I57+L57+O57+R57+U57+X57+AA57+AD57+AG57+AJ57+AM57+AP57</f>
        <v>0</v>
      </c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3">
        <v>0</v>
      </c>
      <c r="O57" s="123">
        <v>0</v>
      </c>
      <c r="P57" s="123">
        <v>0</v>
      </c>
      <c r="Q57" s="123">
        <v>0</v>
      </c>
      <c r="R57" s="123">
        <v>0</v>
      </c>
      <c r="S57" s="123">
        <v>0</v>
      </c>
      <c r="T57" s="221">
        <v>0</v>
      </c>
      <c r="U57" s="221">
        <v>0</v>
      </c>
      <c r="V57" s="117">
        <v>0</v>
      </c>
      <c r="W57" s="117">
        <v>0</v>
      </c>
      <c r="X57" s="117">
        <v>0</v>
      </c>
      <c r="Y57" s="117">
        <v>0</v>
      </c>
      <c r="Z57" s="123">
        <v>0</v>
      </c>
      <c r="AA57" s="123">
        <v>0</v>
      </c>
      <c r="AB57" s="117">
        <v>0</v>
      </c>
      <c r="AC57" s="221">
        <v>0</v>
      </c>
      <c r="AD57" s="221">
        <v>0</v>
      </c>
      <c r="AE57" s="117">
        <v>0</v>
      </c>
      <c r="AF57" s="221">
        <v>0</v>
      </c>
      <c r="AG57" s="222">
        <v>0</v>
      </c>
      <c r="AH57" s="123">
        <v>0</v>
      </c>
      <c r="AI57" s="221">
        <v>0</v>
      </c>
      <c r="AJ57" s="221">
        <v>0</v>
      </c>
      <c r="AK57" s="221">
        <v>0</v>
      </c>
      <c r="AL57" s="221">
        <v>0</v>
      </c>
      <c r="AM57" s="221">
        <v>0</v>
      </c>
      <c r="AN57" s="221">
        <v>0</v>
      </c>
      <c r="AO57" s="221">
        <v>0</v>
      </c>
      <c r="AP57" s="123">
        <v>0</v>
      </c>
      <c r="AQ57" s="123">
        <v>0</v>
      </c>
      <c r="AR57" s="424"/>
      <c r="AS57" s="342"/>
      <c r="AT57" s="228"/>
      <c r="AU57" s="228"/>
      <c r="AV57" s="229"/>
      <c r="AX57" s="228"/>
    </row>
    <row r="58" spans="1:50" s="230" customFormat="1" ht="22.5" customHeight="1">
      <c r="A58" s="480"/>
      <c r="B58" s="483"/>
      <c r="C58" s="342"/>
      <c r="D58" s="220" t="s">
        <v>455</v>
      </c>
      <c r="E58" s="123">
        <f t="shared" ref="E58:F59" si="83">H58+K58+N58+Q58+T58+W58+Z58+AC58+AF58+AI58+AL58+AO58</f>
        <v>0</v>
      </c>
      <c r="F58" s="123">
        <f t="shared" si="83"/>
        <v>0</v>
      </c>
      <c r="G58" s="123">
        <v>0</v>
      </c>
      <c r="H58" s="123">
        <v>0</v>
      </c>
      <c r="I58" s="123">
        <v>0</v>
      </c>
      <c r="J58" s="123">
        <v>0</v>
      </c>
      <c r="K58" s="123">
        <v>0</v>
      </c>
      <c r="L58" s="123">
        <v>0</v>
      </c>
      <c r="M58" s="123">
        <v>0</v>
      </c>
      <c r="N58" s="123">
        <v>0</v>
      </c>
      <c r="O58" s="123">
        <v>0</v>
      </c>
      <c r="P58" s="123">
        <v>0</v>
      </c>
      <c r="Q58" s="123">
        <v>0</v>
      </c>
      <c r="R58" s="123">
        <v>0</v>
      </c>
      <c r="S58" s="123">
        <v>0</v>
      </c>
      <c r="T58" s="221">
        <v>0</v>
      </c>
      <c r="U58" s="221">
        <v>0</v>
      </c>
      <c r="V58" s="117">
        <v>0</v>
      </c>
      <c r="W58" s="117">
        <v>0</v>
      </c>
      <c r="X58" s="117">
        <v>0</v>
      </c>
      <c r="Y58" s="117">
        <v>0</v>
      </c>
      <c r="Z58" s="123">
        <v>0</v>
      </c>
      <c r="AA58" s="123">
        <v>0</v>
      </c>
      <c r="AB58" s="117">
        <v>0</v>
      </c>
      <c r="AC58" s="221">
        <v>0</v>
      </c>
      <c r="AD58" s="221">
        <v>0</v>
      </c>
      <c r="AE58" s="117">
        <v>0</v>
      </c>
      <c r="AF58" s="221">
        <v>0</v>
      </c>
      <c r="AG58" s="222">
        <v>0</v>
      </c>
      <c r="AH58" s="123">
        <v>0</v>
      </c>
      <c r="AI58" s="221">
        <v>0</v>
      </c>
      <c r="AJ58" s="221">
        <v>0</v>
      </c>
      <c r="AK58" s="221">
        <v>0</v>
      </c>
      <c r="AL58" s="221">
        <v>0</v>
      </c>
      <c r="AM58" s="221">
        <v>0</v>
      </c>
      <c r="AN58" s="221">
        <v>0</v>
      </c>
      <c r="AO58" s="221">
        <v>0</v>
      </c>
      <c r="AP58" s="123">
        <v>0</v>
      </c>
      <c r="AQ58" s="123">
        <v>0</v>
      </c>
      <c r="AR58" s="424"/>
      <c r="AS58" s="342"/>
      <c r="AT58" s="228"/>
      <c r="AU58" s="228"/>
      <c r="AV58" s="229"/>
      <c r="AX58" s="228"/>
    </row>
    <row r="59" spans="1:50" s="230" customFormat="1" ht="29.25" customHeight="1">
      <c r="A59" s="480"/>
      <c r="B59" s="483"/>
      <c r="C59" s="342"/>
      <c r="D59" s="143" t="s">
        <v>257</v>
      </c>
      <c r="E59" s="123">
        <f t="shared" si="83"/>
        <v>0</v>
      </c>
      <c r="F59" s="123">
        <f t="shared" si="83"/>
        <v>0</v>
      </c>
      <c r="G59" s="123">
        <v>0</v>
      </c>
      <c r="H59" s="123">
        <v>0</v>
      </c>
      <c r="I59" s="123">
        <v>0</v>
      </c>
      <c r="J59" s="123">
        <v>0</v>
      </c>
      <c r="K59" s="132">
        <v>0</v>
      </c>
      <c r="L59" s="123">
        <v>0</v>
      </c>
      <c r="M59" s="123">
        <v>0</v>
      </c>
      <c r="N59" s="123">
        <v>0</v>
      </c>
      <c r="O59" s="123">
        <v>0</v>
      </c>
      <c r="P59" s="123">
        <v>0</v>
      </c>
      <c r="Q59" s="123">
        <v>0</v>
      </c>
      <c r="R59" s="123">
        <v>0</v>
      </c>
      <c r="S59" s="255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23">
        <v>0</v>
      </c>
      <c r="AJ59" s="123">
        <v>0</v>
      </c>
      <c r="AK59" s="123">
        <v>0</v>
      </c>
      <c r="AL59" s="117">
        <v>0</v>
      </c>
      <c r="AM59" s="117">
        <v>0</v>
      </c>
      <c r="AN59" s="117">
        <v>0</v>
      </c>
      <c r="AO59" s="123">
        <v>0</v>
      </c>
      <c r="AP59" s="123">
        <v>0</v>
      </c>
      <c r="AQ59" s="123">
        <v>0</v>
      </c>
      <c r="AR59" s="424"/>
      <c r="AS59" s="342"/>
      <c r="AT59" s="228"/>
      <c r="AU59" s="228"/>
      <c r="AV59" s="229"/>
      <c r="AX59" s="228"/>
    </row>
    <row r="60" spans="1:50" s="230" customFormat="1" ht="33" customHeight="1">
      <c r="A60" s="481"/>
      <c r="B60" s="484"/>
      <c r="C60" s="343"/>
      <c r="D60" s="143" t="s">
        <v>460</v>
      </c>
      <c r="E60" s="123">
        <f>H60+K60+N60+Q60+T60+W60+Z60+AC60+AF60+AI60+AL60+AO60</f>
        <v>0</v>
      </c>
      <c r="F60" s="123">
        <f>I60+L60+O60+R60+U60+X60+AA60+AD60+AG60+AJ60+AM60+AP60</f>
        <v>0</v>
      </c>
      <c r="G60" s="123">
        <v>0</v>
      </c>
      <c r="H60" s="123">
        <v>0</v>
      </c>
      <c r="I60" s="123">
        <v>0</v>
      </c>
      <c r="J60" s="123">
        <v>0</v>
      </c>
      <c r="K60" s="132">
        <v>0</v>
      </c>
      <c r="L60" s="123">
        <v>0</v>
      </c>
      <c r="M60" s="123">
        <v>0</v>
      </c>
      <c r="N60" s="123">
        <v>0</v>
      </c>
      <c r="O60" s="123">
        <v>0</v>
      </c>
      <c r="P60" s="123">
        <v>0</v>
      </c>
      <c r="Q60" s="123">
        <v>0</v>
      </c>
      <c r="R60" s="123">
        <v>0</v>
      </c>
      <c r="S60" s="123">
        <v>0</v>
      </c>
      <c r="T60" s="117">
        <v>0</v>
      </c>
      <c r="U60" s="117">
        <v>0</v>
      </c>
      <c r="V60" s="123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23">
        <v>0</v>
      </c>
      <c r="AI60" s="123">
        <v>0</v>
      </c>
      <c r="AJ60" s="123">
        <v>0</v>
      </c>
      <c r="AK60" s="123">
        <v>0</v>
      </c>
      <c r="AL60" s="117">
        <v>0</v>
      </c>
      <c r="AM60" s="117">
        <v>0</v>
      </c>
      <c r="AN60" s="117">
        <v>0</v>
      </c>
      <c r="AO60" s="123">
        <v>0</v>
      </c>
      <c r="AP60" s="123">
        <v>0</v>
      </c>
      <c r="AQ60" s="123">
        <v>0</v>
      </c>
      <c r="AR60" s="425"/>
      <c r="AS60" s="343"/>
      <c r="AT60" s="228"/>
      <c r="AU60" s="228"/>
      <c r="AV60" s="229"/>
    </row>
    <row r="61" spans="1:50" s="234" customFormat="1" ht="33.75" customHeight="1">
      <c r="A61" s="462" t="s">
        <v>469</v>
      </c>
      <c r="B61" s="465" t="s">
        <v>447</v>
      </c>
      <c r="C61" s="466"/>
      <c r="D61" s="216" t="s">
        <v>443</v>
      </c>
      <c r="E61" s="149">
        <f>E62+E63+E65</f>
        <v>575.29999999999995</v>
      </c>
      <c r="F61" s="149">
        <f t="shared" ref="F61:AQ61" si="84">F62+F63+F65</f>
        <v>151</v>
      </c>
      <c r="G61" s="149">
        <f>F61/E61*100</f>
        <v>26.247175386754741</v>
      </c>
      <c r="H61" s="149">
        <f t="shared" si="84"/>
        <v>63</v>
      </c>
      <c r="I61" s="149">
        <f t="shared" si="84"/>
        <v>63</v>
      </c>
      <c r="J61" s="149">
        <v>0</v>
      </c>
      <c r="K61" s="149">
        <f t="shared" si="84"/>
        <v>14.7</v>
      </c>
      <c r="L61" s="149">
        <f t="shared" si="84"/>
        <v>20.399999999999999</v>
      </c>
      <c r="M61" s="149">
        <v>0</v>
      </c>
      <c r="N61" s="149">
        <f t="shared" si="84"/>
        <v>0</v>
      </c>
      <c r="O61" s="149">
        <f t="shared" si="84"/>
        <v>-63</v>
      </c>
      <c r="P61" s="149">
        <v>0</v>
      </c>
      <c r="Q61" s="149">
        <f t="shared" si="84"/>
        <v>28.8</v>
      </c>
      <c r="R61" s="149">
        <f t="shared" si="84"/>
        <v>46.2</v>
      </c>
      <c r="S61" s="149">
        <f t="shared" ref="F61:AQ63" si="85">S69</f>
        <v>160.41666666666669</v>
      </c>
      <c r="T61" s="149">
        <f t="shared" si="84"/>
        <v>67.5</v>
      </c>
      <c r="U61" s="149">
        <f t="shared" si="84"/>
        <v>49.2</v>
      </c>
      <c r="V61" s="149">
        <f t="shared" si="84"/>
        <v>72.888888888888886</v>
      </c>
      <c r="W61" s="149">
        <f t="shared" si="84"/>
        <v>100.30000000000001</v>
      </c>
      <c r="X61" s="149">
        <f t="shared" si="84"/>
        <v>35.200000000000003</v>
      </c>
      <c r="Y61" s="149">
        <f t="shared" si="84"/>
        <v>35.094715852442668</v>
      </c>
      <c r="Z61" s="149">
        <f t="shared" si="84"/>
        <v>0</v>
      </c>
      <c r="AA61" s="149">
        <f t="shared" si="84"/>
        <v>0</v>
      </c>
      <c r="AB61" s="149">
        <f t="shared" si="84"/>
        <v>0</v>
      </c>
      <c r="AC61" s="149">
        <f t="shared" si="84"/>
        <v>79.5</v>
      </c>
      <c r="AD61" s="149">
        <f t="shared" si="84"/>
        <v>0</v>
      </c>
      <c r="AE61" s="149">
        <f t="shared" si="84"/>
        <v>0</v>
      </c>
      <c r="AF61" s="149">
        <f t="shared" si="84"/>
        <v>122.5</v>
      </c>
      <c r="AG61" s="149">
        <f t="shared" si="84"/>
        <v>0</v>
      </c>
      <c r="AH61" s="149">
        <f t="shared" si="84"/>
        <v>0</v>
      </c>
      <c r="AI61" s="149">
        <f t="shared" si="84"/>
        <v>28.8</v>
      </c>
      <c r="AJ61" s="149">
        <f t="shared" si="84"/>
        <v>0</v>
      </c>
      <c r="AK61" s="149">
        <f t="shared" si="84"/>
        <v>0</v>
      </c>
      <c r="AL61" s="149">
        <f t="shared" si="84"/>
        <v>0</v>
      </c>
      <c r="AM61" s="149">
        <f t="shared" si="84"/>
        <v>0</v>
      </c>
      <c r="AN61" s="149" t="e">
        <f t="shared" si="84"/>
        <v>#DIV/0!</v>
      </c>
      <c r="AO61" s="149">
        <f t="shared" si="84"/>
        <v>70.199999999999989</v>
      </c>
      <c r="AP61" s="149">
        <f t="shared" si="84"/>
        <v>0</v>
      </c>
      <c r="AQ61" s="149">
        <f t="shared" si="84"/>
        <v>0</v>
      </c>
      <c r="AR61" s="471"/>
      <c r="AS61" s="474"/>
      <c r="AT61" s="228"/>
      <c r="AU61" s="228"/>
      <c r="AV61" s="229"/>
    </row>
    <row r="62" spans="1:50" s="234" customFormat="1" ht="49.5" customHeight="1">
      <c r="A62" s="463"/>
      <c r="B62" s="467"/>
      <c r="C62" s="468"/>
      <c r="D62" s="217" t="s">
        <v>441</v>
      </c>
      <c r="E62" s="149">
        <f>E70</f>
        <v>0</v>
      </c>
      <c r="F62" s="149">
        <f t="shared" si="85"/>
        <v>0</v>
      </c>
      <c r="G62" s="149">
        <v>0</v>
      </c>
      <c r="H62" s="149">
        <f t="shared" si="85"/>
        <v>0</v>
      </c>
      <c r="I62" s="149">
        <f t="shared" si="85"/>
        <v>0</v>
      </c>
      <c r="J62" s="149">
        <v>0</v>
      </c>
      <c r="K62" s="149">
        <f t="shared" si="85"/>
        <v>0</v>
      </c>
      <c r="L62" s="149">
        <f t="shared" si="85"/>
        <v>0</v>
      </c>
      <c r="M62" s="149">
        <v>0</v>
      </c>
      <c r="N62" s="149">
        <f t="shared" si="85"/>
        <v>0</v>
      </c>
      <c r="O62" s="149">
        <f t="shared" si="85"/>
        <v>0</v>
      </c>
      <c r="P62" s="149">
        <v>0</v>
      </c>
      <c r="Q62" s="149">
        <f t="shared" si="85"/>
        <v>0</v>
      </c>
      <c r="R62" s="149">
        <f t="shared" si="85"/>
        <v>0</v>
      </c>
      <c r="S62" s="149">
        <f t="shared" si="85"/>
        <v>0</v>
      </c>
      <c r="T62" s="149">
        <f t="shared" si="85"/>
        <v>0</v>
      </c>
      <c r="U62" s="149">
        <f t="shared" si="85"/>
        <v>0</v>
      </c>
      <c r="V62" s="149">
        <f t="shared" si="85"/>
        <v>0</v>
      </c>
      <c r="W62" s="149">
        <f t="shared" si="85"/>
        <v>0</v>
      </c>
      <c r="X62" s="149">
        <f t="shared" si="85"/>
        <v>0</v>
      </c>
      <c r="Y62" s="149">
        <f t="shared" si="85"/>
        <v>0</v>
      </c>
      <c r="Z62" s="149">
        <f t="shared" si="85"/>
        <v>0</v>
      </c>
      <c r="AA62" s="149">
        <f t="shared" si="85"/>
        <v>0</v>
      </c>
      <c r="AB62" s="149">
        <f t="shared" si="85"/>
        <v>0</v>
      </c>
      <c r="AC62" s="149">
        <f t="shared" si="85"/>
        <v>0</v>
      </c>
      <c r="AD62" s="149">
        <f t="shared" si="85"/>
        <v>0</v>
      </c>
      <c r="AE62" s="149">
        <f t="shared" si="85"/>
        <v>0</v>
      </c>
      <c r="AF62" s="149">
        <f t="shared" si="85"/>
        <v>0</v>
      </c>
      <c r="AG62" s="149">
        <f t="shared" si="85"/>
        <v>0</v>
      </c>
      <c r="AH62" s="149">
        <f t="shared" si="85"/>
        <v>0</v>
      </c>
      <c r="AI62" s="149">
        <f t="shared" si="85"/>
        <v>0</v>
      </c>
      <c r="AJ62" s="149">
        <f t="shared" si="85"/>
        <v>0</v>
      </c>
      <c r="AK62" s="149">
        <f t="shared" si="85"/>
        <v>0</v>
      </c>
      <c r="AL62" s="149">
        <f t="shared" si="85"/>
        <v>0</v>
      </c>
      <c r="AM62" s="149">
        <f t="shared" si="85"/>
        <v>0</v>
      </c>
      <c r="AN62" s="149">
        <f t="shared" si="85"/>
        <v>0</v>
      </c>
      <c r="AO62" s="149">
        <f t="shared" si="85"/>
        <v>0</v>
      </c>
      <c r="AP62" s="149">
        <f t="shared" si="85"/>
        <v>0</v>
      </c>
      <c r="AQ62" s="149">
        <f t="shared" si="85"/>
        <v>0</v>
      </c>
      <c r="AR62" s="472"/>
      <c r="AS62" s="475"/>
      <c r="AT62" s="228"/>
      <c r="AU62" s="228"/>
      <c r="AV62" s="229"/>
    </row>
    <row r="63" spans="1:50" s="234" customFormat="1" ht="57" customHeight="1">
      <c r="A63" s="463"/>
      <c r="B63" s="467"/>
      <c r="C63" s="468"/>
      <c r="D63" s="217" t="s">
        <v>455</v>
      </c>
      <c r="E63" s="149">
        <f>E71</f>
        <v>575.29999999999995</v>
      </c>
      <c r="F63" s="149">
        <f t="shared" si="85"/>
        <v>151</v>
      </c>
      <c r="G63" s="149">
        <f>F63/E63*100</f>
        <v>26.247175386754741</v>
      </c>
      <c r="H63" s="149">
        <f t="shared" si="85"/>
        <v>63</v>
      </c>
      <c r="I63" s="149">
        <f t="shared" si="85"/>
        <v>63</v>
      </c>
      <c r="J63" s="149">
        <v>0</v>
      </c>
      <c r="K63" s="149">
        <f t="shared" si="85"/>
        <v>14.7</v>
      </c>
      <c r="L63" s="149">
        <f t="shared" si="85"/>
        <v>20.399999999999999</v>
      </c>
      <c r="M63" s="149">
        <v>0</v>
      </c>
      <c r="N63" s="149">
        <f t="shared" si="85"/>
        <v>0</v>
      </c>
      <c r="O63" s="149">
        <f t="shared" si="85"/>
        <v>-63</v>
      </c>
      <c r="P63" s="149">
        <v>0</v>
      </c>
      <c r="Q63" s="149">
        <f t="shared" si="85"/>
        <v>28.8</v>
      </c>
      <c r="R63" s="149">
        <f t="shared" si="85"/>
        <v>46.2</v>
      </c>
      <c r="S63" s="149">
        <f t="shared" si="85"/>
        <v>160.41666666666669</v>
      </c>
      <c r="T63" s="149">
        <f t="shared" si="85"/>
        <v>67.5</v>
      </c>
      <c r="U63" s="149">
        <f t="shared" si="85"/>
        <v>49.2</v>
      </c>
      <c r="V63" s="149">
        <f t="shared" si="85"/>
        <v>72.888888888888886</v>
      </c>
      <c r="W63" s="149">
        <f t="shared" si="85"/>
        <v>100.30000000000001</v>
      </c>
      <c r="X63" s="149">
        <f t="shared" si="85"/>
        <v>35.200000000000003</v>
      </c>
      <c r="Y63" s="149">
        <f t="shared" si="85"/>
        <v>35.094715852442668</v>
      </c>
      <c r="Z63" s="149">
        <f t="shared" si="85"/>
        <v>0</v>
      </c>
      <c r="AA63" s="149">
        <f t="shared" si="85"/>
        <v>0</v>
      </c>
      <c r="AB63" s="149">
        <f t="shared" si="85"/>
        <v>0</v>
      </c>
      <c r="AC63" s="149">
        <f t="shared" si="85"/>
        <v>79.5</v>
      </c>
      <c r="AD63" s="149">
        <f t="shared" si="85"/>
        <v>0</v>
      </c>
      <c r="AE63" s="149">
        <f t="shared" si="85"/>
        <v>0</v>
      </c>
      <c r="AF63" s="149">
        <f t="shared" si="85"/>
        <v>122.5</v>
      </c>
      <c r="AG63" s="149">
        <f t="shared" si="85"/>
        <v>0</v>
      </c>
      <c r="AH63" s="149">
        <f t="shared" si="85"/>
        <v>0</v>
      </c>
      <c r="AI63" s="149">
        <f>AI71</f>
        <v>28.8</v>
      </c>
      <c r="AJ63" s="149">
        <f t="shared" si="85"/>
        <v>0</v>
      </c>
      <c r="AK63" s="149">
        <f t="shared" si="85"/>
        <v>0</v>
      </c>
      <c r="AL63" s="149">
        <f t="shared" si="85"/>
        <v>0</v>
      </c>
      <c r="AM63" s="149">
        <f t="shared" si="85"/>
        <v>0</v>
      </c>
      <c r="AN63" s="149" t="e">
        <f t="shared" si="85"/>
        <v>#DIV/0!</v>
      </c>
      <c r="AO63" s="149">
        <f t="shared" si="85"/>
        <v>70.199999999999989</v>
      </c>
      <c r="AP63" s="149">
        <f t="shared" si="85"/>
        <v>0</v>
      </c>
      <c r="AQ63" s="149">
        <f t="shared" si="85"/>
        <v>0</v>
      </c>
      <c r="AR63" s="472"/>
      <c r="AS63" s="475"/>
      <c r="AT63" s="228"/>
      <c r="AU63" s="228"/>
      <c r="AV63" s="229"/>
    </row>
    <row r="64" spans="1:50" s="266" customFormat="1" ht="36.75" customHeight="1">
      <c r="A64" s="463"/>
      <c r="B64" s="467"/>
      <c r="C64" s="468"/>
      <c r="D64" s="259" t="s">
        <v>501</v>
      </c>
      <c r="E64" s="260">
        <f t="shared" ref="E64" si="86">H64+K64+N64+Q64+T64+W64+Z64+AC64+AF64+AI64+AL64+AO64</f>
        <v>63</v>
      </c>
      <c r="F64" s="260">
        <f t="shared" ref="F64" si="87">I64+L64+O64+R64+U64+X64+AA64+AD64+AG64+AJ64+AM64+AP64</f>
        <v>63</v>
      </c>
      <c r="G64" s="260">
        <f>F64/E64*100</f>
        <v>100</v>
      </c>
      <c r="H64" s="260">
        <v>63</v>
      </c>
      <c r="I64" s="260">
        <v>0</v>
      </c>
      <c r="J64" s="260">
        <v>0</v>
      </c>
      <c r="K64" s="260">
        <v>0</v>
      </c>
      <c r="L64" s="260">
        <v>0</v>
      </c>
      <c r="M64" s="260">
        <v>0</v>
      </c>
      <c r="N64" s="260">
        <v>0</v>
      </c>
      <c r="O64" s="260">
        <v>63</v>
      </c>
      <c r="P64" s="260">
        <v>0</v>
      </c>
      <c r="Q64" s="260">
        <v>0</v>
      </c>
      <c r="R64" s="260">
        <v>0</v>
      </c>
      <c r="S64" s="260">
        <v>0</v>
      </c>
      <c r="T64" s="261">
        <v>0</v>
      </c>
      <c r="U64" s="261">
        <v>0</v>
      </c>
      <c r="V64" s="262">
        <v>0</v>
      </c>
      <c r="W64" s="262">
        <v>0</v>
      </c>
      <c r="X64" s="262">
        <v>0</v>
      </c>
      <c r="Y64" s="262">
        <v>0</v>
      </c>
      <c r="Z64" s="260">
        <v>0</v>
      </c>
      <c r="AA64" s="260">
        <v>0</v>
      </c>
      <c r="AB64" s="262">
        <v>0</v>
      </c>
      <c r="AC64" s="261">
        <v>0</v>
      </c>
      <c r="AD64" s="261">
        <v>0</v>
      </c>
      <c r="AE64" s="262">
        <v>0</v>
      </c>
      <c r="AF64" s="261">
        <v>0</v>
      </c>
      <c r="AG64" s="263">
        <v>0</v>
      </c>
      <c r="AH64" s="260">
        <v>0</v>
      </c>
      <c r="AI64" s="261">
        <v>0</v>
      </c>
      <c r="AJ64" s="261">
        <v>0</v>
      </c>
      <c r="AK64" s="261" t="e">
        <f>AJ64/AI64*100</f>
        <v>#DIV/0!</v>
      </c>
      <c r="AL64" s="261">
        <v>0</v>
      </c>
      <c r="AM64" s="261">
        <v>0</v>
      </c>
      <c r="AN64" s="261" t="e">
        <f>AM64/AL64*100</f>
        <v>#DIV/0!</v>
      </c>
      <c r="AO64" s="261">
        <v>0</v>
      </c>
      <c r="AP64" s="260">
        <v>0</v>
      </c>
      <c r="AQ64" s="260" t="e">
        <f>AP64/AO64*100</f>
        <v>#DIV/0!</v>
      </c>
      <c r="AR64" s="472"/>
      <c r="AS64" s="475"/>
      <c r="AT64" s="264"/>
      <c r="AU64" s="264"/>
      <c r="AV64" s="265"/>
      <c r="AX64" s="264"/>
    </row>
    <row r="65" spans="1:50" s="234" customFormat="1" ht="12.75" customHeight="1">
      <c r="A65" s="463"/>
      <c r="B65" s="467"/>
      <c r="C65" s="468"/>
      <c r="D65" s="218" t="s">
        <v>257</v>
      </c>
      <c r="E65" s="149">
        <f>E73</f>
        <v>0</v>
      </c>
      <c r="F65" s="149">
        <f>F73</f>
        <v>0</v>
      </c>
      <c r="G65" s="149">
        <v>0</v>
      </c>
      <c r="H65" s="149">
        <f>H73</f>
        <v>0</v>
      </c>
      <c r="I65" s="149">
        <f>I73</f>
        <v>0</v>
      </c>
      <c r="J65" s="149">
        <f>J73</f>
        <v>0</v>
      </c>
      <c r="K65" s="149">
        <f>K73</f>
        <v>0</v>
      </c>
      <c r="L65" s="149">
        <f>L73</f>
        <v>0</v>
      </c>
      <c r="M65" s="149">
        <v>0</v>
      </c>
      <c r="N65" s="149">
        <f t="shared" ref="N65:AQ65" si="88">N73</f>
        <v>0</v>
      </c>
      <c r="O65" s="149">
        <f t="shared" si="88"/>
        <v>0</v>
      </c>
      <c r="P65" s="149">
        <f t="shared" si="88"/>
        <v>0</v>
      </c>
      <c r="Q65" s="149">
        <f t="shared" si="88"/>
        <v>0</v>
      </c>
      <c r="R65" s="149">
        <f t="shared" si="88"/>
        <v>0</v>
      </c>
      <c r="S65" s="149">
        <f t="shared" si="88"/>
        <v>0</v>
      </c>
      <c r="T65" s="149">
        <f t="shared" si="88"/>
        <v>0</v>
      </c>
      <c r="U65" s="149">
        <f t="shared" si="88"/>
        <v>0</v>
      </c>
      <c r="V65" s="149">
        <f t="shared" si="88"/>
        <v>0</v>
      </c>
      <c r="W65" s="149">
        <f t="shared" si="88"/>
        <v>0</v>
      </c>
      <c r="X65" s="149">
        <f t="shared" si="88"/>
        <v>0</v>
      </c>
      <c r="Y65" s="149">
        <f t="shared" si="88"/>
        <v>0</v>
      </c>
      <c r="Z65" s="149">
        <f t="shared" si="88"/>
        <v>0</v>
      </c>
      <c r="AA65" s="149">
        <f t="shared" si="88"/>
        <v>0</v>
      </c>
      <c r="AB65" s="149">
        <f t="shared" si="88"/>
        <v>0</v>
      </c>
      <c r="AC65" s="149">
        <f t="shared" si="88"/>
        <v>0</v>
      </c>
      <c r="AD65" s="149">
        <f t="shared" si="88"/>
        <v>0</v>
      </c>
      <c r="AE65" s="149">
        <f t="shared" si="88"/>
        <v>0</v>
      </c>
      <c r="AF65" s="149">
        <f t="shared" si="88"/>
        <v>0</v>
      </c>
      <c r="AG65" s="149">
        <f t="shared" si="88"/>
        <v>0</v>
      </c>
      <c r="AH65" s="149">
        <f t="shared" si="88"/>
        <v>0</v>
      </c>
      <c r="AI65" s="149">
        <f t="shared" si="88"/>
        <v>0</v>
      </c>
      <c r="AJ65" s="149">
        <f t="shared" si="88"/>
        <v>0</v>
      </c>
      <c r="AK65" s="149">
        <f t="shared" si="88"/>
        <v>0</v>
      </c>
      <c r="AL65" s="149">
        <f t="shared" si="88"/>
        <v>0</v>
      </c>
      <c r="AM65" s="149">
        <f t="shared" si="88"/>
        <v>0</v>
      </c>
      <c r="AN65" s="149">
        <f t="shared" si="88"/>
        <v>0</v>
      </c>
      <c r="AO65" s="149">
        <f t="shared" si="88"/>
        <v>0</v>
      </c>
      <c r="AP65" s="149">
        <f t="shared" si="88"/>
        <v>0</v>
      </c>
      <c r="AQ65" s="149">
        <f t="shared" si="88"/>
        <v>0</v>
      </c>
      <c r="AR65" s="472"/>
      <c r="AS65" s="475"/>
      <c r="AT65" s="228"/>
      <c r="AU65" s="228"/>
      <c r="AV65" s="229"/>
    </row>
    <row r="66" spans="1:50" s="234" customFormat="1" ht="24">
      <c r="A66" s="464"/>
      <c r="B66" s="469"/>
      <c r="C66" s="470"/>
      <c r="D66" s="218" t="s">
        <v>460</v>
      </c>
      <c r="E66" s="149">
        <f>H66+K66+N66+Q66+T66+W66+Z66+AC66+AF66+AI66+AL66+AO66</f>
        <v>0</v>
      </c>
      <c r="F66" s="149">
        <f>I66+L66+O66+R66+U66+X66+AA66+AD66+AG66+AJ66+AM66+AP66</f>
        <v>0</v>
      </c>
      <c r="G66" s="149">
        <v>0</v>
      </c>
      <c r="H66" s="149">
        <v>0</v>
      </c>
      <c r="I66" s="149">
        <v>0</v>
      </c>
      <c r="J66" s="149">
        <v>0</v>
      </c>
      <c r="K66" s="241">
        <v>0</v>
      </c>
      <c r="L66" s="149">
        <v>0</v>
      </c>
      <c r="M66" s="149">
        <v>0</v>
      </c>
      <c r="N66" s="149">
        <v>0</v>
      </c>
      <c r="O66" s="149">
        <v>0</v>
      </c>
      <c r="P66" s="149">
        <v>0</v>
      </c>
      <c r="Q66" s="149">
        <v>0</v>
      </c>
      <c r="R66" s="149">
        <v>0</v>
      </c>
      <c r="S66" s="149">
        <v>0</v>
      </c>
      <c r="T66" s="225">
        <v>0</v>
      </c>
      <c r="U66" s="225">
        <v>0</v>
      </c>
      <c r="V66" s="149">
        <v>0</v>
      </c>
      <c r="W66" s="225">
        <v>0</v>
      </c>
      <c r="X66" s="225">
        <v>0</v>
      </c>
      <c r="Y66" s="225">
        <v>0</v>
      </c>
      <c r="Z66" s="225">
        <v>0</v>
      </c>
      <c r="AA66" s="225">
        <v>0</v>
      </c>
      <c r="AB66" s="225">
        <v>0</v>
      </c>
      <c r="AC66" s="225">
        <v>0</v>
      </c>
      <c r="AD66" s="225">
        <v>0</v>
      </c>
      <c r="AE66" s="225">
        <v>0</v>
      </c>
      <c r="AF66" s="225">
        <v>0</v>
      </c>
      <c r="AG66" s="225">
        <v>0</v>
      </c>
      <c r="AH66" s="149">
        <v>0</v>
      </c>
      <c r="AI66" s="149">
        <v>0</v>
      </c>
      <c r="AJ66" s="149">
        <v>0</v>
      </c>
      <c r="AK66" s="149">
        <v>0</v>
      </c>
      <c r="AL66" s="225">
        <v>0</v>
      </c>
      <c r="AM66" s="225">
        <v>0</v>
      </c>
      <c r="AN66" s="225">
        <v>0</v>
      </c>
      <c r="AO66" s="149">
        <v>0</v>
      </c>
      <c r="AP66" s="149"/>
      <c r="AQ66" s="149"/>
      <c r="AR66" s="473"/>
      <c r="AS66" s="476"/>
      <c r="AT66" s="228"/>
      <c r="AU66" s="228"/>
      <c r="AV66" s="229"/>
    </row>
    <row r="67" spans="1:50" s="234" customFormat="1" ht="85.5" customHeight="1">
      <c r="A67" s="223" t="s">
        <v>17</v>
      </c>
      <c r="B67" s="143" t="s">
        <v>472</v>
      </c>
      <c r="C67" s="257" t="s">
        <v>497</v>
      </c>
      <c r="D67" s="143" t="s">
        <v>442</v>
      </c>
      <c r="E67" s="149" t="s">
        <v>279</v>
      </c>
      <c r="F67" s="149" t="s">
        <v>279</v>
      </c>
      <c r="G67" s="149" t="s">
        <v>279</v>
      </c>
      <c r="H67" s="149" t="s">
        <v>279</v>
      </c>
      <c r="I67" s="149" t="s">
        <v>279</v>
      </c>
      <c r="J67" s="149" t="s">
        <v>279</v>
      </c>
      <c r="K67" s="149" t="s">
        <v>279</v>
      </c>
      <c r="L67" s="149" t="s">
        <v>279</v>
      </c>
      <c r="M67" s="149" t="s">
        <v>279</v>
      </c>
      <c r="N67" s="149" t="s">
        <v>279</v>
      </c>
      <c r="O67" s="149" t="s">
        <v>279</v>
      </c>
      <c r="P67" s="149" t="s">
        <v>279</v>
      </c>
      <c r="Q67" s="149" t="s">
        <v>279</v>
      </c>
      <c r="R67" s="149" t="s">
        <v>279</v>
      </c>
      <c r="S67" s="149" t="s">
        <v>279</v>
      </c>
      <c r="T67" s="149" t="s">
        <v>279</v>
      </c>
      <c r="U67" s="149" t="s">
        <v>279</v>
      </c>
      <c r="V67" s="149" t="s">
        <v>279</v>
      </c>
      <c r="W67" s="149" t="s">
        <v>279</v>
      </c>
      <c r="X67" s="149" t="s">
        <v>279</v>
      </c>
      <c r="Y67" s="149" t="s">
        <v>279</v>
      </c>
      <c r="Z67" s="149" t="s">
        <v>279</v>
      </c>
      <c r="AA67" s="149" t="s">
        <v>279</v>
      </c>
      <c r="AB67" s="149" t="s">
        <v>279</v>
      </c>
      <c r="AC67" s="149" t="s">
        <v>279</v>
      </c>
      <c r="AD67" s="149" t="s">
        <v>279</v>
      </c>
      <c r="AE67" s="149" t="s">
        <v>279</v>
      </c>
      <c r="AF67" s="149" t="s">
        <v>279</v>
      </c>
      <c r="AG67" s="149" t="s">
        <v>279</v>
      </c>
      <c r="AH67" s="149" t="s">
        <v>279</v>
      </c>
      <c r="AI67" s="149" t="s">
        <v>279</v>
      </c>
      <c r="AJ67" s="149" t="s">
        <v>279</v>
      </c>
      <c r="AK67" s="149" t="s">
        <v>279</v>
      </c>
      <c r="AL67" s="149" t="s">
        <v>279</v>
      </c>
      <c r="AM67" s="149" t="s">
        <v>279</v>
      </c>
      <c r="AN67" s="149" t="s">
        <v>279</v>
      </c>
      <c r="AO67" s="149" t="s">
        <v>279</v>
      </c>
      <c r="AP67" s="149" t="s">
        <v>279</v>
      </c>
      <c r="AQ67" s="149" t="s">
        <v>279</v>
      </c>
      <c r="AR67" s="219" t="s">
        <v>504</v>
      </c>
      <c r="AS67" s="139"/>
      <c r="AT67" s="228"/>
      <c r="AU67" s="228"/>
      <c r="AV67" s="229"/>
    </row>
    <row r="68" spans="1:50" s="234" customFormat="1" ht="61.5" customHeight="1">
      <c r="A68" s="256" t="s">
        <v>470</v>
      </c>
      <c r="B68" s="143" t="s">
        <v>473</v>
      </c>
      <c r="C68" s="257" t="s">
        <v>497</v>
      </c>
      <c r="D68" s="143" t="s">
        <v>442</v>
      </c>
      <c r="E68" s="149" t="s">
        <v>279</v>
      </c>
      <c r="F68" s="149" t="s">
        <v>279</v>
      </c>
      <c r="G68" s="149" t="s">
        <v>279</v>
      </c>
      <c r="H68" s="149" t="s">
        <v>279</v>
      </c>
      <c r="I68" s="149" t="s">
        <v>279</v>
      </c>
      <c r="J68" s="149" t="s">
        <v>279</v>
      </c>
      <c r="K68" s="149" t="s">
        <v>279</v>
      </c>
      <c r="L68" s="149" t="s">
        <v>279</v>
      </c>
      <c r="M68" s="149" t="s">
        <v>279</v>
      </c>
      <c r="N68" s="149" t="s">
        <v>279</v>
      </c>
      <c r="O68" s="149" t="s">
        <v>279</v>
      </c>
      <c r="P68" s="149" t="s">
        <v>279</v>
      </c>
      <c r="Q68" s="149" t="s">
        <v>279</v>
      </c>
      <c r="R68" s="149" t="s">
        <v>279</v>
      </c>
      <c r="S68" s="149" t="s">
        <v>279</v>
      </c>
      <c r="T68" s="149" t="s">
        <v>279</v>
      </c>
      <c r="U68" s="149" t="s">
        <v>279</v>
      </c>
      <c r="V68" s="149" t="s">
        <v>279</v>
      </c>
      <c r="W68" s="149" t="s">
        <v>279</v>
      </c>
      <c r="X68" s="149" t="s">
        <v>279</v>
      </c>
      <c r="Y68" s="149" t="s">
        <v>279</v>
      </c>
      <c r="Z68" s="149" t="s">
        <v>279</v>
      </c>
      <c r="AA68" s="149" t="s">
        <v>279</v>
      </c>
      <c r="AB68" s="149" t="s">
        <v>279</v>
      </c>
      <c r="AC68" s="149" t="s">
        <v>279</v>
      </c>
      <c r="AD68" s="149" t="s">
        <v>279</v>
      </c>
      <c r="AE68" s="149" t="s">
        <v>279</v>
      </c>
      <c r="AF68" s="149" t="s">
        <v>279</v>
      </c>
      <c r="AG68" s="149" t="s">
        <v>279</v>
      </c>
      <c r="AH68" s="149" t="s">
        <v>279</v>
      </c>
      <c r="AI68" s="149" t="s">
        <v>279</v>
      </c>
      <c r="AJ68" s="149" t="s">
        <v>279</v>
      </c>
      <c r="AK68" s="149" t="s">
        <v>279</v>
      </c>
      <c r="AL68" s="149" t="s">
        <v>279</v>
      </c>
      <c r="AM68" s="149" t="s">
        <v>279</v>
      </c>
      <c r="AN68" s="149" t="s">
        <v>279</v>
      </c>
      <c r="AO68" s="149" t="s">
        <v>279</v>
      </c>
      <c r="AP68" s="149" t="s">
        <v>279</v>
      </c>
      <c r="AQ68" s="149" t="s">
        <v>279</v>
      </c>
      <c r="AR68" s="267"/>
      <c r="AS68" s="140"/>
      <c r="AT68" s="228"/>
      <c r="AU68" s="228"/>
      <c r="AV68" s="229"/>
    </row>
    <row r="69" spans="1:50" s="230" customFormat="1" ht="12.75">
      <c r="A69" s="477" t="s">
        <v>471</v>
      </c>
      <c r="B69" s="478" t="s">
        <v>474</v>
      </c>
      <c r="C69" s="478" t="s">
        <v>498</v>
      </c>
      <c r="D69" s="219" t="s">
        <v>443</v>
      </c>
      <c r="E69" s="123">
        <f>E70+E71+E73+E74</f>
        <v>575.29999999999995</v>
      </c>
      <c r="F69" s="123">
        <f>F70+F71+F73+F74</f>
        <v>151</v>
      </c>
      <c r="G69" s="123">
        <f>F69/E69*100</f>
        <v>26.247175386754741</v>
      </c>
      <c r="H69" s="123">
        <f>H70+H71+H73+H74</f>
        <v>63</v>
      </c>
      <c r="I69" s="123">
        <f>I70+I71+I73+I74</f>
        <v>63</v>
      </c>
      <c r="J69" s="123">
        <v>0</v>
      </c>
      <c r="K69" s="123">
        <f>K70+K71+K73+K74</f>
        <v>14.7</v>
      </c>
      <c r="L69" s="123">
        <f>L70+L71+L73+L74</f>
        <v>20.399999999999999</v>
      </c>
      <c r="M69" s="123">
        <f>L69/K69*100</f>
        <v>138.77551020408163</v>
      </c>
      <c r="N69" s="123">
        <f>N70+N71+N73+N74</f>
        <v>0</v>
      </c>
      <c r="O69" s="123">
        <f>O70+O71+O73+O74</f>
        <v>-63</v>
      </c>
      <c r="P69" s="123">
        <v>0</v>
      </c>
      <c r="Q69" s="123">
        <f t="shared" ref="Q69:AO69" si="89">Q70+Q71+Q73+Q74</f>
        <v>28.8</v>
      </c>
      <c r="R69" s="123">
        <f t="shared" si="89"/>
        <v>46.2</v>
      </c>
      <c r="S69" s="123">
        <f t="shared" si="89"/>
        <v>160.41666666666669</v>
      </c>
      <c r="T69" s="123">
        <f t="shared" si="89"/>
        <v>67.5</v>
      </c>
      <c r="U69" s="123">
        <f t="shared" si="89"/>
        <v>49.2</v>
      </c>
      <c r="V69" s="123">
        <f t="shared" si="89"/>
        <v>72.888888888888886</v>
      </c>
      <c r="W69" s="123">
        <f t="shared" si="89"/>
        <v>100.30000000000001</v>
      </c>
      <c r="X69" s="123">
        <f t="shared" si="89"/>
        <v>35.200000000000003</v>
      </c>
      <c r="Y69" s="123">
        <f t="shared" si="89"/>
        <v>35.094715852442668</v>
      </c>
      <c r="Z69" s="123">
        <f t="shared" si="89"/>
        <v>0</v>
      </c>
      <c r="AA69" s="123">
        <f t="shared" si="89"/>
        <v>0</v>
      </c>
      <c r="AB69" s="123">
        <f t="shared" si="89"/>
        <v>0</v>
      </c>
      <c r="AC69" s="123">
        <f t="shared" si="89"/>
        <v>79.5</v>
      </c>
      <c r="AD69" s="123">
        <f t="shared" si="89"/>
        <v>0</v>
      </c>
      <c r="AE69" s="123">
        <f t="shared" si="89"/>
        <v>0</v>
      </c>
      <c r="AF69" s="123">
        <f t="shared" si="89"/>
        <v>122.5</v>
      </c>
      <c r="AG69" s="123">
        <f t="shared" si="89"/>
        <v>0</v>
      </c>
      <c r="AH69" s="123">
        <f t="shared" si="89"/>
        <v>0</v>
      </c>
      <c r="AI69" s="123">
        <f t="shared" si="89"/>
        <v>28.8</v>
      </c>
      <c r="AJ69" s="123">
        <f t="shared" si="89"/>
        <v>0</v>
      </c>
      <c r="AK69" s="123">
        <f t="shared" si="89"/>
        <v>0</v>
      </c>
      <c r="AL69" s="123">
        <f t="shared" si="89"/>
        <v>0</v>
      </c>
      <c r="AM69" s="123">
        <f t="shared" si="89"/>
        <v>0</v>
      </c>
      <c r="AN69" s="123" t="e">
        <f t="shared" si="89"/>
        <v>#DIV/0!</v>
      </c>
      <c r="AO69" s="123">
        <f t="shared" si="89"/>
        <v>70.199999999999989</v>
      </c>
      <c r="AP69" s="132">
        <f t="shared" ref="AP69:AQ69" si="90">AP70+AP71+AP73</f>
        <v>0</v>
      </c>
      <c r="AQ69" s="132">
        <f t="shared" si="90"/>
        <v>0</v>
      </c>
      <c r="AR69" s="423" t="s">
        <v>510</v>
      </c>
      <c r="AS69" s="423" t="s">
        <v>506</v>
      </c>
      <c r="AT69" s="228"/>
      <c r="AU69" s="228"/>
      <c r="AV69" s="229"/>
      <c r="AX69" s="228"/>
    </row>
    <row r="70" spans="1:50" s="230" customFormat="1" ht="52.5" customHeight="1">
      <c r="A70" s="477"/>
      <c r="B70" s="478"/>
      <c r="C70" s="478"/>
      <c r="D70" s="220" t="s">
        <v>441</v>
      </c>
      <c r="E70" s="123">
        <f>H70+K70+N70+Q70+T70+W70+Z70+AC70+AF70+AI70+AL70+AO70</f>
        <v>0</v>
      </c>
      <c r="F70" s="123">
        <f>I70+L70+O70+R70+U70+X70+AA70+AD70+AG70+AJ70+AM70+AP70</f>
        <v>0</v>
      </c>
      <c r="G70" s="123">
        <v>0</v>
      </c>
      <c r="H70" s="123">
        <v>0</v>
      </c>
      <c r="I70" s="123">
        <v>0</v>
      </c>
      <c r="J70" s="123">
        <v>0</v>
      </c>
      <c r="K70" s="132">
        <v>0</v>
      </c>
      <c r="L70" s="123">
        <v>0</v>
      </c>
      <c r="M70" s="123">
        <v>0</v>
      </c>
      <c r="N70" s="123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17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23">
        <v>0</v>
      </c>
      <c r="AJ70" s="123">
        <v>0</v>
      </c>
      <c r="AK70" s="123">
        <v>0</v>
      </c>
      <c r="AL70" s="117">
        <v>0</v>
      </c>
      <c r="AM70" s="117">
        <v>0</v>
      </c>
      <c r="AN70" s="117">
        <v>0</v>
      </c>
      <c r="AO70" s="123">
        <v>0</v>
      </c>
      <c r="AP70" s="123">
        <v>0</v>
      </c>
      <c r="AQ70" s="123">
        <v>0</v>
      </c>
      <c r="AR70" s="424"/>
      <c r="AS70" s="424"/>
      <c r="AT70" s="228"/>
      <c r="AU70" s="228"/>
      <c r="AV70" s="229"/>
      <c r="AX70" s="228"/>
    </row>
    <row r="71" spans="1:50" s="230" customFormat="1" ht="14.25" customHeight="1">
      <c r="A71" s="477"/>
      <c r="B71" s="478"/>
      <c r="C71" s="478"/>
      <c r="D71" s="220" t="s">
        <v>455</v>
      </c>
      <c r="E71" s="123">
        <f t="shared" ref="E71:F73" si="91">H71+K71+N71+Q71+T71+W71+Z71+AC71+AF71+AI71+AL71+AO71</f>
        <v>575.29999999999995</v>
      </c>
      <c r="F71" s="123">
        <f t="shared" si="91"/>
        <v>151</v>
      </c>
      <c r="G71" s="123">
        <f>F71/E71*100</f>
        <v>26.247175386754741</v>
      </c>
      <c r="H71" s="123">
        <f>57.3+5.7</f>
        <v>63</v>
      </c>
      <c r="I71" s="123">
        <v>63</v>
      </c>
      <c r="J71" s="123">
        <f>I71/H71*100</f>
        <v>100</v>
      </c>
      <c r="K71" s="123">
        <f>20.4-5.7</f>
        <v>14.7</v>
      </c>
      <c r="L71" s="123">
        <v>20.399999999999999</v>
      </c>
      <c r="M71" s="123">
        <f>L71/K71*100</f>
        <v>138.77551020408163</v>
      </c>
      <c r="N71" s="123">
        <v>0</v>
      </c>
      <c r="O71" s="123">
        <v>-63</v>
      </c>
      <c r="P71" s="123">
        <v>0</v>
      </c>
      <c r="Q71" s="123">
        <v>28.8</v>
      </c>
      <c r="R71" s="123">
        <v>46.2</v>
      </c>
      <c r="S71" s="123">
        <f>R71/Q71*100</f>
        <v>160.41666666666669</v>
      </c>
      <c r="T71" s="221">
        <f>7.5+60</f>
        <v>67.5</v>
      </c>
      <c r="U71" s="221">
        <v>49.2</v>
      </c>
      <c r="V71" s="123">
        <f>U71/T71*100</f>
        <v>72.888888888888886</v>
      </c>
      <c r="W71" s="117">
        <f>160.3-60</f>
        <v>100.30000000000001</v>
      </c>
      <c r="X71" s="117">
        <v>35.200000000000003</v>
      </c>
      <c r="Y71" s="117">
        <f t="shared" ref="Y71" si="92">X71/W71*100</f>
        <v>35.094715852442668</v>
      </c>
      <c r="Z71" s="123">
        <v>0</v>
      </c>
      <c r="AA71" s="123">
        <v>0</v>
      </c>
      <c r="AB71" s="117">
        <v>0</v>
      </c>
      <c r="AC71" s="221">
        <v>79.5</v>
      </c>
      <c r="AD71" s="221">
        <v>0</v>
      </c>
      <c r="AE71" s="117">
        <v>0</v>
      </c>
      <c r="AF71" s="221">
        <v>122.5</v>
      </c>
      <c r="AG71" s="222">
        <v>0</v>
      </c>
      <c r="AH71" s="123">
        <v>0</v>
      </c>
      <c r="AI71" s="221">
        <v>28.8</v>
      </c>
      <c r="AJ71" s="221">
        <v>0</v>
      </c>
      <c r="AK71" s="221">
        <f>AJ71/AI71*100</f>
        <v>0</v>
      </c>
      <c r="AL71" s="221">
        <v>0</v>
      </c>
      <c r="AM71" s="221">
        <v>0</v>
      </c>
      <c r="AN71" s="221" t="e">
        <f>AM71/AL71*100</f>
        <v>#DIV/0!</v>
      </c>
      <c r="AO71" s="221">
        <f>133.2-63</f>
        <v>70.199999999999989</v>
      </c>
      <c r="AP71" s="123">
        <v>0</v>
      </c>
      <c r="AQ71" s="123">
        <f>AP71/AO71*100</f>
        <v>0</v>
      </c>
      <c r="AR71" s="424"/>
      <c r="AS71" s="424"/>
      <c r="AT71" s="233"/>
      <c r="AU71" s="233"/>
      <c r="AV71" s="229"/>
      <c r="AX71" s="228"/>
    </row>
    <row r="72" spans="1:50" s="266" customFormat="1" ht="36.75" customHeight="1">
      <c r="A72" s="477"/>
      <c r="B72" s="478"/>
      <c r="C72" s="478"/>
      <c r="D72" s="259" t="s">
        <v>501</v>
      </c>
      <c r="E72" s="260">
        <f t="shared" ref="E72" si="93">H72+K72+N72+Q72+T72+W72+Z72+AC72+AF72+AI72+AL72+AO72</f>
        <v>63</v>
      </c>
      <c r="F72" s="260">
        <f t="shared" ref="F72" si="94">I72+L72+O72+R72+U72+X72+AA72+AD72+AG72+AJ72+AM72+AP72</f>
        <v>63</v>
      </c>
      <c r="G72" s="260">
        <f>F72/E72*100</f>
        <v>100</v>
      </c>
      <c r="H72" s="260">
        <v>0</v>
      </c>
      <c r="I72" s="260">
        <v>0</v>
      </c>
      <c r="J72" s="260">
        <v>0</v>
      </c>
      <c r="K72" s="260">
        <v>0</v>
      </c>
      <c r="L72" s="260">
        <v>0</v>
      </c>
      <c r="M72" s="260">
        <v>0</v>
      </c>
      <c r="N72" s="260">
        <v>63</v>
      </c>
      <c r="O72" s="260">
        <v>63</v>
      </c>
      <c r="P72" s="260">
        <f>O72/N72*100</f>
        <v>100</v>
      </c>
      <c r="Q72" s="260">
        <v>0</v>
      </c>
      <c r="R72" s="260">
        <v>0</v>
      </c>
      <c r="S72" s="260">
        <v>0</v>
      </c>
      <c r="T72" s="261">
        <v>0</v>
      </c>
      <c r="U72" s="261">
        <v>0</v>
      </c>
      <c r="V72" s="262">
        <v>0</v>
      </c>
      <c r="W72" s="262">
        <v>0</v>
      </c>
      <c r="X72" s="262">
        <v>0</v>
      </c>
      <c r="Y72" s="262">
        <v>0</v>
      </c>
      <c r="Z72" s="260">
        <v>0</v>
      </c>
      <c r="AA72" s="260">
        <v>0</v>
      </c>
      <c r="AB72" s="262">
        <v>0</v>
      </c>
      <c r="AC72" s="261">
        <v>0</v>
      </c>
      <c r="AD72" s="261">
        <v>0</v>
      </c>
      <c r="AE72" s="262">
        <v>0</v>
      </c>
      <c r="AF72" s="261">
        <v>0</v>
      </c>
      <c r="AG72" s="263">
        <v>0</v>
      </c>
      <c r="AH72" s="260">
        <v>0</v>
      </c>
      <c r="AI72" s="261">
        <v>0</v>
      </c>
      <c r="AJ72" s="261">
        <v>0</v>
      </c>
      <c r="AK72" s="261" t="e">
        <f>AJ72/AI72*100</f>
        <v>#DIV/0!</v>
      </c>
      <c r="AL72" s="261">
        <v>0</v>
      </c>
      <c r="AM72" s="261">
        <v>0</v>
      </c>
      <c r="AN72" s="261" t="e">
        <f>AM72/AL72*100</f>
        <v>#DIV/0!</v>
      </c>
      <c r="AO72" s="261">
        <v>0</v>
      </c>
      <c r="AP72" s="260">
        <v>0</v>
      </c>
      <c r="AQ72" s="260" t="e">
        <f>AP72/AO72*100</f>
        <v>#DIV/0!</v>
      </c>
      <c r="AR72" s="424"/>
      <c r="AS72" s="424"/>
      <c r="AT72" s="264"/>
      <c r="AU72" s="264"/>
      <c r="AV72" s="265"/>
      <c r="AX72" s="264"/>
    </row>
    <row r="73" spans="1:50" s="230" customFormat="1" ht="12.75" customHeight="1">
      <c r="A73" s="477"/>
      <c r="B73" s="478"/>
      <c r="C73" s="478"/>
      <c r="D73" s="143" t="s">
        <v>257</v>
      </c>
      <c r="E73" s="123">
        <f t="shared" si="91"/>
        <v>0</v>
      </c>
      <c r="F73" s="123">
        <f t="shared" si="91"/>
        <v>0</v>
      </c>
      <c r="G73" s="123">
        <v>0</v>
      </c>
      <c r="H73" s="123">
        <v>0</v>
      </c>
      <c r="I73" s="123">
        <v>0</v>
      </c>
      <c r="J73" s="123">
        <v>0</v>
      </c>
      <c r="K73" s="132">
        <v>0</v>
      </c>
      <c r="L73" s="123">
        <v>0</v>
      </c>
      <c r="M73" s="123">
        <v>0</v>
      </c>
      <c r="N73" s="123">
        <v>0</v>
      </c>
      <c r="O73" s="123">
        <v>0</v>
      </c>
      <c r="P73" s="123">
        <v>0</v>
      </c>
      <c r="Q73" s="123">
        <v>0</v>
      </c>
      <c r="R73" s="123">
        <v>0</v>
      </c>
      <c r="S73" s="123">
        <v>0</v>
      </c>
      <c r="T73" s="117">
        <v>0</v>
      </c>
      <c r="U73" s="117">
        <v>0</v>
      </c>
      <c r="V73" s="117">
        <v>0</v>
      </c>
      <c r="W73" s="117">
        <v>0</v>
      </c>
      <c r="X73" s="117">
        <v>0</v>
      </c>
      <c r="Y73" s="117">
        <v>0</v>
      </c>
      <c r="Z73" s="117">
        <v>0</v>
      </c>
      <c r="AA73" s="117">
        <v>0</v>
      </c>
      <c r="AB73" s="117">
        <v>0</v>
      </c>
      <c r="AC73" s="117">
        <v>0</v>
      </c>
      <c r="AD73" s="117">
        <v>0</v>
      </c>
      <c r="AE73" s="117">
        <v>0</v>
      </c>
      <c r="AF73" s="117">
        <v>0</v>
      </c>
      <c r="AG73" s="117">
        <v>0</v>
      </c>
      <c r="AH73" s="117">
        <v>0</v>
      </c>
      <c r="AI73" s="123">
        <v>0</v>
      </c>
      <c r="AJ73" s="123">
        <v>0</v>
      </c>
      <c r="AK73" s="123">
        <v>0</v>
      </c>
      <c r="AL73" s="117">
        <v>0</v>
      </c>
      <c r="AM73" s="117">
        <v>0</v>
      </c>
      <c r="AN73" s="117">
        <v>0</v>
      </c>
      <c r="AO73" s="123">
        <v>0</v>
      </c>
      <c r="AP73" s="123">
        <v>0</v>
      </c>
      <c r="AQ73" s="123">
        <v>0</v>
      </c>
      <c r="AR73" s="424"/>
      <c r="AS73" s="424"/>
      <c r="AT73" s="228"/>
      <c r="AU73" s="228"/>
      <c r="AV73" s="229"/>
      <c r="AX73" s="228"/>
    </row>
    <row r="74" spans="1:50" s="230" customFormat="1" ht="24">
      <c r="A74" s="477"/>
      <c r="B74" s="478"/>
      <c r="C74" s="478"/>
      <c r="D74" s="143" t="s">
        <v>460</v>
      </c>
      <c r="E74" s="123">
        <f>H74+K74+N74+Q74+T74+W74+Z74+AC74+AF74+AI74+AL74+AO74</f>
        <v>0</v>
      </c>
      <c r="F74" s="123">
        <f>I74+L74+O74+R74+U74+X74+AA74+AD74+AG74+AJ74+AM74+AP74</f>
        <v>0</v>
      </c>
      <c r="G74" s="123">
        <v>0</v>
      </c>
      <c r="H74" s="123">
        <v>0</v>
      </c>
      <c r="I74" s="123">
        <v>0</v>
      </c>
      <c r="J74" s="123">
        <v>0</v>
      </c>
      <c r="K74" s="132">
        <v>0</v>
      </c>
      <c r="L74" s="123">
        <v>0</v>
      </c>
      <c r="M74" s="123">
        <v>0</v>
      </c>
      <c r="N74" s="123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17">
        <v>0</v>
      </c>
      <c r="U74" s="117">
        <v>0</v>
      </c>
      <c r="V74" s="123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23">
        <v>0</v>
      </c>
      <c r="AI74" s="123">
        <v>0</v>
      </c>
      <c r="AJ74" s="123">
        <v>0</v>
      </c>
      <c r="AK74" s="123">
        <v>0</v>
      </c>
      <c r="AL74" s="117">
        <v>0</v>
      </c>
      <c r="AM74" s="117">
        <v>0</v>
      </c>
      <c r="AN74" s="117">
        <v>0</v>
      </c>
      <c r="AO74" s="123">
        <v>0</v>
      </c>
      <c r="AP74" s="123">
        <v>0</v>
      </c>
      <c r="AQ74" s="123">
        <v>0</v>
      </c>
      <c r="AR74" s="425"/>
      <c r="AS74" s="425"/>
      <c r="AT74" s="228"/>
      <c r="AU74" s="228"/>
      <c r="AV74" s="229"/>
    </row>
    <row r="75" spans="1:50" s="234" customFormat="1" ht="12.75">
      <c r="A75" s="460" t="s">
        <v>444</v>
      </c>
      <c r="B75" s="460"/>
      <c r="C75" s="460"/>
      <c r="D75" s="218" t="s">
        <v>443</v>
      </c>
      <c r="E75" s="149">
        <f>E76+E77+E79</f>
        <v>466326.7</v>
      </c>
      <c r="F75" s="149">
        <f>F76+F77+F79</f>
        <v>215327.09999999998</v>
      </c>
      <c r="G75" s="149">
        <f>F75/E75*100</f>
        <v>46.175160032655214</v>
      </c>
      <c r="H75" s="149">
        <f t="shared" ref="H75:I75" si="95">H76+H77+H79</f>
        <v>14248.499999999996</v>
      </c>
      <c r="I75" s="149">
        <f t="shared" si="95"/>
        <v>13793.6</v>
      </c>
      <c r="J75" s="149">
        <f>I75/H75*100</f>
        <v>96.807383233322824</v>
      </c>
      <c r="K75" s="149">
        <f t="shared" ref="K75:L75" si="96">K76+K77+K79</f>
        <v>44778.5</v>
      </c>
      <c r="L75" s="149">
        <f t="shared" si="96"/>
        <v>43381.999999999993</v>
      </c>
      <c r="M75" s="149">
        <f>L75/K75*100</f>
        <v>96.88131581004275</v>
      </c>
      <c r="N75" s="149">
        <f t="shared" ref="N75:O75" si="97">N76+N77+N79</f>
        <v>37815.5</v>
      </c>
      <c r="O75" s="149">
        <f t="shared" si="97"/>
        <v>36435.700000000004</v>
      </c>
      <c r="P75" s="149">
        <f>O75/N75*100</f>
        <v>96.351231637820476</v>
      </c>
      <c r="Q75" s="149">
        <f t="shared" ref="Q75:R75" si="98">Q76+Q77+Q79</f>
        <v>40959.800000000003</v>
      </c>
      <c r="R75" s="149">
        <f t="shared" si="98"/>
        <v>40802.700000000004</v>
      </c>
      <c r="S75" s="149">
        <f>R75/Q75*100</f>
        <v>99.616453205337919</v>
      </c>
      <c r="T75" s="149">
        <f t="shared" ref="T75:U75" si="99">T76+T77+T79</f>
        <v>42543.8</v>
      </c>
      <c r="U75" s="149">
        <f t="shared" si="99"/>
        <v>41263.200000000004</v>
      </c>
      <c r="V75" s="149">
        <f>U75/T75*100</f>
        <v>96.98992567659684</v>
      </c>
      <c r="W75" s="149">
        <f t="shared" ref="W75:X75" si="100">W76+W77+W79</f>
        <v>40197.4</v>
      </c>
      <c r="X75" s="149">
        <f t="shared" si="100"/>
        <v>39649.9</v>
      </c>
      <c r="Y75" s="149">
        <f>X75/W75*100</f>
        <v>98.637971610104131</v>
      </c>
      <c r="Z75" s="149">
        <f t="shared" ref="Z75:AA75" si="101">Z76+Z77+Z79</f>
        <v>38558.899999999994</v>
      </c>
      <c r="AA75" s="149">
        <f t="shared" si="101"/>
        <v>0</v>
      </c>
      <c r="AB75" s="149">
        <f>AA75/Z75*100</f>
        <v>0</v>
      </c>
      <c r="AC75" s="149">
        <f t="shared" ref="AC75:AD75" si="102">AC76+AC77+AC79</f>
        <v>41611.9</v>
      </c>
      <c r="AD75" s="149">
        <f t="shared" si="102"/>
        <v>0</v>
      </c>
      <c r="AE75" s="149">
        <f>AD75/AC75*100</f>
        <v>0</v>
      </c>
      <c r="AF75" s="149">
        <f t="shared" ref="AF75:AG75" si="103">AF76+AF77+AF79</f>
        <v>45990.9</v>
      </c>
      <c r="AG75" s="149">
        <f t="shared" si="103"/>
        <v>0</v>
      </c>
      <c r="AH75" s="149">
        <f>AG75/AF75*100</f>
        <v>0</v>
      </c>
      <c r="AI75" s="149">
        <f t="shared" ref="AI75:AJ75" si="104">AI76+AI77+AI79</f>
        <v>33494.000000000007</v>
      </c>
      <c r="AJ75" s="149">
        <f t="shared" si="104"/>
        <v>0</v>
      </c>
      <c r="AK75" s="149">
        <f>AJ75/AI75*100</f>
        <v>0</v>
      </c>
      <c r="AL75" s="149">
        <f t="shared" ref="AL75:AM75" si="105">AL76+AL77+AL79</f>
        <v>36075.900000000009</v>
      </c>
      <c r="AM75" s="149">
        <f t="shared" si="105"/>
        <v>0</v>
      </c>
      <c r="AN75" s="149">
        <f>AM75/AL75*100</f>
        <v>0</v>
      </c>
      <c r="AO75" s="149">
        <f t="shared" ref="AO75:AP75" si="106">AO76+AO77+AO79</f>
        <v>50051.6</v>
      </c>
      <c r="AP75" s="149">
        <f t="shared" si="106"/>
        <v>0</v>
      </c>
      <c r="AQ75" s="226">
        <f>AP75/AO75*100</f>
        <v>0</v>
      </c>
      <c r="AR75" s="458"/>
      <c r="AS75" s="459"/>
      <c r="AT75" s="228"/>
      <c r="AU75" s="228"/>
      <c r="AV75" s="229"/>
    </row>
    <row r="76" spans="1:50" s="234" customFormat="1" ht="48">
      <c r="A76" s="460"/>
      <c r="B76" s="460"/>
      <c r="C76" s="460"/>
      <c r="D76" s="217" t="s">
        <v>441</v>
      </c>
      <c r="E76" s="149">
        <f>E12+E51+E62</f>
        <v>107141.70000000001</v>
      </c>
      <c r="F76" s="149">
        <f>F12+F51+F62</f>
        <v>38818.600000000006</v>
      </c>
      <c r="G76" s="149">
        <f>F76/E76*100</f>
        <v>36.231084629047331</v>
      </c>
      <c r="H76" s="149">
        <f>H12+H51+H62</f>
        <v>425.9</v>
      </c>
      <c r="I76" s="149">
        <f>I12+I51+I62</f>
        <v>156.19999999999999</v>
      </c>
      <c r="J76" s="149">
        <f t="shared" ref="J76:J79" si="107">I76/H76*100</f>
        <v>36.6752758863583</v>
      </c>
      <c r="K76" s="149">
        <f>K12+K51+K62</f>
        <v>7249.9</v>
      </c>
      <c r="L76" s="149">
        <f>L12+L51+L62</f>
        <v>6815.5</v>
      </c>
      <c r="M76" s="149">
        <f t="shared" ref="M76:M79" si="108">L76/K76*100</f>
        <v>94.008193216458153</v>
      </c>
      <c r="N76" s="149">
        <f>N12+N51+N62</f>
        <v>7846.9</v>
      </c>
      <c r="O76" s="149">
        <f>O12+O51+O62</f>
        <v>7532.5</v>
      </c>
      <c r="P76" s="149">
        <f t="shared" ref="P76:P79" si="109">O76/N76*100</f>
        <v>95.99332220367279</v>
      </c>
      <c r="Q76" s="149">
        <f>Q12+Q51+Q62</f>
        <v>7900.2000000000007</v>
      </c>
      <c r="R76" s="149">
        <f>R12+R51+R62</f>
        <v>7745.9000000000005</v>
      </c>
      <c r="S76" s="149">
        <f t="shared" ref="S76:S79" si="110">R76/Q76*100</f>
        <v>98.046884888990149</v>
      </c>
      <c r="T76" s="149">
        <f>T12+T51+T62</f>
        <v>8487.8000000000011</v>
      </c>
      <c r="U76" s="149">
        <f>U12+U51+U62</f>
        <v>8368.6</v>
      </c>
      <c r="V76" s="149">
        <f t="shared" ref="V76:V79" si="111">U76/T76*100</f>
        <v>98.595631376799631</v>
      </c>
      <c r="W76" s="149">
        <f>W12+W51+W62</f>
        <v>8208.2000000000007</v>
      </c>
      <c r="X76" s="149">
        <f>X12+X51+X62</f>
        <v>8199.9</v>
      </c>
      <c r="Y76" s="149">
        <f t="shared" ref="Y76:Y79" si="112">X76/W76*100</f>
        <v>99.898881606198671</v>
      </c>
      <c r="Z76" s="149">
        <f t="shared" ref="Z76:AD77" si="113">Z12+Z51+Z62</f>
        <v>10428.699999999999</v>
      </c>
      <c r="AA76" s="149">
        <f t="shared" si="113"/>
        <v>0</v>
      </c>
      <c r="AB76" s="149">
        <f t="shared" si="113"/>
        <v>0</v>
      </c>
      <c r="AC76" s="149">
        <f t="shared" si="113"/>
        <v>9667.7999999999993</v>
      </c>
      <c r="AD76" s="149">
        <f t="shared" si="113"/>
        <v>0</v>
      </c>
      <c r="AE76" s="149">
        <f t="shared" ref="AE76:AE77" si="114">AD76/AC76*100</f>
        <v>0</v>
      </c>
      <c r="AF76" s="149">
        <f>AF12+AF51+AF62</f>
        <v>9739.7999999999993</v>
      </c>
      <c r="AG76" s="149">
        <f>AG12+AG51+AG62</f>
        <v>0</v>
      </c>
      <c r="AH76" s="149" t="e">
        <f t="shared" ref="AH76:AH77" si="115">AH12+AH50+AH62</f>
        <v>#DIV/0!</v>
      </c>
      <c r="AI76" s="149">
        <f t="shared" ref="AI76:AP76" si="116">AI12+AI51+AI62</f>
        <v>7895.2999999999993</v>
      </c>
      <c r="AJ76" s="149">
        <f t="shared" si="116"/>
        <v>0</v>
      </c>
      <c r="AK76" s="149">
        <f t="shared" si="116"/>
        <v>0</v>
      </c>
      <c r="AL76" s="149">
        <f t="shared" si="116"/>
        <v>7525.1</v>
      </c>
      <c r="AM76" s="149">
        <f t="shared" si="116"/>
        <v>0</v>
      </c>
      <c r="AN76" s="149">
        <f t="shared" si="116"/>
        <v>0</v>
      </c>
      <c r="AO76" s="149">
        <f t="shared" si="116"/>
        <v>21766.100000000002</v>
      </c>
      <c r="AP76" s="149">
        <f t="shared" si="116"/>
        <v>0</v>
      </c>
      <c r="AQ76" s="226">
        <f t="shared" ref="AQ76:AQ79" si="117">AP76/AO76*100</f>
        <v>0</v>
      </c>
      <c r="AR76" s="458"/>
      <c r="AS76" s="459"/>
      <c r="AT76" s="228"/>
      <c r="AU76" s="228"/>
      <c r="AV76" s="229"/>
    </row>
    <row r="77" spans="1:50" s="234" customFormat="1" ht="12.75">
      <c r="A77" s="460"/>
      <c r="B77" s="460"/>
      <c r="C77" s="460"/>
      <c r="D77" s="217" t="s">
        <v>455</v>
      </c>
      <c r="E77" s="149">
        <f>E13+E52+E63</f>
        <v>354215.3</v>
      </c>
      <c r="F77" s="149">
        <f>F13+F52+F63</f>
        <v>174333.09999999998</v>
      </c>
      <c r="G77" s="149">
        <f>F77/E77*100</f>
        <v>49.216705207256709</v>
      </c>
      <c r="H77" s="149">
        <f>H13+H52+H63</f>
        <v>13722.599999999997</v>
      </c>
      <c r="I77" s="149">
        <f>I13+I52+I63</f>
        <v>13545.4</v>
      </c>
      <c r="J77" s="149">
        <f t="shared" si="107"/>
        <v>98.708699517584151</v>
      </c>
      <c r="K77" s="149">
        <f>K13+K52+K63</f>
        <v>36958.699999999997</v>
      </c>
      <c r="L77" s="149">
        <f>L13+L52+L63</f>
        <v>36006.899999999994</v>
      </c>
      <c r="M77" s="149">
        <f t="shared" si="108"/>
        <v>97.424692968096821</v>
      </c>
      <c r="N77" s="149">
        <f>N13+N52+N63</f>
        <v>29830.2</v>
      </c>
      <c r="O77" s="149">
        <f>O13+O52+O63</f>
        <v>28764.800000000003</v>
      </c>
      <c r="P77" s="149">
        <f t="shared" si="109"/>
        <v>96.428451703307388</v>
      </c>
      <c r="Q77" s="149">
        <f>Q13+Q52+Q63</f>
        <v>32554.1</v>
      </c>
      <c r="R77" s="149">
        <f>R13+R52+R63</f>
        <v>32557.300000000003</v>
      </c>
      <c r="S77" s="149">
        <f t="shared" si="110"/>
        <v>100.0098297910248</v>
      </c>
      <c r="T77" s="149">
        <f>T13+T52+T63</f>
        <v>33505.599999999999</v>
      </c>
      <c r="U77" s="149">
        <f>U13+U52+U63</f>
        <v>32346.800000000003</v>
      </c>
      <c r="V77" s="149">
        <f t="shared" si="111"/>
        <v>96.541473664103933</v>
      </c>
      <c r="W77" s="149">
        <f>W13+W52+W63</f>
        <v>31540.500000000004</v>
      </c>
      <c r="X77" s="149">
        <f>X13+X52+X63</f>
        <v>31111.9</v>
      </c>
      <c r="Y77" s="149">
        <f t="shared" si="112"/>
        <v>98.641112220795478</v>
      </c>
      <c r="Z77" s="149">
        <f t="shared" si="113"/>
        <v>27798</v>
      </c>
      <c r="AA77" s="149">
        <f t="shared" si="113"/>
        <v>0</v>
      </c>
      <c r="AB77" s="149">
        <f t="shared" si="113"/>
        <v>0</v>
      </c>
      <c r="AC77" s="149">
        <f t="shared" si="113"/>
        <v>31528.2</v>
      </c>
      <c r="AD77" s="149">
        <f t="shared" si="113"/>
        <v>0</v>
      </c>
      <c r="AE77" s="149">
        <f t="shared" si="114"/>
        <v>0</v>
      </c>
      <c r="AF77" s="149">
        <f>AF13+AF52+AF63</f>
        <v>35843.699999999997</v>
      </c>
      <c r="AG77" s="149">
        <f>AG13+AG52+AG63</f>
        <v>0</v>
      </c>
      <c r="AH77" s="149">
        <f t="shared" si="115"/>
        <v>0</v>
      </c>
      <c r="AI77" s="149">
        <f>AI13+AI52+AI63</f>
        <v>25191.800000000003</v>
      </c>
      <c r="AJ77" s="149">
        <f>AJ13+AJ52+AJ63</f>
        <v>0</v>
      </c>
      <c r="AK77" s="149">
        <f>AK13+AK52+AK63</f>
        <v>0</v>
      </c>
      <c r="AL77" s="149">
        <f>AL13+AL52+AL63</f>
        <v>28234.500000000004</v>
      </c>
      <c r="AM77" s="149">
        <f>AM13+AM52+AM63</f>
        <v>0</v>
      </c>
      <c r="AN77" s="149" t="e">
        <f>AN13+AN52+AN63+#REF!</f>
        <v>#DIV/0!</v>
      </c>
      <c r="AO77" s="149">
        <f>AO13+AO52+AO63</f>
        <v>27507.4</v>
      </c>
      <c r="AP77" s="149">
        <f>AP13+AP52+AP63</f>
        <v>0</v>
      </c>
      <c r="AQ77" s="226">
        <f t="shared" si="117"/>
        <v>0</v>
      </c>
      <c r="AR77" s="458"/>
      <c r="AS77" s="459"/>
      <c r="AT77" s="228"/>
      <c r="AU77" s="228"/>
      <c r="AV77" s="229"/>
    </row>
    <row r="78" spans="1:50" s="234" customFormat="1" ht="48">
      <c r="A78" s="460"/>
      <c r="B78" s="460"/>
      <c r="C78" s="460"/>
      <c r="D78" s="259" t="s">
        <v>501</v>
      </c>
      <c r="E78" s="260">
        <f>H78+K78+N78+Q78+T78+W78+Z78+AC78+AF78+AI78+AL78+AO78</f>
        <v>3712.6000000000004</v>
      </c>
      <c r="F78" s="260">
        <f t="shared" ref="F78" si="118">I78+L78+O78+R78+U78+X78+AA78+AD78+AG78+AJ78+AM78+AP78</f>
        <v>2493.5</v>
      </c>
      <c r="G78" s="260">
        <f>F78/E78*100</f>
        <v>67.163174055917679</v>
      </c>
      <c r="H78" s="260">
        <f>H72+H14</f>
        <v>0</v>
      </c>
      <c r="I78" s="260">
        <f>I72+I14</f>
        <v>0</v>
      </c>
      <c r="J78" s="260">
        <v>0</v>
      </c>
      <c r="K78" s="260">
        <f>K72+K14</f>
        <v>150.5</v>
      </c>
      <c r="L78" s="260">
        <f>L72+L14</f>
        <v>150.5</v>
      </c>
      <c r="M78" s="260">
        <f>L78/K78*100</f>
        <v>100</v>
      </c>
      <c r="N78" s="260">
        <f>N72+N14</f>
        <v>133.40000000000009</v>
      </c>
      <c r="O78" s="260">
        <f>O72+O14</f>
        <v>124</v>
      </c>
      <c r="P78" s="260">
        <f>O78/N78*100</f>
        <v>92.95352323838074</v>
      </c>
      <c r="Q78" s="260">
        <f t="shared" ref="Q78:AO78" si="119">Q72+Q14</f>
        <v>24.6</v>
      </c>
      <c r="R78" s="260">
        <f t="shared" si="119"/>
        <v>24.6</v>
      </c>
      <c r="S78" s="260">
        <v>0</v>
      </c>
      <c r="T78" s="260">
        <f t="shared" si="119"/>
        <v>1221.8000000000002</v>
      </c>
      <c r="U78" s="260">
        <f t="shared" ref="U78" si="120">U72+U14</f>
        <v>928.5</v>
      </c>
      <c r="V78" s="260">
        <f t="shared" si="119"/>
        <v>141.23422159887798</v>
      </c>
      <c r="W78" s="260">
        <f t="shared" si="119"/>
        <v>1500</v>
      </c>
      <c r="X78" s="260">
        <f t="shared" ref="X78" si="121">X72+X14</f>
        <v>1265.9000000000001</v>
      </c>
      <c r="Y78" s="260">
        <f t="shared" si="119"/>
        <v>84.393333333333345</v>
      </c>
      <c r="Z78" s="260">
        <f t="shared" si="119"/>
        <v>0</v>
      </c>
      <c r="AA78" s="260">
        <f t="shared" ref="AA78" si="122">AA72+AA14</f>
        <v>0</v>
      </c>
      <c r="AB78" s="260">
        <f t="shared" si="119"/>
        <v>0</v>
      </c>
      <c r="AC78" s="260">
        <f t="shared" si="119"/>
        <v>0</v>
      </c>
      <c r="AD78" s="260">
        <f t="shared" ref="AD78" si="123">AD72+AD14</f>
        <v>0</v>
      </c>
      <c r="AE78" s="260">
        <f t="shared" si="119"/>
        <v>0</v>
      </c>
      <c r="AF78" s="260">
        <f t="shared" si="119"/>
        <v>0</v>
      </c>
      <c r="AG78" s="260">
        <f t="shared" ref="AG78" si="124">AG72+AG14</f>
        <v>0</v>
      </c>
      <c r="AH78" s="260">
        <f t="shared" si="119"/>
        <v>0</v>
      </c>
      <c r="AI78" s="260">
        <f t="shared" si="119"/>
        <v>682.3</v>
      </c>
      <c r="AJ78" s="260">
        <f t="shared" ref="AJ78" si="125">AJ72+AJ14</f>
        <v>0</v>
      </c>
      <c r="AK78" s="260" t="e">
        <f t="shared" si="119"/>
        <v>#DIV/0!</v>
      </c>
      <c r="AL78" s="260">
        <f t="shared" si="119"/>
        <v>0</v>
      </c>
      <c r="AM78" s="260">
        <f t="shared" ref="AM78" si="126">AM72+AM14</f>
        <v>0</v>
      </c>
      <c r="AN78" s="260" t="e">
        <f t="shared" si="119"/>
        <v>#DIV/0!</v>
      </c>
      <c r="AO78" s="260">
        <f t="shared" si="119"/>
        <v>0</v>
      </c>
      <c r="AP78" s="149"/>
      <c r="AQ78" s="226"/>
      <c r="AR78" s="458"/>
      <c r="AS78" s="459"/>
      <c r="AT78" s="228"/>
      <c r="AU78" s="228"/>
      <c r="AV78" s="229"/>
    </row>
    <row r="79" spans="1:50" s="234" customFormat="1" ht="24" customHeight="1">
      <c r="A79" s="460"/>
      <c r="B79" s="460"/>
      <c r="C79" s="460"/>
      <c r="D79" s="218" t="s">
        <v>257</v>
      </c>
      <c r="E79" s="149">
        <f>E15+E53+E65</f>
        <v>4969.7</v>
      </c>
      <c r="F79" s="149">
        <f>F15+F53+F65</f>
        <v>2175.4</v>
      </c>
      <c r="G79" s="149">
        <f>F79/E79*100</f>
        <v>43.773265991910982</v>
      </c>
      <c r="H79" s="149">
        <f>H15+H53+H65</f>
        <v>100</v>
      </c>
      <c r="I79" s="149">
        <f>I15+I53+I65</f>
        <v>92</v>
      </c>
      <c r="J79" s="149">
        <f t="shared" si="107"/>
        <v>92</v>
      </c>
      <c r="K79" s="149">
        <f>K15+K53+K65</f>
        <v>569.9</v>
      </c>
      <c r="L79" s="149">
        <f>L15+L53+L65</f>
        <v>559.6</v>
      </c>
      <c r="M79" s="149">
        <f t="shared" si="108"/>
        <v>98.192665379891224</v>
      </c>
      <c r="N79" s="149">
        <f>N15+N53+N65</f>
        <v>138.4</v>
      </c>
      <c r="O79" s="149">
        <f>O15+O53+O65</f>
        <v>138.4</v>
      </c>
      <c r="P79" s="149">
        <f t="shared" si="109"/>
        <v>100</v>
      </c>
      <c r="Q79" s="149">
        <f>Q15+Q53+Q65</f>
        <v>505.5</v>
      </c>
      <c r="R79" s="149">
        <f>R15+R53+R65</f>
        <v>499.5</v>
      </c>
      <c r="S79" s="149">
        <f t="shared" si="110"/>
        <v>98.813056379821958</v>
      </c>
      <c r="T79" s="149">
        <f>T15+T53+T65</f>
        <v>550.4</v>
      </c>
      <c r="U79" s="149">
        <f>U15+U53+U65</f>
        <v>547.79999999999995</v>
      </c>
      <c r="V79" s="149">
        <f t="shared" si="111"/>
        <v>99.527616279069761</v>
      </c>
      <c r="W79" s="149">
        <f>W15+W53+W65</f>
        <v>448.7</v>
      </c>
      <c r="X79" s="149">
        <f>X15+X53+X65</f>
        <v>338.1</v>
      </c>
      <c r="Y79" s="149">
        <f t="shared" si="112"/>
        <v>75.351014040561623</v>
      </c>
      <c r="Z79" s="149">
        <f t="shared" ref="Z79:AP79" si="127">Z15+Z53+Z65</f>
        <v>332.2</v>
      </c>
      <c r="AA79" s="149">
        <f t="shared" si="127"/>
        <v>0</v>
      </c>
      <c r="AB79" s="149">
        <f t="shared" si="127"/>
        <v>0</v>
      </c>
      <c r="AC79" s="149">
        <f t="shared" si="127"/>
        <v>415.9</v>
      </c>
      <c r="AD79" s="149">
        <f t="shared" si="127"/>
        <v>0</v>
      </c>
      <c r="AE79" s="149">
        <f t="shared" si="127"/>
        <v>0</v>
      </c>
      <c r="AF79" s="149">
        <f t="shared" si="127"/>
        <v>407.4</v>
      </c>
      <c r="AG79" s="149">
        <f t="shared" si="127"/>
        <v>0</v>
      </c>
      <c r="AH79" s="149">
        <f t="shared" si="127"/>
        <v>0</v>
      </c>
      <c r="AI79" s="149">
        <f t="shared" si="127"/>
        <v>406.9</v>
      </c>
      <c r="AJ79" s="149">
        <f t="shared" si="127"/>
        <v>0</v>
      </c>
      <c r="AK79" s="149">
        <f t="shared" si="127"/>
        <v>0</v>
      </c>
      <c r="AL79" s="149">
        <f t="shared" si="127"/>
        <v>316.3</v>
      </c>
      <c r="AM79" s="149">
        <f t="shared" si="127"/>
        <v>0</v>
      </c>
      <c r="AN79" s="149">
        <f t="shared" si="127"/>
        <v>0</v>
      </c>
      <c r="AO79" s="149">
        <f t="shared" si="127"/>
        <v>778.1</v>
      </c>
      <c r="AP79" s="149">
        <f t="shared" si="127"/>
        <v>0</v>
      </c>
      <c r="AQ79" s="226">
        <f t="shared" si="117"/>
        <v>0</v>
      </c>
      <c r="AR79" s="458"/>
      <c r="AS79" s="459"/>
      <c r="AT79" s="228"/>
      <c r="AU79" s="228"/>
      <c r="AV79" s="229"/>
    </row>
    <row r="80" spans="1:50" s="230" customFormat="1" ht="24">
      <c r="A80" s="460"/>
      <c r="B80" s="460"/>
      <c r="C80" s="460"/>
      <c r="D80" s="218" t="s">
        <v>460</v>
      </c>
      <c r="E80" s="149">
        <f>H80+K80+N80+Q80+T80+W80+Z80+AC80+AF80+AI80+AL80+AO80</f>
        <v>0</v>
      </c>
      <c r="F80" s="149">
        <f>I80+L80+O80+R80+U80+X80+AA80+AD80+AG80+AJ80+AM80+AP80</f>
        <v>0</v>
      </c>
      <c r="G80" s="149">
        <v>0</v>
      </c>
      <c r="H80" s="149">
        <v>0</v>
      </c>
      <c r="I80" s="149">
        <v>0</v>
      </c>
      <c r="J80" s="149">
        <v>0</v>
      </c>
      <c r="K80" s="241">
        <v>0</v>
      </c>
      <c r="L80" s="149">
        <v>0</v>
      </c>
      <c r="M80" s="149">
        <v>0</v>
      </c>
      <c r="N80" s="149">
        <v>0</v>
      </c>
      <c r="O80" s="149">
        <v>0</v>
      </c>
      <c r="P80" s="149">
        <v>0</v>
      </c>
      <c r="Q80" s="149">
        <v>0</v>
      </c>
      <c r="R80" s="149">
        <v>0</v>
      </c>
      <c r="S80" s="149">
        <v>0</v>
      </c>
      <c r="T80" s="225">
        <v>0</v>
      </c>
      <c r="U80" s="225">
        <v>0</v>
      </c>
      <c r="V80" s="149">
        <v>0</v>
      </c>
      <c r="W80" s="225">
        <v>0</v>
      </c>
      <c r="X80" s="225">
        <v>0</v>
      </c>
      <c r="Y80" s="225">
        <v>0</v>
      </c>
      <c r="Z80" s="225">
        <v>0</v>
      </c>
      <c r="AA80" s="225">
        <v>0</v>
      </c>
      <c r="AB80" s="225">
        <v>0</v>
      </c>
      <c r="AC80" s="225">
        <v>0</v>
      </c>
      <c r="AD80" s="225">
        <v>0</v>
      </c>
      <c r="AE80" s="225">
        <v>0</v>
      </c>
      <c r="AF80" s="225">
        <v>0</v>
      </c>
      <c r="AG80" s="225">
        <v>0</v>
      </c>
      <c r="AH80" s="149">
        <v>0</v>
      </c>
      <c r="AI80" s="149">
        <v>0</v>
      </c>
      <c r="AJ80" s="149">
        <v>0</v>
      </c>
      <c r="AK80" s="149">
        <v>0</v>
      </c>
      <c r="AL80" s="225">
        <v>0</v>
      </c>
      <c r="AM80" s="225">
        <v>0</v>
      </c>
      <c r="AN80" s="225">
        <v>0</v>
      </c>
      <c r="AO80" s="149">
        <v>0</v>
      </c>
      <c r="AP80" s="149">
        <v>0</v>
      </c>
      <c r="AQ80" s="149">
        <v>0</v>
      </c>
      <c r="AR80" s="458"/>
      <c r="AS80" s="459"/>
      <c r="AT80" s="228"/>
      <c r="AU80" s="228"/>
      <c r="AV80" s="229"/>
    </row>
    <row r="81" spans="1:48" s="234" customFormat="1" ht="12.75" customHeight="1">
      <c r="A81" s="460" t="s">
        <v>475</v>
      </c>
      <c r="B81" s="460"/>
      <c r="C81" s="460"/>
      <c r="D81" s="218" t="s">
        <v>443</v>
      </c>
      <c r="E81" s="149">
        <f>E82+E83+E84</f>
        <v>0</v>
      </c>
      <c r="F81" s="149">
        <f>F82+F83+F84</f>
        <v>0</v>
      </c>
      <c r="G81" s="149">
        <v>0</v>
      </c>
      <c r="H81" s="149">
        <f t="shared" ref="H81:I81" si="128">H82+H83+H84</f>
        <v>0</v>
      </c>
      <c r="I81" s="149">
        <f t="shared" si="128"/>
        <v>0</v>
      </c>
      <c r="J81" s="149">
        <v>0</v>
      </c>
      <c r="K81" s="149">
        <f t="shared" ref="K81:L81" si="129">K82+K83+K84</f>
        <v>0</v>
      </c>
      <c r="L81" s="149">
        <f t="shared" si="129"/>
        <v>0</v>
      </c>
      <c r="M81" s="149">
        <v>0</v>
      </c>
      <c r="N81" s="149">
        <f t="shared" ref="N81:O81" si="130">N82+N83+N84</f>
        <v>0</v>
      </c>
      <c r="O81" s="149">
        <f t="shared" si="130"/>
        <v>0</v>
      </c>
      <c r="P81" s="149">
        <v>0</v>
      </c>
      <c r="Q81" s="149">
        <f t="shared" ref="Q81:R81" si="131">Q82+Q83+Q84</f>
        <v>0</v>
      </c>
      <c r="R81" s="149">
        <f t="shared" si="131"/>
        <v>0</v>
      </c>
      <c r="S81" s="149">
        <v>0</v>
      </c>
      <c r="T81" s="149">
        <f t="shared" ref="T81:U81" si="132">T82+T83+T84</f>
        <v>0</v>
      </c>
      <c r="U81" s="149">
        <f t="shared" si="132"/>
        <v>0</v>
      </c>
      <c r="V81" s="149">
        <v>0</v>
      </c>
      <c r="W81" s="149">
        <f t="shared" ref="W81:X81" si="133">W82+W83+W84</f>
        <v>0</v>
      </c>
      <c r="X81" s="149">
        <f t="shared" si="133"/>
        <v>0</v>
      </c>
      <c r="Y81" s="149">
        <v>0</v>
      </c>
      <c r="Z81" s="149">
        <f t="shared" ref="Z81:AA81" si="134">Z82+Z83+Z84</f>
        <v>0</v>
      </c>
      <c r="AA81" s="149">
        <f t="shared" si="134"/>
        <v>0</v>
      </c>
      <c r="AB81" s="149">
        <v>0</v>
      </c>
      <c r="AC81" s="149">
        <f t="shared" ref="AC81:AD81" si="135">AC82+AC83+AC84</f>
        <v>0</v>
      </c>
      <c r="AD81" s="149">
        <f t="shared" si="135"/>
        <v>0</v>
      </c>
      <c r="AE81" s="149">
        <v>0</v>
      </c>
      <c r="AF81" s="149">
        <f t="shared" ref="AF81:AG81" si="136">AF82+AF83+AF84</f>
        <v>0</v>
      </c>
      <c r="AG81" s="149">
        <f t="shared" si="136"/>
        <v>0</v>
      </c>
      <c r="AH81" s="149">
        <v>0</v>
      </c>
      <c r="AI81" s="149">
        <f t="shared" ref="AI81:AJ81" si="137">AI82+AI83+AI84</f>
        <v>0</v>
      </c>
      <c r="AJ81" s="149">
        <f t="shared" si="137"/>
        <v>0</v>
      </c>
      <c r="AK81" s="149">
        <v>0</v>
      </c>
      <c r="AL81" s="149">
        <f t="shared" ref="AL81:AM81" si="138">AL82+AL83+AL84</f>
        <v>0</v>
      </c>
      <c r="AM81" s="149">
        <f t="shared" si="138"/>
        <v>0</v>
      </c>
      <c r="AN81" s="149">
        <v>0</v>
      </c>
      <c r="AO81" s="149">
        <f t="shared" ref="AO81:AP81" si="139">AO82+AO83+AO84</f>
        <v>0</v>
      </c>
      <c r="AP81" s="149">
        <f t="shared" si="139"/>
        <v>0</v>
      </c>
      <c r="AQ81" s="149">
        <v>0</v>
      </c>
      <c r="AR81" s="458"/>
      <c r="AS81" s="459"/>
      <c r="AT81" s="228"/>
      <c r="AU81" s="228"/>
      <c r="AV81" s="229"/>
    </row>
    <row r="82" spans="1:48" s="234" customFormat="1" ht="48">
      <c r="A82" s="460"/>
      <c r="B82" s="460"/>
      <c r="C82" s="460"/>
      <c r="D82" s="217" t="s">
        <v>441</v>
      </c>
      <c r="E82" s="149">
        <f>H82+K82+N82+Q82+T82+W82+Z82+AC82+AF82+AI82+AL82+AO82</f>
        <v>0</v>
      </c>
      <c r="F82" s="149">
        <f>I82+L82+O82+R82+U82+X82+AA82+AD82+AG82+AJ82+AM82+AP82</f>
        <v>0</v>
      </c>
      <c r="G82" s="149">
        <v>0</v>
      </c>
      <c r="H82" s="149">
        <v>0</v>
      </c>
      <c r="I82" s="149">
        <v>0</v>
      </c>
      <c r="J82" s="149">
        <v>0</v>
      </c>
      <c r="K82" s="149">
        <v>0</v>
      </c>
      <c r="L82" s="149">
        <v>0</v>
      </c>
      <c r="M82" s="149">
        <v>0</v>
      </c>
      <c r="N82" s="149">
        <v>0</v>
      </c>
      <c r="O82" s="149">
        <v>0</v>
      </c>
      <c r="P82" s="149">
        <v>0</v>
      </c>
      <c r="Q82" s="149">
        <v>0</v>
      </c>
      <c r="R82" s="149">
        <v>0</v>
      </c>
      <c r="S82" s="149">
        <v>0</v>
      </c>
      <c r="T82" s="149">
        <v>0</v>
      </c>
      <c r="U82" s="149">
        <v>0</v>
      </c>
      <c r="V82" s="149">
        <v>0</v>
      </c>
      <c r="W82" s="149">
        <v>0</v>
      </c>
      <c r="X82" s="149">
        <v>0</v>
      </c>
      <c r="Y82" s="149">
        <v>0</v>
      </c>
      <c r="Z82" s="149">
        <v>0</v>
      </c>
      <c r="AA82" s="149">
        <v>0</v>
      </c>
      <c r="AB82" s="149">
        <v>0</v>
      </c>
      <c r="AC82" s="149">
        <v>0</v>
      </c>
      <c r="AD82" s="149">
        <v>0</v>
      </c>
      <c r="AE82" s="149">
        <v>0</v>
      </c>
      <c r="AF82" s="149">
        <v>0</v>
      </c>
      <c r="AG82" s="149">
        <v>0</v>
      </c>
      <c r="AH82" s="149">
        <v>0</v>
      </c>
      <c r="AI82" s="149">
        <v>0</v>
      </c>
      <c r="AJ82" s="149">
        <v>0</v>
      </c>
      <c r="AK82" s="149">
        <v>0</v>
      </c>
      <c r="AL82" s="149">
        <v>0</v>
      </c>
      <c r="AM82" s="149">
        <v>0</v>
      </c>
      <c r="AN82" s="149">
        <v>0</v>
      </c>
      <c r="AO82" s="149">
        <v>0</v>
      </c>
      <c r="AP82" s="149">
        <v>0</v>
      </c>
      <c r="AQ82" s="149">
        <v>0</v>
      </c>
      <c r="AR82" s="458"/>
      <c r="AS82" s="459"/>
      <c r="AT82" s="228"/>
      <c r="AU82" s="228"/>
      <c r="AV82" s="229"/>
    </row>
    <row r="83" spans="1:48" s="234" customFormat="1" ht="12.75">
      <c r="A83" s="460"/>
      <c r="B83" s="460"/>
      <c r="C83" s="460"/>
      <c r="D83" s="217" t="s">
        <v>455</v>
      </c>
      <c r="E83" s="149">
        <f t="shared" ref="E83:F84" si="140">H83+K83+N83+Q83+T83+W83+Z83+AC83+AF83+AI83+AL83+AO83</f>
        <v>0</v>
      </c>
      <c r="F83" s="149">
        <f t="shared" si="140"/>
        <v>0</v>
      </c>
      <c r="G83" s="149">
        <v>0</v>
      </c>
      <c r="H83" s="149">
        <v>0</v>
      </c>
      <c r="I83" s="149">
        <v>0</v>
      </c>
      <c r="J83" s="149">
        <v>0</v>
      </c>
      <c r="K83" s="149">
        <v>0</v>
      </c>
      <c r="L83" s="149">
        <v>0</v>
      </c>
      <c r="M83" s="149">
        <v>0</v>
      </c>
      <c r="N83" s="149">
        <v>0</v>
      </c>
      <c r="O83" s="149">
        <v>0</v>
      </c>
      <c r="P83" s="149">
        <v>0</v>
      </c>
      <c r="Q83" s="149">
        <v>0</v>
      </c>
      <c r="R83" s="149">
        <v>0</v>
      </c>
      <c r="S83" s="149">
        <v>0</v>
      </c>
      <c r="T83" s="149">
        <v>0</v>
      </c>
      <c r="U83" s="149">
        <v>0</v>
      </c>
      <c r="V83" s="149">
        <v>0</v>
      </c>
      <c r="W83" s="149">
        <v>0</v>
      </c>
      <c r="X83" s="149">
        <v>0</v>
      </c>
      <c r="Y83" s="149">
        <v>0</v>
      </c>
      <c r="Z83" s="149">
        <v>0</v>
      </c>
      <c r="AA83" s="149">
        <v>0</v>
      </c>
      <c r="AB83" s="149">
        <v>0</v>
      </c>
      <c r="AC83" s="149">
        <v>0</v>
      </c>
      <c r="AD83" s="149">
        <v>0</v>
      </c>
      <c r="AE83" s="149">
        <v>0</v>
      </c>
      <c r="AF83" s="149">
        <v>0</v>
      </c>
      <c r="AG83" s="149">
        <v>0</v>
      </c>
      <c r="AH83" s="149">
        <v>0</v>
      </c>
      <c r="AI83" s="149">
        <v>0</v>
      </c>
      <c r="AJ83" s="149">
        <v>0</v>
      </c>
      <c r="AK83" s="149">
        <v>0</v>
      </c>
      <c r="AL83" s="149">
        <v>0</v>
      </c>
      <c r="AM83" s="149">
        <v>0</v>
      </c>
      <c r="AN83" s="149">
        <v>0</v>
      </c>
      <c r="AO83" s="149">
        <v>0</v>
      </c>
      <c r="AP83" s="149">
        <v>0</v>
      </c>
      <c r="AQ83" s="149">
        <v>0</v>
      </c>
      <c r="AR83" s="458"/>
      <c r="AS83" s="459"/>
      <c r="AT83" s="228"/>
      <c r="AU83" s="228"/>
      <c r="AV83" s="229"/>
    </row>
    <row r="84" spans="1:48" s="234" customFormat="1" ht="28.5" customHeight="1">
      <c r="A84" s="460"/>
      <c r="B84" s="460"/>
      <c r="C84" s="460"/>
      <c r="D84" s="218" t="s">
        <v>257</v>
      </c>
      <c r="E84" s="149">
        <f t="shared" si="140"/>
        <v>0</v>
      </c>
      <c r="F84" s="149">
        <f t="shared" si="140"/>
        <v>0</v>
      </c>
      <c r="G84" s="149">
        <v>0</v>
      </c>
      <c r="H84" s="149">
        <v>0</v>
      </c>
      <c r="I84" s="149">
        <v>0</v>
      </c>
      <c r="J84" s="149">
        <v>0</v>
      </c>
      <c r="K84" s="149">
        <v>0</v>
      </c>
      <c r="L84" s="149">
        <v>0</v>
      </c>
      <c r="M84" s="149">
        <v>0</v>
      </c>
      <c r="N84" s="149">
        <v>0</v>
      </c>
      <c r="O84" s="149">
        <v>0</v>
      </c>
      <c r="P84" s="149">
        <v>0</v>
      </c>
      <c r="Q84" s="149">
        <v>0</v>
      </c>
      <c r="R84" s="149">
        <v>0</v>
      </c>
      <c r="S84" s="149">
        <v>0</v>
      </c>
      <c r="T84" s="149">
        <v>0</v>
      </c>
      <c r="U84" s="149">
        <v>0</v>
      </c>
      <c r="V84" s="149">
        <v>0</v>
      </c>
      <c r="W84" s="149">
        <v>0</v>
      </c>
      <c r="X84" s="149">
        <v>0</v>
      </c>
      <c r="Y84" s="149">
        <v>0</v>
      </c>
      <c r="Z84" s="149">
        <v>0</v>
      </c>
      <c r="AA84" s="149">
        <v>0</v>
      </c>
      <c r="AB84" s="149">
        <v>0</v>
      </c>
      <c r="AC84" s="149">
        <v>0</v>
      </c>
      <c r="AD84" s="149">
        <v>0</v>
      </c>
      <c r="AE84" s="149">
        <v>0</v>
      </c>
      <c r="AF84" s="149">
        <v>0</v>
      </c>
      <c r="AG84" s="149">
        <v>0</v>
      </c>
      <c r="AH84" s="149">
        <v>0</v>
      </c>
      <c r="AI84" s="149">
        <v>0</v>
      </c>
      <c r="AJ84" s="149">
        <v>0</v>
      </c>
      <c r="AK84" s="149">
        <v>0</v>
      </c>
      <c r="AL84" s="149">
        <v>0</v>
      </c>
      <c r="AM84" s="149">
        <v>0</v>
      </c>
      <c r="AN84" s="149">
        <v>0</v>
      </c>
      <c r="AO84" s="149">
        <v>0</v>
      </c>
      <c r="AP84" s="149">
        <v>0</v>
      </c>
      <c r="AQ84" s="149">
        <v>0</v>
      </c>
      <c r="AR84" s="458"/>
      <c r="AS84" s="459"/>
      <c r="AT84" s="228"/>
      <c r="AU84" s="228"/>
      <c r="AV84" s="229"/>
    </row>
    <row r="85" spans="1:48" s="230" customFormat="1" ht="49.5" customHeight="1">
      <c r="A85" s="460"/>
      <c r="B85" s="460"/>
      <c r="C85" s="460"/>
      <c r="D85" s="218" t="s">
        <v>460</v>
      </c>
      <c r="E85" s="149">
        <f>H85+K85+N85+Q85+T85+W85+Z85+AC85+AF85+AI85+AL85+AO85</f>
        <v>0</v>
      </c>
      <c r="F85" s="149">
        <f>I85+L85+O85+R85+U85+X85+AA85+AD85+AG85+AJ85+AM85+AP85</f>
        <v>0</v>
      </c>
      <c r="G85" s="149">
        <v>0</v>
      </c>
      <c r="H85" s="149">
        <v>0</v>
      </c>
      <c r="I85" s="149">
        <v>0</v>
      </c>
      <c r="J85" s="149">
        <v>0</v>
      </c>
      <c r="K85" s="149">
        <v>0</v>
      </c>
      <c r="L85" s="149">
        <v>0</v>
      </c>
      <c r="M85" s="149">
        <v>0</v>
      </c>
      <c r="N85" s="149">
        <v>0</v>
      </c>
      <c r="O85" s="149">
        <v>0</v>
      </c>
      <c r="P85" s="149">
        <v>0</v>
      </c>
      <c r="Q85" s="149">
        <v>0</v>
      </c>
      <c r="R85" s="149">
        <v>0</v>
      </c>
      <c r="S85" s="149">
        <v>0</v>
      </c>
      <c r="T85" s="149">
        <v>0</v>
      </c>
      <c r="U85" s="149">
        <v>0</v>
      </c>
      <c r="V85" s="149">
        <v>0</v>
      </c>
      <c r="W85" s="149">
        <v>0</v>
      </c>
      <c r="X85" s="149">
        <v>0</v>
      </c>
      <c r="Y85" s="149">
        <v>0</v>
      </c>
      <c r="Z85" s="149">
        <v>0</v>
      </c>
      <c r="AA85" s="149">
        <v>0</v>
      </c>
      <c r="AB85" s="149">
        <v>0</v>
      </c>
      <c r="AC85" s="149">
        <v>0</v>
      </c>
      <c r="AD85" s="149">
        <v>0</v>
      </c>
      <c r="AE85" s="149">
        <v>0</v>
      </c>
      <c r="AF85" s="149">
        <v>0</v>
      </c>
      <c r="AG85" s="149">
        <v>0</v>
      </c>
      <c r="AH85" s="149">
        <v>0</v>
      </c>
      <c r="AI85" s="149">
        <v>0</v>
      </c>
      <c r="AJ85" s="149">
        <v>0</v>
      </c>
      <c r="AK85" s="149">
        <v>0</v>
      </c>
      <c r="AL85" s="149">
        <v>0</v>
      </c>
      <c r="AM85" s="149">
        <v>0</v>
      </c>
      <c r="AN85" s="149">
        <v>0</v>
      </c>
      <c r="AO85" s="149">
        <v>0</v>
      </c>
      <c r="AP85" s="149">
        <v>0</v>
      </c>
      <c r="AQ85" s="149">
        <v>0</v>
      </c>
      <c r="AR85" s="458"/>
      <c r="AS85" s="459"/>
      <c r="AT85" s="228"/>
      <c r="AU85" s="228"/>
      <c r="AV85" s="229"/>
    </row>
    <row r="86" spans="1:48" s="234" customFormat="1" ht="26.25" customHeight="1">
      <c r="A86" s="460" t="s">
        <v>476</v>
      </c>
      <c r="B86" s="460"/>
      <c r="C86" s="460"/>
      <c r="D86" s="218" t="s">
        <v>443</v>
      </c>
      <c r="E86" s="149">
        <f>E87+E88+E89</f>
        <v>466326.70000000007</v>
      </c>
      <c r="F86" s="149">
        <f>F87+F88+F89</f>
        <v>215327.1</v>
      </c>
      <c r="G86" s="149">
        <f>F86/E86*100</f>
        <v>46.175160032655214</v>
      </c>
      <c r="H86" s="149">
        <f>H87+H88+H89</f>
        <v>14248.499999999996</v>
      </c>
      <c r="I86" s="149">
        <f>I87+I88+I89</f>
        <v>13793.6</v>
      </c>
      <c r="J86" s="149">
        <f>I86/H86*100</f>
        <v>96.807383233322824</v>
      </c>
      <c r="K86" s="149">
        <f>K87+K88+K89</f>
        <v>44778.5</v>
      </c>
      <c r="L86" s="149">
        <f>L87+L88+L89</f>
        <v>43381.999999999993</v>
      </c>
      <c r="M86" s="149">
        <f>L86/K86*100</f>
        <v>96.88131581004275</v>
      </c>
      <c r="N86" s="149">
        <f>N87+N88+N89</f>
        <v>37815.5</v>
      </c>
      <c r="O86" s="149">
        <f>O87+O88+O89</f>
        <v>36435.700000000004</v>
      </c>
      <c r="P86" s="149">
        <f>O86/N86*100</f>
        <v>96.351231637820476</v>
      </c>
      <c r="Q86" s="149">
        <f>Q87+Q88+Q89</f>
        <v>40959.800000000003</v>
      </c>
      <c r="R86" s="149">
        <f>R87+R88+R89</f>
        <v>40802.700000000004</v>
      </c>
      <c r="S86" s="149">
        <f>R86/Q86*100</f>
        <v>99.616453205337919</v>
      </c>
      <c r="T86" s="149">
        <f>T87+T88+T89</f>
        <v>42543.8</v>
      </c>
      <c r="U86" s="149">
        <f>U87+U88+U89</f>
        <v>41263.200000000004</v>
      </c>
      <c r="V86" s="149">
        <f>U86/T86*100</f>
        <v>96.98992567659684</v>
      </c>
      <c r="W86" s="149">
        <f>W87+W88+W89</f>
        <v>40197.4</v>
      </c>
      <c r="X86" s="149">
        <f>X87+X88+X89</f>
        <v>39649.9</v>
      </c>
      <c r="Y86" s="149">
        <f>X86/W86*100</f>
        <v>98.637971610104131</v>
      </c>
      <c r="Z86" s="149">
        <f>Z87+Z88+Z89</f>
        <v>38558.899999999994</v>
      </c>
      <c r="AA86" s="149">
        <f>AA87+AA88+AA89</f>
        <v>0</v>
      </c>
      <c r="AB86" s="149">
        <f>AA86/Z86*100</f>
        <v>0</v>
      </c>
      <c r="AC86" s="149">
        <f>AC87+AC88+AC89</f>
        <v>41611.9</v>
      </c>
      <c r="AD86" s="149">
        <f>AD87+AD88+AD89</f>
        <v>0</v>
      </c>
      <c r="AE86" s="149">
        <f>AD86/AC86*100</f>
        <v>0</v>
      </c>
      <c r="AF86" s="149">
        <f>AF87+AF88+AF89</f>
        <v>45990.9</v>
      </c>
      <c r="AG86" s="149">
        <f>AG87+AG88+AG89</f>
        <v>0</v>
      </c>
      <c r="AH86" s="149">
        <f>AG86/AF86*100</f>
        <v>0</v>
      </c>
      <c r="AI86" s="149">
        <f>AI87+AI88+AI89</f>
        <v>33494.000000000007</v>
      </c>
      <c r="AJ86" s="149">
        <f>AJ87+AJ88+AJ89</f>
        <v>0</v>
      </c>
      <c r="AK86" s="149">
        <f>AJ86/AI86*100</f>
        <v>0</v>
      </c>
      <c r="AL86" s="149">
        <f>AL87+AL88+AL89</f>
        <v>36075.900000000009</v>
      </c>
      <c r="AM86" s="149">
        <f>AM87+AM88+AM89</f>
        <v>0</v>
      </c>
      <c r="AN86" s="149">
        <f>AM86/AL86*100</f>
        <v>0</v>
      </c>
      <c r="AO86" s="149">
        <f>AO87+AO88+AO89</f>
        <v>50051.6</v>
      </c>
      <c r="AP86" s="149">
        <f>AP87+AP88+AP89</f>
        <v>0</v>
      </c>
      <c r="AQ86" s="226">
        <f>AP86/AO86*100</f>
        <v>0</v>
      </c>
      <c r="AR86" s="458"/>
      <c r="AS86" s="459"/>
      <c r="AT86" s="228"/>
      <c r="AU86" s="228"/>
      <c r="AV86" s="229"/>
    </row>
    <row r="87" spans="1:48" s="234" customFormat="1" ht="35.25" customHeight="1">
      <c r="A87" s="460"/>
      <c r="B87" s="460"/>
      <c r="C87" s="460"/>
      <c r="D87" s="217" t="s">
        <v>441</v>
      </c>
      <c r="E87" s="149">
        <f>H87+K87+N87+Q87+T87+W87+Z87+AC87+AF87+AI87+AL87+AO87</f>
        <v>107141.70000000003</v>
      </c>
      <c r="F87" s="149">
        <f>I87+L87+O87+R87+U87+X87+AA87+AD87+AG87+AJ87+AM87+AP87</f>
        <v>38818.600000000006</v>
      </c>
      <c r="G87" s="149">
        <f>F87/E87*100</f>
        <v>36.231084629047324</v>
      </c>
      <c r="H87" s="149">
        <f>H76-H82</f>
        <v>425.9</v>
      </c>
      <c r="I87" s="149">
        <f>I76-I82</f>
        <v>156.19999999999999</v>
      </c>
      <c r="J87" s="149">
        <f t="shared" ref="J87:J89" si="141">I87/H87*100</f>
        <v>36.6752758863583</v>
      </c>
      <c r="K87" s="149">
        <f>K76-K82</f>
        <v>7249.9</v>
      </c>
      <c r="L87" s="149">
        <f>L76-L82</f>
        <v>6815.5</v>
      </c>
      <c r="M87" s="149">
        <f t="shared" ref="M87:M89" si="142">L87/K87*100</f>
        <v>94.008193216458153</v>
      </c>
      <c r="N87" s="149">
        <f>N76-N82</f>
        <v>7846.9</v>
      </c>
      <c r="O87" s="149">
        <f>O76-O82</f>
        <v>7532.5</v>
      </c>
      <c r="P87" s="149">
        <f t="shared" ref="P87:P89" si="143">O87/N87*100</f>
        <v>95.99332220367279</v>
      </c>
      <c r="Q87" s="149">
        <f>Q76-Q82</f>
        <v>7900.2000000000007</v>
      </c>
      <c r="R87" s="149">
        <f>R76-R82</f>
        <v>7745.9000000000005</v>
      </c>
      <c r="S87" s="149">
        <f t="shared" ref="S87:S89" si="144">R87/Q87*100</f>
        <v>98.046884888990149</v>
      </c>
      <c r="T87" s="149">
        <f>T76-T82</f>
        <v>8487.8000000000011</v>
      </c>
      <c r="U87" s="149">
        <f>U76-U82</f>
        <v>8368.6</v>
      </c>
      <c r="V87" s="149">
        <f t="shared" ref="V87:V89" si="145">U87/T87*100</f>
        <v>98.595631376799631</v>
      </c>
      <c r="W87" s="149">
        <f>W76-W82</f>
        <v>8208.2000000000007</v>
      </c>
      <c r="X87" s="149">
        <f>X76-X82</f>
        <v>8199.9</v>
      </c>
      <c r="Y87" s="149">
        <f t="shared" ref="Y87:Y89" si="146">X87/W87*100</f>
        <v>99.898881606198671</v>
      </c>
      <c r="Z87" s="149">
        <f>Z76-Z82</f>
        <v>10428.699999999999</v>
      </c>
      <c r="AA87" s="149">
        <f>AA76-AA82</f>
        <v>0</v>
      </c>
      <c r="AB87" s="149">
        <f t="shared" ref="AB87:AB89" si="147">AA87/Z87*100</f>
        <v>0</v>
      </c>
      <c r="AC87" s="149">
        <f>AC76-AC82</f>
        <v>9667.7999999999993</v>
      </c>
      <c r="AD87" s="149">
        <f>AD76-AD82</f>
        <v>0</v>
      </c>
      <c r="AE87" s="149">
        <f t="shared" ref="AE87:AE89" si="148">AD87/AC87*100</f>
        <v>0</v>
      </c>
      <c r="AF87" s="149">
        <f>AF76-AF82</f>
        <v>9739.7999999999993</v>
      </c>
      <c r="AG87" s="149">
        <f>AG76-AG82</f>
        <v>0</v>
      </c>
      <c r="AH87" s="149">
        <f t="shared" ref="AH87:AH89" si="149">AG87/AF87*100</f>
        <v>0</v>
      </c>
      <c r="AI87" s="149">
        <f>AI76-AI82</f>
        <v>7895.2999999999993</v>
      </c>
      <c r="AJ87" s="149">
        <f>AJ76-AJ82</f>
        <v>0</v>
      </c>
      <c r="AK87" s="149">
        <f t="shared" ref="AK87:AK89" si="150">AJ87/AI87*100</f>
        <v>0</v>
      </c>
      <c r="AL87" s="149">
        <f>AL76-AL82</f>
        <v>7525.1</v>
      </c>
      <c r="AM87" s="149">
        <f>AM76-AM82</f>
        <v>0</v>
      </c>
      <c r="AN87" s="149">
        <f t="shared" ref="AN87:AN89" si="151">AM87/AL87*100</f>
        <v>0</v>
      </c>
      <c r="AO87" s="149">
        <f>AO76-AO82</f>
        <v>21766.100000000002</v>
      </c>
      <c r="AP87" s="149">
        <f>AP76-AP82</f>
        <v>0</v>
      </c>
      <c r="AQ87" s="226">
        <f t="shared" ref="AQ87:AQ89" si="152">AP87/AO87*100</f>
        <v>0</v>
      </c>
      <c r="AR87" s="458"/>
      <c r="AS87" s="459"/>
      <c r="AT87" s="228"/>
      <c r="AU87" s="228"/>
      <c r="AV87" s="229"/>
    </row>
    <row r="88" spans="1:48" s="234" customFormat="1" ht="54" customHeight="1">
      <c r="A88" s="460"/>
      <c r="B88" s="460"/>
      <c r="C88" s="460"/>
      <c r="D88" s="217" t="s">
        <v>455</v>
      </c>
      <c r="E88" s="149">
        <f t="shared" ref="E88:F89" si="153">H88+K88+N88+Q88+T88+W88+Z88+AC88+AF88+AI88+AL88+AO88</f>
        <v>354215.30000000005</v>
      </c>
      <c r="F88" s="149">
        <f>I88+L88+O88+R88+U88+X88+AA88+AD88+AG88+AJ88+AM88+AP88</f>
        <v>174333.1</v>
      </c>
      <c r="G88" s="149">
        <f>F88/E88*100</f>
        <v>49.216705207256709</v>
      </c>
      <c r="H88" s="149">
        <f>H77-H83</f>
        <v>13722.599999999997</v>
      </c>
      <c r="I88" s="149">
        <f>I77-I83</f>
        <v>13545.4</v>
      </c>
      <c r="J88" s="149">
        <f t="shared" si="141"/>
        <v>98.708699517584151</v>
      </c>
      <c r="K88" s="149">
        <f>K77-K83</f>
        <v>36958.699999999997</v>
      </c>
      <c r="L88" s="149">
        <f>L77-L83</f>
        <v>36006.899999999994</v>
      </c>
      <c r="M88" s="149">
        <f t="shared" si="142"/>
        <v>97.424692968096821</v>
      </c>
      <c r="N88" s="149">
        <f>N77-N83</f>
        <v>29830.2</v>
      </c>
      <c r="O88" s="149">
        <f>O77-O83</f>
        <v>28764.800000000003</v>
      </c>
      <c r="P88" s="149">
        <f t="shared" si="143"/>
        <v>96.428451703307388</v>
      </c>
      <c r="Q88" s="149">
        <f>Q77-Q83</f>
        <v>32554.1</v>
      </c>
      <c r="R88" s="149">
        <f>R77-R83</f>
        <v>32557.300000000003</v>
      </c>
      <c r="S88" s="149">
        <f t="shared" si="144"/>
        <v>100.0098297910248</v>
      </c>
      <c r="T88" s="149">
        <f>T77-T83</f>
        <v>33505.599999999999</v>
      </c>
      <c r="U88" s="149">
        <f>U77-U83</f>
        <v>32346.800000000003</v>
      </c>
      <c r="V88" s="149">
        <f t="shared" si="145"/>
        <v>96.541473664103933</v>
      </c>
      <c r="W88" s="149">
        <f>W77-W83</f>
        <v>31540.500000000004</v>
      </c>
      <c r="X88" s="149">
        <f>X77-X83</f>
        <v>31111.9</v>
      </c>
      <c r="Y88" s="149">
        <f t="shared" si="146"/>
        <v>98.641112220795478</v>
      </c>
      <c r="Z88" s="149">
        <f>Z77-Z83</f>
        <v>27798</v>
      </c>
      <c r="AA88" s="149">
        <f>AA77-AA83</f>
        <v>0</v>
      </c>
      <c r="AB88" s="149">
        <f t="shared" si="147"/>
        <v>0</v>
      </c>
      <c r="AC88" s="149">
        <f>AC77-AC83</f>
        <v>31528.2</v>
      </c>
      <c r="AD88" s="149">
        <f>AD77-AD83</f>
        <v>0</v>
      </c>
      <c r="AE88" s="149">
        <f t="shared" si="148"/>
        <v>0</v>
      </c>
      <c r="AF88" s="149">
        <f>AF77-AF83</f>
        <v>35843.699999999997</v>
      </c>
      <c r="AG88" s="149">
        <f>AG77-AG83</f>
        <v>0</v>
      </c>
      <c r="AH88" s="149">
        <f t="shared" si="149"/>
        <v>0</v>
      </c>
      <c r="AI88" s="149">
        <f>AI77-AI83</f>
        <v>25191.800000000003</v>
      </c>
      <c r="AJ88" s="149">
        <f>AJ77-AJ83</f>
        <v>0</v>
      </c>
      <c r="AK88" s="149">
        <f t="shared" si="150"/>
        <v>0</v>
      </c>
      <c r="AL88" s="149">
        <f>AL77-AL83</f>
        <v>28234.500000000004</v>
      </c>
      <c r="AM88" s="149">
        <f>AM77-AM83</f>
        <v>0</v>
      </c>
      <c r="AN88" s="149">
        <f t="shared" si="151"/>
        <v>0</v>
      </c>
      <c r="AO88" s="149">
        <f>AO77-AO83</f>
        <v>27507.4</v>
      </c>
      <c r="AP88" s="149">
        <f>AP77-AP83</f>
        <v>0</v>
      </c>
      <c r="AQ88" s="226">
        <f t="shared" si="152"/>
        <v>0</v>
      </c>
      <c r="AR88" s="458"/>
      <c r="AS88" s="459"/>
      <c r="AT88" s="228"/>
      <c r="AU88" s="228"/>
      <c r="AV88" s="229"/>
    </row>
    <row r="89" spans="1:48" s="234" customFormat="1" ht="81.75" customHeight="1">
      <c r="A89" s="460"/>
      <c r="B89" s="460"/>
      <c r="C89" s="460"/>
      <c r="D89" s="218" t="s">
        <v>257</v>
      </c>
      <c r="E89" s="149">
        <f>H89+K89+N89+Q89+T89+W89+Z89+AC89+AF89+AI89+AL89+AO89</f>
        <v>4969.7</v>
      </c>
      <c r="F89" s="149">
        <f t="shared" si="153"/>
        <v>2175.4</v>
      </c>
      <c r="G89" s="149">
        <f>F89/E89*100</f>
        <v>43.773265991910982</v>
      </c>
      <c r="H89" s="149">
        <f t="shared" ref="H89:I89" si="154">H79-H84</f>
        <v>100</v>
      </c>
      <c r="I89" s="149">
        <f t="shared" si="154"/>
        <v>92</v>
      </c>
      <c r="J89" s="149">
        <f t="shared" si="141"/>
        <v>92</v>
      </c>
      <c r="K89" s="149">
        <f t="shared" ref="K89:L89" si="155">K79-K84</f>
        <v>569.9</v>
      </c>
      <c r="L89" s="149">
        <f t="shared" si="155"/>
        <v>559.6</v>
      </c>
      <c r="M89" s="149">
        <f t="shared" si="142"/>
        <v>98.192665379891224</v>
      </c>
      <c r="N89" s="149">
        <f t="shared" ref="N89:O89" si="156">N79-N84</f>
        <v>138.4</v>
      </c>
      <c r="O89" s="149">
        <f t="shared" si="156"/>
        <v>138.4</v>
      </c>
      <c r="P89" s="149">
        <f t="shared" si="143"/>
        <v>100</v>
      </c>
      <c r="Q89" s="149">
        <f t="shared" ref="Q89:R89" si="157">Q79-Q84</f>
        <v>505.5</v>
      </c>
      <c r="R89" s="149">
        <f t="shared" si="157"/>
        <v>499.5</v>
      </c>
      <c r="S89" s="149">
        <f t="shared" si="144"/>
        <v>98.813056379821958</v>
      </c>
      <c r="T89" s="149">
        <f t="shared" ref="T89:U89" si="158">T79-T84</f>
        <v>550.4</v>
      </c>
      <c r="U89" s="149">
        <f t="shared" si="158"/>
        <v>547.79999999999995</v>
      </c>
      <c r="V89" s="149">
        <f t="shared" si="145"/>
        <v>99.527616279069761</v>
      </c>
      <c r="W89" s="149">
        <f t="shared" ref="W89:X89" si="159">W79-W84</f>
        <v>448.7</v>
      </c>
      <c r="X89" s="149">
        <f t="shared" si="159"/>
        <v>338.1</v>
      </c>
      <c r="Y89" s="149">
        <f t="shared" si="146"/>
        <v>75.351014040561623</v>
      </c>
      <c r="Z89" s="149">
        <f t="shared" ref="Z89:AA89" si="160">Z79-Z84</f>
        <v>332.2</v>
      </c>
      <c r="AA89" s="149">
        <f t="shared" si="160"/>
        <v>0</v>
      </c>
      <c r="AB89" s="149">
        <f t="shared" si="147"/>
        <v>0</v>
      </c>
      <c r="AC89" s="149">
        <f t="shared" ref="AC89:AD89" si="161">AC79-AC84</f>
        <v>415.9</v>
      </c>
      <c r="AD89" s="149">
        <f t="shared" si="161"/>
        <v>0</v>
      </c>
      <c r="AE89" s="149">
        <f t="shared" si="148"/>
        <v>0</v>
      </c>
      <c r="AF89" s="149">
        <f t="shared" ref="AF89:AG89" si="162">AF79-AF84</f>
        <v>407.4</v>
      </c>
      <c r="AG89" s="149">
        <f t="shared" si="162"/>
        <v>0</v>
      </c>
      <c r="AH89" s="149">
        <f t="shared" si="149"/>
        <v>0</v>
      </c>
      <c r="AI89" s="149">
        <f t="shared" ref="AI89:AJ89" si="163">AI79-AI84</f>
        <v>406.9</v>
      </c>
      <c r="AJ89" s="149">
        <f t="shared" si="163"/>
        <v>0</v>
      </c>
      <c r="AK89" s="149">
        <f t="shared" si="150"/>
        <v>0</v>
      </c>
      <c r="AL89" s="149">
        <f t="shared" ref="AL89:AM89" si="164">AL79-AL84</f>
        <v>316.3</v>
      </c>
      <c r="AM89" s="149">
        <f t="shared" si="164"/>
        <v>0</v>
      </c>
      <c r="AN89" s="149">
        <f t="shared" si="151"/>
        <v>0</v>
      </c>
      <c r="AO89" s="149">
        <f t="shared" ref="AO89:AP89" si="165">AO79-AO84</f>
        <v>778.1</v>
      </c>
      <c r="AP89" s="149">
        <f t="shared" si="165"/>
        <v>0</v>
      </c>
      <c r="AQ89" s="226">
        <f t="shared" si="152"/>
        <v>0</v>
      </c>
      <c r="AR89" s="458"/>
      <c r="AS89" s="459"/>
      <c r="AT89" s="228"/>
      <c r="AU89" s="228"/>
      <c r="AV89" s="229"/>
    </row>
    <row r="90" spans="1:48" s="230" customFormat="1" ht="99" customHeight="1">
      <c r="A90" s="460"/>
      <c r="B90" s="460"/>
      <c r="C90" s="460"/>
      <c r="D90" s="218" t="s">
        <v>460</v>
      </c>
      <c r="E90" s="149">
        <f>H90+K90+N90+Q90+T90+W90+Z90+AC90+AF90+AI90+AL90+AO90</f>
        <v>0</v>
      </c>
      <c r="F90" s="149">
        <f>I90+L90+O90+R90+U90+X90+AA90+AD90+AG90+AJ90+AM90+AP90</f>
        <v>0</v>
      </c>
      <c r="G90" s="149">
        <v>0</v>
      </c>
      <c r="H90" s="149">
        <v>0</v>
      </c>
      <c r="I90" s="149">
        <v>0</v>
      </c>
      <c r="J90" s="149">
        <v>0</v>
      </c>
      <c r="K90" s="241">
        <v>0</v>
      </c>
      <c r="L90" s="149">
        <v>0</v>
      </c>
      <c r="M90" s="149">
        <v>0</v>
      </c>
      <c r="N90" s="149">
        <v>0</v>
      </c>
      <c r="O90" s="149">
        <v>0</v>
      </c>
      <c r="P90" s="149">
        <v>0</v>
      </c>
      <c r="Q90" s="149">
        <v>0</v>
      </c>
      <c r="R90" s="149">
        <v>0</v>
      </c>
      <c r="S90" s="149">
        <v>0</v>
      </c>
      <c r="T90" s="225">
        <v>0</v>
      </c>
      <c r="U90" s="225">
        <v>0</v>
      </c>
      <c r="V90" s="149">
        <v>0</v>
      </c>
      <c r="W90" s="225">
        <v>0</v>
      </c>
      <c r="X90" s="225">
        <v>0</v>
      </c>
      <c r="Y90" s="225">
        <v>0</v>
      </c>
      <c r="Z90" s="225">
        <v>0</v>
      </c>
      <c r="AA90" s="225">
        <v>0</v>
      </c>
      <c r="AB90" s="225">
        <v>0</v>
      </c>
      <c r="AC90" s="225">
        <v>0</v>
      </c>
      <c r="AD90" s="225">
        <v>0</v>
      </c>
      <c r="AE90" s="225">
        <v>0</v>
      </c>
      <c r="AF90" s="225">
        <v>0</v>
      </c>
      <c r="AG90" s="225">
        <v>0</v>
      </c>
      <c r="AH90" s="149">
        <v>0</v>
      </c>
      <c r="AI90" s="149">
        <v>0</v>
      </c>
      <c r="AJ90" s="149">
        <v>0</v>
      </c>
      <c r="AK90" s="149">
        <v>0</v>
      </c>
      <c r="AL90" s="225">
        <v>0</v>
      </c>
      <c r="AM90" s="225">
        <v>0</v>
      </c>
      <c r="AN90" s="225">
        <v>0</v>
      </c>
      <c r="AO90" s="149">
        <v>0</v>
      </c>
      <c r="AP90" s="149">
        <v>0</v>
      </c>
      <c r="AQ90" s="149">
        <v>0</v>
      </c>
      <c r="AR90" s="458"/>
      <c r="AS90" s="459"/>
      <c r="AT90" s="228"/>
      <c r="AU90" s="228"/>
      <c r="AV90" s="229"/>
    </row>
    <row r="91" spans="1:48" ht="21.75" customHeight="1">
      <c r="A91" s="461" t="s">
        <v>37</v>
      </c>
      <c r="B91" s="461"/>
      <c r="C91" s="461"/>
      <c r="AR91" s="244"/>
    </row>
    <row r="92" spans="1:48" s="230" customFormat="1" ht="92.25" customHeight="1">
      <c r="A92" s="449" t="s">
        <v>490</v>
      </c>
      <c r="B92" s="450"/>
      <c r="C92" s="451"/>
      <c r="D92" s="143" t="s">
        <v>443</v>
      </c>
      <c r="E92" s="123">
        <f>E93+E94+E95</f>
        <v>242312.50000000003</v>
      </c>
      <c r="F92" s="123">
        <f>F93+F94+F95</f>
        <v>119950.99999999999</v>
      </c>
      <c r="G92" s="123">
        <f>F92/E92*100</f>
        <v>49.502605107041511</v>
      </c>
      <c r="H92" s="123">
        <f>H93+H94+H95</f>
        <v>9645.399999999996</v>
      </c>
      <c r="I92" s="123">
        <f>I93+I94+I95</f>
        <v>9190.4000000000015</v>
      </c>
      <c r="J92" s="123">
        <f>I92/H92*100</f>
        <v>95.282725444253273</v>
      </c>
      <c r="K92" s="123">
        <f>K93+K94+K95</f>
        <v>27563</v>
      </c>
      <c r="L92" s="123">
        <f>L93+L94+L95</f>
        <v>26350.199999999993</v>
      </c>
      <c r="M92" s="123">
        <f>L92/K92*100</f>
        <v>95.599898414541201</v>
      </c>
      <c r="N92" s="123">
        <f>N93+N94+N95</f>
        <v>21365.3</v>
      </c>
      <c r="O92" s="123">
        <f>O93+O94+O95</f>
        <v>21012.200000000004</v>
      </c>
      <c r="P92" s="123">
        <f>O92/N92*100</f>
        <v>98.347320187406709</v>
      </c>
      <c r="Q92" s="123">
        <f>Q93+Q94+Q95</f>
        <v>21829.499999999996</v>
      </c>
      <c r="R92" s="123">
        <f>R93+R94+R95</f>
        <v>21632.800000000003</v>
      </c>
      <c r="S92" s="123">
        <f>R92/Q92*100</f>
        <v>99.098925765592455</v>
      </c>
      <c r="T92" s="123">
        <f>T93+T94+T95</f>
        <v>21619.8</v>
      </c>
      <c r="U92" s="123">
        <f>U93+U94+U95</f>
        <v>20867.100000000002</v>
      </c>
      <c r="V92" s="123">
        <f>U92/T92*100</f>
        <v>96.518469181028507</v>
      </c>
      <c r="W92" s="123">
        <f>W93+W94+W95</f>
        <v>21155.900000000009</v>
      </c>
      <c r="X92" s="123">
        <f>X93+X94+X95</f>
        <v>20898.3</v>
      </c>
      <c r="Y92" s="123">
        <f>X92/W92*100</f>
        <v>98.782372765989592</v>
      </c>
      <c r="Z92" s="123">
        <f>Z93+Z94+Z95</f>
        <v>17859</v>
      </c>
      <c r="AA92" s="123">
        <f>AA93+AA94+AA95</f>
        <v>0</v>
      </c>
      <c r="AB92" s="123">
        <f>AA92/Z92*100</f>
        <v>0</v>
      </c>
      <c r="AC92" s="123">
        <f>AC93+AC94+AC95</f>
        <v>24255.400000000005</v>
      </c>
      <c r="AD92" s="123">
        <f>AD93+AD94+AD95</f>
        <v>0</v>
      </c>
      <c r="AE92" s="123">
        <f>AD92/AC92*100</f>
        <v>0</v>
      </c>
      <c r="AF92" s="123">
        <f>AF93+AF94+AF95</f>
        <v>24322.6</v>
      </c>
      <c r="AG92" s="123">
        <f>AG93+AG94+AG95</f>
        <v>0</v>
      </c>
      <c r="AH92" s="123">
        <f>AG92/AF92*100</f>
        <v>0</v>
      </c>
      <c r="AI92" s="123">
        <f>AI93+AI94+AI95</f>
        <v>17119.500000000004</v>
      </c>
      <c r="AJ92" s="123">
        <f>AJ93+AJ94+AJ95</f>
        <v>0</v>
      </c>
      <c r="AK92" s="123">
        <f>AJ92/AI92*100</f>
        <v>0</v>
      </c>
      <c r="AL92" s="123">
        <f>AL93+AL94+AL95</f>
        <v>18458.099999999999</v>
      </c>
      <c r="AM92" s="123">
        <f>AM93+AM94+AM95</f>
        <v>0</v>
      </c>
      <c r="AN92" s="123">
        <f>AM92/AL92*100</f>
        <v>0</v>
      </c>
      <c r="AO92" s="123">
        <f>AO93+AO94+AO95</f>
        <v>17119.000000000004</v>
      </c>
      <c r="AP92" s="123">
        <f>AP93+AP94+AP95</f>
        <v>0</v>
      </c>
      <c r="AQ92" s="227">
        <f>AP92/AO92*100</f>
        <v>0</v>
      </c>
      <c r="AR92" s="458"/>
      <c r="AS92" s="459"/>
      <c r="AT92" s="228"/>
      <c r="AU92" s="228"/>
      <c r="AV92" s="229"/>
    </row>
    <row r="93" spans="1:48" s="230" customFormat="1" ht="95.25" customHeight="1">
      <c r="A93" s="452"/>
      <c r="B93" s="453"/>
      <c r="C93" s="454"/>
      <c r="D93" s="220" t="s">
        <v>441</v>
      </c>
      <c r="E93" s="123">
        <f>H93+K93+N93+Q93+T93+W93+Z93+AC93+AF93+AI93+AL93+AO93</f>
        <v>23268.1</v>
      </c>
      <c r="F93" s="123">
        <f>I93+L93+O93+R93+U93+X93+AA93+AD93+AG93+AJ93+AM93+AP93</f>
        <v>9177.7000000000007</v>
      </c>
      <c r="G93" s="123">
        <f>F93/E93*100</f>
        <v>39.443272119339355</v>
      </c>
      <c r="H93" s="123">
        <f>H87-H98-H103-H107-H112-H117-H122-H127-H132</f>
        <v>425.9</v>
      </c>
      <c r="I93" s="123">
        <f>I87-I98-I103-I107-I112-I117-I122-I127</f>
        <v>156.19999999999999</v>
      </c>
      <c r="J93" s="123">
        <f t="shared" ref="J93:J94" si="166">I93/H93*100</f>
        <v>36.6752758863583</v>
      </c>
      <c r="K93" s="123">
        <f>K87-K98-K103-K107-K112-K117-K122-K127-K132</f>
        <v>1591.8999999999996</v>
      </c>
      <c r="L93" s="123">
        <f>L87-L98-L103-L107-L112-L117-L122-L127</f>
        <v>1304</v>
      </c>
      <c r="M93" s="123">
        <f t="shared" ref="M93:M95" si="167">L93/K93*100</f>
        <v>81.914693133990852</v>
      </c>
      <c r="N93" s="123">
        <f>N87-N98-N103-N107-N112-N117-N122-N127-N132</f>
        <v>2059.8999999999992</v>
      </c>
      <c r="O93" s="123">
        <f>O87-O98-O103-O107-O112-O117-O122-O127</f>
        <v>1802.2999999999997</v>
      </c>
      <c r="P93" s="123">
        <f t="shared" ref="P93:P95" si="168">O93/N93*100</f>
        <v>87.494538569833509</v>
      </c>
      <c r="Q93" s="123">
        <f>Q87-Q98-Q103-Q107-Q112-Q117-Q122-Q127-Q132</f>
        <v>2027.8000000000006</v>
      </c>
      <c r="R93" s="123">
        <f>R87-R98-R103-R107-R112-R117-R122-R127</f>
        <v>1826.0000000000005</v>
      </c>
      <c r="S93" s="123">
        <f t="shared" ref="S93:S95" si="169">R93/Q93*100</f>
        <v>90.048328237498765</v>
      </c>
      <c r="T93" s="123">
        <f>T87-T98-T103-T107-T112-T117-T122-T127-T132</f>
        <v>1534.1000000000006</v>
      </c>
      <c r="U93" s="123">
        <f>U87-U98-U103-U107-U112-U117-U122-U127-U132</f>
        <v>2008.4000000000003</v>
      </c>
      <c r="V93" s="123">
        <f t="shared" ref="V93:V95" si="170">U93/T93*100</f>
        <v>130.91715012059183</v>
      </c>
      <c r="W93" s="123">
        <f>W87-W98-W103-W107-W112-W117-W122-W127-W132</f>
        <v>1742.1000000000006</v>
      </c>
      <c r="X93" s="123">
        <f>X87-X98-X103-X107-X112-X117-X122-X127-X132</f>
        <v>2080.7999999999997</v>
      </c>
      <c r="Y93" s="123">
        <f t="shared" ref="Y93:Y95" si="171">X93/W93*100</f>
        <v>119.44205269502319</v>
      </c>
      <c r="Z93" s="123">
        <f>Z87-Z98-Z103-Z107-Z112-Z117-Z122-Z127-Z132</f>
        <v>2266.9999999999986</v>
      </c>
      <c r="AA93" s="123">
        <f>AA87-AA98-AA103-AA107-AA112-AA117-AA122-AA127</f>
        <v>0</v>
      </c>
      <c r="AB93" s="123">
        <f t="shared" ref="AB93:AB95" si="172">AA93/Z93*100</f>
        <v>0</v>
      </c>
      <c r="AC93" s="123">
        <f>AC87-AC98-AC103-AC107-AC112-AC117-AC122-AC127-AC132</f>
        <v>2919.0999999999985</v>
      </c>
      <c r="AD93" s="123">
        <f>AD87-AD98-AD103-AD107-AD112-AD117-AD122-AD127</f>
        <v>0</v>
      </c>
      <c r="AE93" s="123">
        <f t="shared" ref="AE93:AE95" si="173">AD93/AC93*100</f>
        <v>0</v>
      </c>
      <c r="AF93" s="123">
        <f>AF87-AF98-AF103-AF107-AF112-AF117-AF122-AF127-AF132</f>
        <v>1430.5999999999992</v>
      </c>
      <c r="AG93" s="123">
        <f>AG87-AG98-AG103-AG107-AG112-AG117-AG122-AG127</f>
        <v>0</v>
      </c>
      <c r="AH93" s="123">
        <f t="shared" ref="AH93:AH95" si="174">AG93/AF93*100</f>
        <v>0</v>
      </c>
      <c r="AI93" s="123">
        <f>AI87-AI98-AI103-AI107-AI112-AI117-AI122-AI127-AI132</f>
        <v>1670.0999999999995</v>
      </c>
      <c r="AJ93" s="123">
        <f>AJ87-AJ98-AJ103-AJ107-AJ112-AJ117-AJ122-AJ127</f>
        <v>0</v>
      </c>
      <c r="AK93" s="123">
        <f t="shared" ref="AK93:AK95" si="175">AJ93/AI93*100</f>
        <v>0</v>
      </c>
      <c r="AL93" s="123">
        <f>AL87-AL98-AL103-AL107-AL112-AL117-AL122-AL127-AL132</f>
        <v>1098.2000000000003</v>
      </c>
      <c r="AM93" s="123">
        <f>AM87-AM98-AM103-AM107-AM112-AM117-AM122-AM127</f>
        <v>0</v>
      </c>
      <c r="AN93" s="123">
        <f t="shared" ref="AN93:AN95" si="176">AM93/AL93*100</f>
        <v>0</v>
      </c>
      <c r="AO93" s="123">
        <f>AO87-AO98-AO103-AO107-AO112-AO117-AO122-AO127-AO132</f>
        <v>4501.4000000000033</v>
      </c>
      <c r="AP93" s="123">
        <f>AP87-AP98-AP103-AP107-AP112-AP117-AP122-AP127</f>
        <v>0</v>
      </c>
      <c r="AQ93" s="227">
        <f t="shared" ref="AQ93:AQ95" si="177">AP93/AO93*100</f>
        <v>0</v>
      </c>
      <c r="AR93" s="458"/>
      <c r="AS93" s="459"/>
      <c r="AT93" s="228"/>
      <c r="AU93" s="228"/>
      <c r="AV93" s="229"/>
    </row>
    <row r="94" spans="1:48" s="230" customFormat="1" ht="12.75" customHeight="1">
      <c r="A94" s="452"/>
      <c r="B94" s="453"/>
      <c r="C94" s="454"/>
      <c r="D94" s="220" t="s">
        <v>455</v>
      </c>
      <c r="E94" s="123">
        <f t="shared" ref="E94:F95" si="178">H94+K94+N94+Q94+T94+W94+Z94+AC94+AF94+AI94+AL94+AO94</f>
        <v>214074.7</v>
      </c>
      <c r="F94" s="123">
        <f t="shared" si="178"/>
        <v>108597.9</v>
      </c>
      <c r="G94" s="123">
        <f>F94/E94*100</f>
        <v>50.728974512167945</v>
      </c>
      <c r="H94" s="123">
        <f>H88-H99-H104-H108-H113-H118-H123-H128-H133</f>
        <v>9119.4999999999964</v>
      </c>
      <c r="I94" s="123">
        <f>I88-I99-I104-I108-I113-I118-I123-I128</f>
        <v>8942.2000000000007</v>
      </c>
      <c r="J94" s="123">
        <f t="shared" si="166"/>
        <v>98.055814463512306</v>
      </c>
      <c r="K94" s="123">
        <f>K88-K99-K104-K108-K113-K118-K123-K128-K133</f>
        <v>25401.199999999997</v>
      </c>
      <c r="L94" s="123">
        <f>L88-L99-L104-L108-L113-L118-L123-L128</f>
        <v>24486.599999999995</v>
      </c>
      <c r="M94" s="123">
        <f t="shared" si="167"/>
        <v>96.399382706328822</v>
      </c>
      <c r="N94" s="123">
        <f>N88-N99-N104-N108-N113-N118-N123-N128-N133</f>
        <v>19167</v>
      </c>
      <c r="O94" s="123">
        <f>O88-O99-O104-O108-O113-O118-O123-O128</f>
        <v>19071.500000000004</v>
      </c>
      <c r="P94" s="123">
        <f t="shared" si="168"/>
        <v>99.501747795690534</v>
      </c>
      <c r="Q94" s="123">
        <f t="shared" ref="Q94:R94" si="179">Q88-Q99-Q104-Q108-Q113-Q118-Q123-Q128-Q133</f>
        <v>19296.199999999997</v>
      </c>
      <c r="R94" s="123">
        <f t="shared" si="179"/>
        <v>19307.300000000003</v>
      </c>
      <c r="S94" s="123">
        <f t="shared" si="169"/>
        <v>100.05752427939183</v>
      </c>
      <c r="T94" s="123">
        <f t="shared" ref="T94:U94" si="180">T88-T99-T104-T108-T113-T118-T123-T128-T133</f>
        <v>19535.299999999996</v>
      </c>
      <c r="U94" s="123">
        <f t="shared" si="180"/>
        <v>18310.900000000001</v>
      </c>
      <c r="V94" s="123">
        <f t="shared" si="170"/>
        <v>93.732371655413559</v>
      </c>
      <c r="W94" s="123">
        <f t="shared" ref="W94:X94" si="181">W88-W99-W104-W108-W113-W118-W123-W128-W133</f>
        <v>18965.100000000006</v>
      </c>
      <c r="X94" s="123">
        <f t="shared" si="181"/>
        <v>18479.400000000001</v>
      </c>
      <c r="Y94" s="123">
        <f t="shared" si="171"/>
        <v>97.438980021196812</v>
      </c>
      <c r="Z94" s="123">
        <f>Z88-Z99-Z104-Z108-Z113-Z118-Z123-Z128-Z133</f>
        <v>15259.800000000001</v>
      </c>
      <c r="AA94" s="123">
        <f>AA88-AA99-AA104-AA108-AA113-AA118-AA123-AA128</f>
        <v>0</v>
      </c>
      <c r="AB94" s="123">
        <f t="shared" si="172"/>
        <v>0</v>
      </c>
      <c r="AC94" s="123">
        <f>AC88-AC99-AC104-AC108-AC113-AC118-AC123-AC128-AC133</f>
        <v>20920.400000000005</v>
      </c>
      <c r="AD94" s="123">
        <f>AD88-AD99-AD104-AD108-AD113-AD118-AD123-AD128</f>
        <v>0</v>
      </c>
      <c r="AE94" s="123">
        <f t="shared" si="173"/>
        <v>0</v>
      </c>
      <c r="AF94" s="123">
        <f>AF88-AF99-AF104-AF108-AF113-AF118-AF123-AF128-AF133</f>
        <v>22484.6</v>
      </c>
      <c r="AG94" s="123">
        <f>AG88-AG99-AG104-AG108-AG113-AG118-AG123-AG128</f>
        <v>0</v>
      </c>
      <c r="AH94" s="123">
        <f t="shared" si="174"/>
        <v>0</v>
      </c>
      <c r="AI94" s="123">
        <f>AI88-AI99-AI104-AI108-AI113-AI118-AI123-AI128-AI133</f>
        <v>15042.500000000002</v>
      </c>
      <c r="AJ94" s="123">
        <f>AJ88-AJ99-AJ104-AJ108-AJ113-AJ118-AJ123-AJ128</f>
        <v>0</v>
      </c>
      <c r="AK94" s="123">
        <f t="shared" si="175"/>
        <v>0</v>
      </c>
      <c r="AL94" s="123">
        <f>AL88-AL99-AL104-AL108-AL113-AL118-AL123-AL128-AL133</f>
        <v>17043.599999999999</v>
      </c>
      <c r="AM94" s="123">
        <f>AM88-AM99-AM104-AM108-AM113-AM118-AM123-AM128</f>
        <v>0</v>
      </c>
      <c r="AN94" s="123">
        <f t="shared" si="176"/>
        <v>0</v>
      </c>
      <c r="AO94" s="123">
        <f>AO88-AO99-AO104-AO108-AO113-AO118-AO123-AO128-AO133</f>
        <v>11839.500000000002</v>
      </c>
      <c r="AP94" s="123">
        <f>AP88-AP99-AP104-AP108-AP113-AP118-AP123-AP128</f>
        <v>0</v>
      </c>
      <c r="AQ94" s="227">
        <f t="shared" si="177"/>
        <v>0</v>
      </c>
      <c r="AR94" s="458"/>
      <c r="AS94" s="459"/>
      <c r="AT94" s="228"/>
      <c r="AU94" s="228"/>
      <c r="AV94" s="229"/>
    </row>
    <row r="95" spans="1:48" s="230" customFormat="1" ht="24">
      <c r="A95" s="452"/>
      <c r="B95" s="453"/>
      <c r="C95" s="454"/>
      <c r="D95" s="143" t="s">
        <v>257</v>
      </c>
      <c r="E95" s="123">
        <f t="shared" si="178"/>
        <v>4969.7</v>
      </c>
      <c r="F95" s="123">
        <f t="shared" si="178"/>
        <v>2175.4</v>
      </c>
      <c r="G95" s="123">
        <f>F95/E95*100</f>
        <v>43.773265991910982</v>
      </c>
      <c r="H95" s="123">
        <f>H89-H100-H109-H114-H119-H124-H129</f>
        <v>100</v>
      </c>
      <c r="I95" s="123">
        <f>I89-I100-I109-I114-I119-I124-I129</f>
        <v>92</v>
      </c>
      <c r="J95" s="123">
        <v>0</v>
      </c>
      <c r="K95" s="123">
        <f>K89-K100-K109-K114-K119-K124-K129</f>
        <v>569.9</v>
      </c>
      <c r="L95" s="123">
        <f>L89-L100-L109-L114-L119-L124-L129</f>
        <v>559.6</v>
      </c>
      <c r="M95" s="123">
        <f t="shared" si="167"/>
        <v>98.192665379891224</v>
      </c>
      <c r="N95" s="123">
        <f>N89-N100-N109-N114-N119-N124-N129</f>
        <v>138.4</v>
      </c>
      <c r="O95" s="123">
        <f>O89-O100-O109-O114-O119-O124-O129</f>
        <v>138.4</v>
      </c>
      <c r="P95" s="123">
        <f t="shared" si="168"/>
        <v>100</v>
      </c>
      <c r="Q95" s="123">
        <f>Q89-Q100-Q109-Q114-Q119-Q124-Q129</f>
        <v>505.5</v>
      </c>
      <c r="R95" s="123">
        <f>R89-R100-R109-R114-R119-R124-R129</f>
        <v>499.5</v>
      </c>
      <c r="S95" s="123">
        <f t="shared" si="169"/>
        <v>98.813056379821958</v>
      </c>
      <c r="T95" s="123">
        <f>T89-T100-T109-T114-T119-T124-T129</f>
        <v>550.4</v>
      </c>
      <c r="U95" s="123">
        <f>U89-U100-U109-U114-U119-U124-U129</f>
        <v>547.79999999999995</v>
      </c>
      <c r="V95" s="123">
        <f t="shared" si="170"/>
        <v>99.527616279069761</v>
      </c>
      <c r="W95" s="123">
        <f>W89-W100-W109-W114-W119-W124-W129</f>
        <v>448.7</v>
      </c>
      <c r="X95" s="123">
        <f>X89-X100-X109-X114-X119-X124-X129</f>
        <v>338.1</v>
      </c>
      <c r="Y95" s="123">
        <f t="shared" si="171"/>
        <v>75.351014040561623</v>
      </c>
      <c r="Z95" s="123">
        <f>Z89-Z100-Z109-Z114-Z119-Z124-Z129</f>
        <v>332.2</v>
      </c>
      <c r="AA95" s="123">
        <f>AA89-AA100-AA109-AA114-AA119-AA124-AA129</f>
        <v>0</v>
      </c>
      <c r="AB95" s="123">
        <f t="shared" si="172"/>
        <v>0</v>
      </c>
      <c r="AC95" s="123">
        <f>AC89-AC100-AC109-AC114-AC119-AC124-AC129</f>
        <v>415.9</v>
      </c>
      <c r="AD95" s="123">
        <f>AD89-AD100-AD109-AD114-AD119-AD124-AD129</f>
        <v>0</v>
      </c>
      <c r="AE95" s="123">
        <f t="shared" si="173"/>
        <v>0</v>
      </c>
      <c r="AF95" s="123">
        <f>AF89-AF100-AF109-AF114-AF119-AF124-AF129</f>
        <v>407.4</v>
      </c>
      <c r="AG95" s="123">
        <f>AG89-AG100-AG109-AG114-AG119-AG124-AG129</f>
        <v>0</v>
      </c>
      <c r="AH95" s="123">
        <f t="shared" si="174"/>
        <v>0</v>
      </c>
      <c r="AI95" s="123">
        <f>AI89-AI100-AI109-AI114-AI119-AI124-AI129</f>
        <v>406.9</v>
      </c>
      <c r="AJ95" s="123">
        <f>AJ89-AJ100-AJ109-AJ114-AJ119-AJ124-AJ129</f>
        <v>0</v>
      </c>
      <c r="AK95" s="123">
        <f t="shared" si="175"/>
        <v>0</v>
      </c>
      <c r="AL95" s="123">
        <f>AL89-AL100-AL109-AL114-AL119-AL124-AL129</f>
        <v>316.3</v>
      </c>
      <c r="AM95" s="123">
        <f>AM89-AM100-AM109-AM114-AM119-AM124-AM129</f>
        <v>0</v>
      </c>
      <c r="AN95" s="123">
        <f t="shared" si="176"/>
        <v>0</v>
      </c>
      <c r="AO95" s="123">
        <f>AO89-AO100-AO109-AO114-AO119-AO124-AO129</f>
        <v>778.1</v>
      </c>
      <c r="AP95" s="123">
        <f>AP89-AP100-AP109-AP114-AP119-AP124-AP129</f>
        <v>0</v>
      </c>
      <c r="AQ95" s="227">
        <f t="shared" si="177"/>
        <v>0</v>
      </c>
      <c r="AR95" s="458"/>
      <c r="AS95" s="459"/>
      <c r="AT95" s="228"/>
      <c r="AU95" s="228"/>
      <c r="AV95" s="229"/>
    </row>
    <row r="96" spans="1:48" s="230" customFormat="1" ht="12.75" customHeight="1">
      <c r="A96" s="455"/>
      <c r="B96" s="456"/>
      <c r="C96" s="457"/>
      <c r="D96" s="143" t="s">
        <v>460</v>
      </c>
      <c r="E96" s="123">
        <f>H96+K96+N96+Q96+T96+W96+Z96+AC96+AF96+AI96+AL96+AO96</f>
        <v>0</v>
      </c>
      <c r="F96" s="123">
        <f>I96+L96+O96+R96+U96+X96+AA96+AD96+AG96+AJ96+AM96+AP96</f>
        <v>0</v>
      </c>
      <c r="G96" s="123">
        <v>0</v>
      </c>
      <c r="H96" s="123">
        <v>0</v>
      </c>
      <c r="I96" s="123">
        <v>0</v>
      </c>
      <c r="J96" s="123">
        <v>0</v>
      </c>
      <c r="K96" s="132">
        <v>0</v>
      </c>
      <c r="L96" s="123">
        <v>0</v>
      </c>
      <c r="M96" s="123">
        <v>0</v>
      </c>
      <c r="N96" s="123">
        <v>0</v>
      </c>
      <c r="O96" s="123">
        <v>0</v>
      </c>
      <c r="P96" s="123">
        <v>0</v>
      </c>
      <c r="Q96" s="123">
        <v>0</v>
      </c>
      <c r="R96" s="123">
        <v>0</v>
      </c>
      <c r="S96" s="123">
        <v>0</v>
      </c>
      <c r="T96" s="117">
        <v>0</v>
      </c>
      <c r="U96" s="117">
        <v>0</v>
      </c>
      <c r="V96" s="123">
        <v>0</v>
      </c>
      <c r="W96" s="117">
        <v>0</v>
      </c>
      <c r="X96" s="117">
        <v>0</v>
      </c>
      <c r="Y96" s="117">
        <v>0</v>
      </c>
      <c r="Z96" s="117">
        <v>0</v>
      </c>
      <c r="AA96" s="117">
        <v>0</v>
      </c>
      <c r="AB96" s="117">
        <v>0</v>
      </c>
      <c r="AC96" s="117">
        <v>0</v>
      </c>
      <c r="AD96" s="117">
        <v>0</v>
      </c>
      <c r="AE96" s="117">
        <v>0</v>
      </c>
      <c r="AF96" s="117">
        <v>0</v>
      </c>
      <c r="AG96" s="117">
        <v>0</v>
      </c>
      <c r="AH96" s="123">
        <v>0</v>
      </c>
      <c r="AI96" s="123">
        <v>0</v>
      </c>
      <c r="AJ96" s="123">
        <v>0</v>
      </c>
      <c r="AK96" s="123">
        <v>0</v>
      </c>
      <c r="AL96" s="117">
        <v>0</v>
      </c>
      <c r="AM96" s="117">
        <v>0</v>
      </c>
      <c r="AN96" s="117">
        <v>0</v>
      </c>
      <c r="AO96" s="123">
        <v>0</v>
      </c>
      <c r="AP96" s="123">
        <v>0</v>
      </c>
      <c r="AQ96" s="123">
        <v>0</v>
      </c>
      <c r="AR96" s="458"/>
      <c r="AS96" s="459"/>
      <c r="AT96" s="228"/>
      <c r="AU96" s="228"/>
      <c r="AV96" s="229"/>
    </row>
    <row r="97" spans="1:48" s="230" customFormat="1" ht="12.75">
      <c r="A97" s="449" t="s">
        <v>477</v>
      </c>
      <c r="B97" s="450"/>
      <c r="C97" s="451"/>
      <c r="D97" s="143" t="s">
        <v>443</v>
      </c>
      <c r="E97" s="123">
        <f>E98+E99+E100</f>
        <v>95210.700000000012</v>
      </c>
      <c r="F97" s="123">
        <f>F98+F99+F100</f>
        <v>45101.599999999999</v>
      </c>
      <c r="G97" s="123">
        <f>F97/E97*100</f>
        <v>47.370306068540607</v>
      </c>
      <c r="H97" s="123">
        <f>H98+H99+H100</f>
        <v>2605.6</v>
      </c>
      <c r="I97" s="123">
        <f>I98+I99+I100</f>
        <v>2605.6999999999998</v>
      </c>
      <c r="J97" s="123">
        <f>I97/H97*100</f>
        <v>100.00383788762666</v>
      </c>
      <c r="K97" s="123">
        <f>K98+K99+K100</f>
        <v>8831.7999999999993</v>
      </c>
      <c r="L97" s="123">
        <f>L98+L99+L100</f>
        <v>8831.7000000000007</v>
      </c>
      <c r="M97" s="123">
        <f>L97/K97*100</f>
        <v>99.998867727982983</v>
      </c>
      <c r="N97" s="123">
        <f>N98+N99+N100</f>
        <v>7805.4000000000005</v>
      </c>
      <c r="O97" s="123">
        <f>O98+O99+O100</f>
        <v>7092.6</v>
      </c>
      <c r="P97" s="123">
        <f>O97/N97*100</f>
        <v>90.867860711814899</v>
      </c>
      <c r="Q97" s="123">
        <f>Q98+Q99+Q100</f>
        <v>10009.799999999999</v>
      </c>
      <c r="R97" s="123">
        <f>R98+R99+R100</f>
        <v>10009.799999999999</v>
      </c>
      <c r="S97" s="123">
        <f>R97/Q97*100</f>
        <v>100</v>
      </c>
      <c r="T97" s="123">
        <f>T98+T99+T100</f>
        <v>7706.6</v>
      </c>
      <c r="U97" s="123">
        <f>U98+U99+U100</f>
        <v>7706.6</v>
      </c>
      <c r="V97" s="123">
        <f>U97/T97*100</f>
        <v>100</v>
      </c>
      <c r="W97" s="123">
        <f>W98+W99+W100</f>
        <v>9097.1</v>
      </c>
      <c r="X97" s="123">
        <f>X98+X99+X100</f>
        <v>8855.2000000000007</v>
      </c>
      <c r="Y97" s="123">
        <f>X97/W97*100</f>
        <v>97.340910839718148</v>
      </c>
      <c r="Z97" s="123">
        <f>Z98+Z99+Z100</f>
        <v>8254.8000000000011</v>
      </c>
      <c r="AA97" s="123">
        <f>AA98+AA99+AA100</f>
        <v>0</v>
      </c>
      <c r="AB97" s="123">
        <f>AA97/Z97*100</f>
        <v>0</v>
      </c>
      <c r="AC97" s="123">
        <f>AC98+AC99+AC100</f>
        <v>7348.5999999999995</v>
      </c>
      <c r="AD97" s="123">
        <f>AD98+AD99+AD100</f>
        <v>0</v>
      </c>
      <c r="AE97" s="123">
        <f>AD97/AC97*100</f>
        <v>0</v>
      </c>
      <c r="AF97" s="123">
        <f>AF98+AF99+AF100</f>
        <v>8995.2000000000007</v>
      </c>
      <c r="AG97" s="123">
        <f>AG98+AG99+AG100</f>
        <v>0</v>
      </c>
      <c r="AH97" s="123">
        <f>AG97/AF97*100</f>
        <v>0</v>
      </c>
      <c r="AI97" s="123">
        <f>AI98+AI99+AI100</f>
        <v>7291.5</v>
      </c>
      <c r="AJ97" s="123">
        <f>AJ98+AJ99+AJ100</f>
        <v>0</v>
      </c>
      <c r="AK97" s="123">
        <f>AJ97/AI97*100</f>
        <v>0</v>
      </c>
      <c r="AL97" s="123">
        <f>AL98+AL99+AL100</f>
        <v>7520.9000000000005</v>
      </c>
      <c r="AM97" s="123">
        <f>AM98+AM99+AM100</f>
        <v>0</v>
      </c>
      <c r="AN97" s="123">
        <f>AM97/AL97*100</f>
        <v>0</v>
      </c>
      <c r="AO97" s="123">
        <f>AO98+AO99+AO100</f>
        <v>9743.4</v>
      </c>
      <c r="AP97" s="123">
        <f>AP98+AP99+AP100</f>
        <v>0</v>
      </c>
      <c r="AQ97" s="227">
        <f>AP97/AO97*100</f>
        <v>0</v>
      </c>
      <c r="AR97" s="458"/>
      <c r="AS97" s="459"/>
      <c r="AT97" s="228"/>
      <c r="AU97" s="228"/>
      <c r="AV97" s="229"/>
    </row>
    <row r="98" spans="1:48" s="230" customFormat="1" ht="48">
      <c r="A98" s="452"/>
      <c r="B98" s="453"/>
      <c r="C98" s="454"/>
      <c r="D98" s="220" t="s">
        <v>441</v>
      </c>
      <c r="E98" s="123">
        <f>H98+K98+N98+Q98+T98+W98+Z98+AC98+AF98+AI98+AL98+AO98</f>
        <v>3537.7999999999997</v>
      </c>
      <c r="F98" s="123">
        <f>I98+L98+O98+R98+U98+X98+AA98+AD98+AG98+AJ98+AM98+AP98</f>
        <v>956.30000000000007</v>
      </c>
      <c r="G98" s="123">
        <f>F98/E98*100</f>
        <v>27.030923172593141</v>
      </c>
      <c r="H98" s="123">
        <f>H24</f>
        <v>0</v>
      </c>
      <c r="I98" s="123">
        <f>I24</f>
        <v>0</v>
      </c>
      <c r="J98" s="123">
        <v>0</v>
      </c>
      <c r="K98" s="123">
        <v>108</v>
      </c>
      <c r="L98" s="123">
        <v>108</v>
      </c>
      <c r="M98" s="123">
        <f>L98/K98*100</f>
        <v>100</v>
      </c>
      <c r="N98" s="123">
        <v>179.1</v>
      </c>
      <c r="O98" s="123">
        <v>156.1</v>
      </c>
      <c r="P98" s="123">
        <f>O98/N98*100</f>
        <v>87.158012283640431</v>
      </c>
      <c r="Q98" s="123">
        <v>252.5</v>
      </c>
      <c r="R98" s="123">
        <v>252.5</v>
      </c>
      <c r="S98" s="123">
        <f>R98/Q98*100</f>
        <v>100</v>
      </c>
      <c r="T98" s="123">
        <v>213.1</v>
      </c>
      <c r="U98" s="123">
        <v>213.1</v>
      </c>
      <c r="V98" s="123">
        <f>U98/T98*100</f>
        <v>100</v>
      </c>
      <c r="W98" s="123">
        <v>586.5</v>
      </c>
      <c r="X98" s="123">
        <v>226.6</v>
      </c>
      <c r="Y98" s="123">
        <f>X98/W98*100</f>
        <v>38.635976129582268</v>
      </c>
      <c r="Z98" s="123">
        <v>333.2</v>
      </c>
      <c r="AA98" s="123">
        <v>0</v>
      </c>
      <c r="AB98" s="123">
        <f t="shared" ref="AB98:AB99" si="182">AA98/Z98*100</f>
        <v>0</v>
      </c>
      <c r="AC98" s="123">
        <v>333.2</v>
      </c>
      <c r="AD98" s="123">
        <v>0</v>
      </c>
      <c r="AE98" s="123">
        <f t="shared" ref="AE98:AE99" si="183">AD98/AC98*100</f>
        <v>0</v>
      </c>
      <c r="AF98" s="123">
        <v>325.10000000000002</v>
      </c>
      <c r="AG98" s="123">
        <v>0</v>
      </c>
      <c r="AH98" s="123">
        <f t="shared" ref="AH98:AH99" si="184">AG98/AF98*100</f>
        <v>0</v>
      </c>
      <c r="AI98" s="123">
        <v>363.2</v>
      </c>
      <c r="AJ98" s="123">
        <v>0</v>
      </c>
      <c r="AK98" s="123">
        <f>AJ98/AI98*100</f>
        <v>0</v>
      </c>
      <c r="AL98" s="123">
        <v>600.79999999999995</v>
      </c>
      <c r="AM98" s="123">
        <v>0</v>
      </c>
      <c r="AN98" s="123">
        <f>AM98/AL98*100</f>
        <v>0</v>
      </c>
      <c r="AO98" s="123">
        <v>243.1</v>
      </c>
      <c r="AP98" s="123">
        <v>0</v>
      </c>
      <c r="AQ98" s="227">
        <f>AP98/AO98*100</f>
        <v>0</v>
      </c>
      <c r="AR98" s="458"/>
      <c r="AS98" s="459"/>
      <c r="AT98" s="228"/>
      <c r="AU98" s="228"/>
      <c r="AV98" s="229"/>
    </row>
    <row r="99" spans="1:48" s="230" customFormat="1" ht="12.75">
      <c r="A99" s="452"/>
      <c r="B99" s="453"/>
      <c r="C99" s="454"/>
      <c r="D99" s="220" t="s">
        <v>455</v>
      </c>
      <c r="E99" s="123">
        <f>H99+K99+N99+Q99+T99+W99+Z99+AC99+AF99+AI99+AL99+AO99</f>
        <v>91672.900000000009</v>
      </c>
      <c r="F99" s="123">
        <f t="shared" ref="E99:F100" si="185">I99+L99+O99+R99+U99+X99+AA99+AD99+AG99+AJ99+AM99+AP99</f>
        <v>44145.299999999996</v>
      </c>
      <c r="G99" s="123">
        <f>F99/E99*100</f>
        <v>48.155234534960705</v>
      </c>
      <c r="H99" s="123">
        <v>2605.6</v>
      </c>
      <c r="I99" s="123">
        <v>2605.6999999999998</v>
      </c>
      <c r="J99" s="123">
        <f t="shared" ref="J99" si="186">I99/H99*100</f>
        <v>100.00383788762666</v>
      </c>
      <c r="K99" s="123">
        <v>8723.7999999999993</v>
      </c>
      <c r="L99" s="123">
        <v>8723.7000000000007</v>
      </c>
      <c r="M99" s="123">
        <f t="shared" ref="M99" si="187">L99/K99*100</f>
        <v>99.998853710539009</v>
      </c>
      <c r="N99" s="123">
        <v>7626.3</v>
      </c>
      <c r="O99" s="123">
        <v>6936.5</v>
      </c>
      <c r="P99" s="123">
        <f t="shared" ref="P99" si="188">O99/N99*100</f>
        <v>90.954984723915928</v>
      </c>
      <c r="Q99" s="123">
        <v>9757.2999999999993</v>
      </c>
      <c r="R99" s="123">
        <v>9757.2999999999993</v>
      </c>
      <c r="S99" s="123">
        <f t="shared" ref="S99" si="189">R99/Q99*100</f>
        <v>100</v>
      </c>
      <c r="T99" s="123">
        <v>7493.5</v>
      </c>
      <c r="U99" s="123">
        <v>7493.5</v>
      </c>
      <c r="V99" s="123">
        <f t="shared" ref="V99" si="190">U99/T99*100</f>
        <v>100</v>
      </c>
      <c r="W99" s="123">
        <v>8510.6</v>
      </c>
      <c r="X99" s="123">
        <v>8628.6</v>
      </c>
      <c r="Y99" s="123">
        <f t="shared" ref="Y99" si="191">X99/W99*100</f>
        <v>101.38650623927808</v>
      </c>
      <c r="Z99" s="123">
        <v>7921.6</v>
      </c>
      <c r="AA99" s="123">
        <v>0</v>
      </c>
      <c r="AB99" s="123">
        <f t="shared" si="182"/>
        <v>0</v>
      </c>
      <c r="AC99" s="123">
        <v>7015.4</v>
      </c>
      <c r="AD99" s="123">
        <v>0</v>
      </c>
      <c r="AE99" s="123">
        <f t="shared" si="183"/>
        <v>0</v>
      </c>
      <c r="AF99" s="123">
        <v>8670.1</v>
      </c>
      <c r="AG99" s="123">
        <v>0</v>
      </c>
      <c r="AH99" s="123">
        <f t="shared" si="184"/>
        <v>0</v>
      </c>
      <c r="AI99" s="123">
        <v>6928.3</v>
      </c>
      <c r="AJ99" s="123">
        <v>0</v>
      </c>
      <c r="AK99" s="123">
        <f t="shared" ref="AK99" si="192">AK25</f>
        <v>0</v>
      </c>
      <c r="AL99" s="123">
        <v>6920.1</v>
      </c>
      <c r="AM99" s="123">
        <v>0</v>
      </c>
      <c r="AN99" s="123">
        <f>AM99/AL99*100</f>
        <v>0</v>
      </c>
      <c r="AO99" s="123">
        <v>9500.2999999999993</v>
      </c>
      <c r="AP99" s="123">
        <v>0</v>
      </c>
      <c r="AQ99" s="227">
        <f>AP99/AO99*100</f>
        <v>0</v>
      </c>
      <c r="AR99" s="458"/>
      <c r="AS99" s="459"/>
      <c r="AT99" s="228"/>
      <c r="AU99" s="228"/>
      <c r="AV99" s="229"/>
    </row>
    <row r="100" spans="1:48" s="230" customFormat="1" ht="12.75" customHeight="1">
      <c r="A100" s="452"/>
      <c r="B100" s="453"/>
      <c r="C100" s="454"/>
      <c r="D100" s="143" t="s">
        <v>257</v>
      </c>
      <c r="E100" s="123">
        <f t="shared" si="185"/>
        <v>0</v>
      </c>
      <c r="F100" s="123">
        <f t="shared" si="185"/>
        <v>0</v>
      </c>
      <c r="G100" s="123">
        <v>0</v>
      </c>
      <c r="H100" s="123">
        <f t="shared" ref="H100:I100" si="193">H26</f>
        <v>0</v>
      </c>
      <c r="I100" s="123">
        <f t="shared" si="193"/>
        <v>0</v>
      </c>
      <c r="J100" s="123">
        <v>0</v>
      </c>
      <c r="K100" s="123">
        <f t="shared" ref="K100:L100" si="194">K26</f>
        <v>0</v>
      </c>
      <c r="L100" s="123">
        <f t="shared" si="194"/>
        <v>0</v>
      </c>
      <c r="M100" s="123">
        <v>0</v>
      </c>
      <c r="N100" s="123">
        <f t="shared" ref="N100:O100" si="195">N26</f>
        <v>0</v>
      </c>
      <c r="O100" s="123">
        <f t="shared" si="195"/>
        <v>0</v>
      </c>
      <c r="P100" s="123">
        <v>0</v>
      </c>
      <c r="Q100" s="123">
        <f t="shared" ref="Q100:R100" si="196">Q26</f>
        <v>0</v>
      </c>
      <c r="R100" s="123">
        <f t="shared" si="196"/>
        <v>0</v>
      </c>
      <c r="S100" s="123">
        <v>0</v>
      </c>
      <c r="T100" s="123">
        <f t="shared" ref="T100:U100" si="197">T26</f>
        <v>0</v>
      </c>
      <c r="U100" s="123">
        <f t="shared" si="197"/>
        <v>0</v>
      </c>
      <c r="V100" s="123">
        <v>0</v>
      </c>
      <c r="W100" s="123">
        <f t="shared" ref="W100:X100" si="198">W26</f>
        <v>0</v>
      </c>
      <c r="X100" s="123">
        <f t="shared" si="198"/>
        <v>0</v>
      </c>
      <c r="Y100" s="123">
        <v>0</v>
      </c>
      <c r="Z100" s="123">
        <f t="shared" ref="Z100:AA100" si="199">Z26</f>
        <v>0</v>
      </c>
      <c r="AA100" s="123">
        <f t="shared" si="199"/>
        <v>0</v>
      </c>
      <c r="AB100" s="123">
        <v>0</v>
      </c>
      <c r="AC100" s="123">
        <f t="shared" ref="AC100:AD100" si="200">AC26</f>
        <v>0</v>
      </c>
      <c r="AD100" s="123">
        <f t="shared" si="200"/>
        <v>0</v>
      </c>
      <c r="AE100" s="123">
        <v>0</v>
      </c>
      <c r="AF100" s="123">
        <f t="shared" ref="AF100:AG100" si="201">AF26</f>
        <v>0</v>
      </c>
      <c r="AG100" s="123">
        <f t="shared" si="201"/>
        <v>0</v>
      </c>
      <c r="AH100" s="123">
        <v>0</v>
      </c>
      <c r="AI100" s="123">
        <f t="shared" ref="AI100:AJ100" si="202">AI26</f>
        <v>0</v>
      </c>
      <c r="AJ100" s="123">
        <f t="shared" si="202"/>
        <v>0</v>
      </c>
      <c r="AK100" s="123">
        <v>0</v>
      </c>
      <c r="AL100" s="123">
        <f t="shared" ref="AL100:AM100" si="203">AL26</f>
        <v>0</v>
      </c>
      <c r="AM100" s="123">
        <f t="shared" si="203"/>
        <v>0</v>
      </c>
      <c r="AN100" s="123">
        <v>0</v>
      </c>
      <c r="AO100" s="123">
        <f t="shared" ref="AO100:AP100" si="204">AO26</f>
        <v>0</v>
      </c>
      <c r="AP100" s="123">
        <f t="shared" si="204"/>
        <v>0</v>
      </c>
      <c r="AQ100" s="227">
        <v>0</v>
      </c>
      <c r="AR100" s="458"/>
      <c r="AS100" s="459"/>
      <c r="AT100" s="228"/>
      <c r="AU100" s="228"/>
      <c r="AV100" s="229"/>
    </row>
    <row r="101" spans="1:48" s="230" customFormat="1" ht="24">
      <c r="A101" s="455"/>
      <c r="B101" s="456"/>
      <c r="C101" s="457"/>
      <c r="D101" s="143" t="s">
        <v>460</v>
      </c>
      <c r="E101" s="123">
        <f>H101+K101+N101+Q101+T101+W101+Z101+AC101+AF101+AI101+AL101+AO101</f>
        <v>0</v>
      </c>
      <c r="F101" s="123">
        <f>I101+L101+O101+R101+U101+X101+AA101+AD101+AG101+AJ101+AM101+AP101</f>
        <v>0</v>
      </c>
      <c r="G101" s="123">
        <v>0</v>
      </c>
      <c r="H101" s="123">
        <v>0</v>
      </c>
      <c r="I101" s="123">
        <v>0</v>
      </c>
      <c r="J101" s="123">
        <v>0</v>
      </c>
      <c r="K101" s="132">
        <v>0</v>
      </c>
      <c r="L101" s="123">
        <v>0</v>
      </c>
      <c r="M101" s="123">
        <v>0</v>
      </c>
      <c r="N101" s="123">
        <v>0</v>
      </c>
      <c r="O101" s="123">
        <v>0</v>
      </c>
      <c r="P101" s="123">
        <v>0</v>
      </c>
      <c r="Q101" s="123">
        <v>0</v>
      </c>
      <c r="R101" s="123">
        <v>0</v>
      </c>
      <c r="S101" s="123">
        <v>0</v>
      </c>
      <c r="T101" s="117">
        <v>0</v>
      </c>
      <c r="U101" s="117">
        <v>0</v>
      </c>
      <c r="V101" s="123">
        <v>0</v>
      </c>
      <c r="W101" s="117">
        <v>0</v>
      </c>
      <c r="X101" s="117">
        <v>0</v>
      </c>
      <c r="Y101" s="117">
        <v>0</v>
      </c>
      <c r="Z101" s="117">
        <v>0</v>
      </c>
      <c r="AA101" s="117">
        <v>0</v>
      </c>
      <c r="AB101" s="117">
        <v>0</v>
      </c>
      <c r="AC101" s="117">
        <v>0</v>
      </c>
      <c r="AD101" s="117">
        <v>0</v>
      </c>
      <c r="AE101" s="117">
        <v>0</v>
      </c>
      <c r="AF101" s="117">
        <v>0</v>
      </c>
      <c r="AG101" s="117">
        <v>0</v>
      </c>
      <c r="AH101" s="123">
        <v>0</v>
      </c>
      <c r="AI101" s="123">
        <v>0</v>
      </c>
      <c r="AJ101" s="123">
        <v>0</v>
      </c>
      <c r="AK101" s="123">
        <v>0</v>
      </c>
      <c r="AL101" s="117">
        <v>0</v>
      </c>
      <c r="AM101" s="117">
        <v>0</v>
      </c>
      <c r="AN101" s="117">
        <v>0</v>
      </c>
      <c r="AO101" s="123">
        <v>0</v>
      </c>
      <c r="AP101" s="123">
        <v>0</v>
      </c>
      <c r="AQ101" s="123">
        <v>0</v>
      </c>
      <c r="AR101" s="458"/>
      <c r="AS101" s="459"/>
      <c r="AT101" s="228"/>
      <c r="AU101" s="228"/>
      <c r="AV101" s="229"/>
    </row>
    <row r="102" spans="1:48" s="230" customFormat="1" ht="12.75" customHeight="1">
      <c r="A102" s="449" t="s">
        <v>499</v>
      </c>
      <c r="B102" s="450"/>
      <c r="C102" s="451"/>
      <c r="D102" s="143" t="s">
        <v>443</v>
      </c>
      <c r="E102" s="123">
        <f>E103+E104</f>
        <v>87386.2</v>
      </c>
      <c r="F102" s="123">
        <f>F103+F104</f>
        <v>33707.300000000003</v>
      </c>
      <c r="G102" s="123">
        <f>F102/E102*100</f>
        <v>38.572795246846759</v>
      </c>
      <c r="H102" s="123">
        <f>H103+H104</f>
        <v>808.9</v>
      </c>
      <c r="I102" s="123">
        <f>I103+I104</f>
        <v>808.9</v>
      </c>
      <c r="J102" s="123">
        <f t="shared" ref="J102" si="205">I102/H102*100</f>
        <v>100</v>
      </c>
      <c r="K102" s="123">
        <f>K103+K104</f>
        <v>5705.2</v>
      </c>
      <c r="L102" s="123">
        <f>L103+L104</f>
        <v>5535.8</v>
      </c>
      <c r="M102" s="123">
        <f>L102/K102*100</f>
        <v>97.030778938512242</v>
      </c>
      <c r="N102" s="123">
        <f>N103+N104</f>
        <v>5894.9</v>
      </c>
      <c r="O102" s="123">
        <f>O103+O104</f>
        <v>5590.4</v>
      </c>
      <c r="P102" s="123">
        <f>O102/N102*100</f>
        <v>94.834517973163244</v>
      </c>
      <c r="Q102" s="123">
        <f>Q103+Q104</f>
        <v>5981.9</v>
      </c>
      <c r="R102" s="123">
        <f>R103+R104</f>
        <v>6032.3</v>
      </c>
      <c r="S102" s="123">
        <f>R102/Q102*100</f>
        <v>100.84254166736322</v>
      </c>
      <c r="T102" s="123">
        <f>T103+T104</f>
        <v>9836</v>
      </c>
      <c r="U102" s="123">
        <f>U103+U104</f>
        <v>9354.6999999999989</v>
      </c>
      <c r="V102" s="123">
        <f>U102/T102*100</f>
        <v>95.106750711671395</v>
      </c>
      <c r="W102" s="123">
        <f>W103+W104</f>
        <v>6430.8</v>
      </c>
      <c r="X102" s="123">
        <f>X103+X104</f>
        <v>6385.2</v>
      </c>
      <c r="Y102" s="123">
        <f>X102/W102*100</f>
        <v>99.290912483672315</v>
      </c>
      <c r="Z102" s="123">
        <f>Z103+Z104</f>
        <v>7923.9</v>
      </c>
      <c r="AA102" s="123">
        <f t="shared" ref="AA102:AO102" si="206">AA103+AA104</f>
        <v>0</v>
      </c>
      <c r="AB102" s="123">
        <f t="shared" si="206"/>
        <v>0</v>
      </c>
      <c r="AC102" s="123">
        <f t="shared" si="206"/>
        <v>5925.5</v>
      </c>
      <c r="AD102" s="123">
        <f t="shared" si="206"/>
        <v>0</v>
      </c>
      <c r="AE102" s="123">
        <f t="shared" si="206"/>
        <v>0</v>
      </c>
      <c r="AF102" s="123">
        <f t="shared" si="206"/>
        <v>7647.5</v>
      </c>
      <c r="AG102" s="123">
        <f t="shared" si="206"/>
        <v>0</v>
      </c>
      <c r="AH102" s="123">
        <f t="shared" si="206"/>
        <v>0</v>
      </c>
      <c r="AI102" s="123">
        <f t="shared" si="206"/>
        <v>6173.7</v>
      </c>
      <c r="AJ102" s="123">
        <f t="shared" si="206"/>
        <v>0</v>
      </c>
      <c r="AK102" s="123">
        <f t="shared" si="206"/>
        <v>0</v>
      </c>
      <c r="AL102" s="123">
        <f t="shared" si="206"/>
        <v>6169</v>
      </c>
      <c r="AM102" s="123">
        <f t="shared" si="206"/>
        <v>0</v>
      </c>
      <c r="AN102" s="123">
        <f t="shared" si="206"/>
        <v>0</v>
      </c>
      <c r="AO102" s="123">
        <f t="shared" si="206"/>
        <v>18888.900000000001</v>
      </c>
      <c r="AP102" s="123">
        <f>AP103+AP104</f>
        <v>0</v>
      </c>
      <c r="AQ102" s="227">
        <f>AP102/AO102*100</f>
        <v>0</v>
      </c>
      <c r="AR102" s="458"/>
      <c r="AS102" s="459"/>
      <c r="AT102" s="228"/>
      <c r="AU102" s="228"/>
      <c r="AV102" s="229"/>
    </row>
    <row r="103" spans="1:48" s="230" customFormat="1" ht="50.25" customHeight="1">
      <c r="A103" s="452"/>
      <c r="B103" s="453"/>
      <c r="C103" s="454"/>
      <c r="D103" s="220" t="s">
        <v>441</v>
      </c>
      <c r="E103" s="123">
        <f>H103+K103+N103+Q103+T103+W103+Z103+AC103+AF103+AI103+AL103+AO103</f>
        <v>74993.2</v>
      </c>
      <c r="F103" s="123">
        <f>I103+L103+O103+R103+U103+X103+AA103+AD103+AG103+AJ103+AM103+AP103</f>
        <v>27783.800000000003</v>
      </c>
      <c r="G103" s="123">
        <f>F103/E103*100</f>
        <v>37.048425723932311</v>
      </c>
      <c r="H103" s="123">
        <v>0</v>
      </c>
      <c r="I103" s="123">
        <f>I39+I57+I70</f>
        <v>0</v>
      </c>
      <c r="J103" s="123">
        <v>0</v>
      </c>
      <c r="K103" s="123">
        <v>5550</v>
      </c>
      <c r="L103" s="123">
        <v>5403.5</v>
      </c>
      <c r="M103" s="123">
        <f t="shared" ref="M103:M104" si="207">L103/K103*100</f>
        <v>97.36036036036036</v>
      </c>
      <c r="N103" s="123">
        <v>5550</v>
      </c>
      <c r="O103" s="123">
        <v>5516.2</v>
      </c>
      <c r="P103" s="123">
        <f t="shared" ref="P103:P104" si="208">O103/N103*100</f>
        <v>99.390990990990986</v>
      </c>
      <c r="Q103" s="123">
        <v>5550</v>
      </c>
      <c r="R103" s="123">
        <v>5620</v>
      </c>
      <c r="S103" s="123">
        <f t="shared" ref="S103:S104" si="209">R103/Q103*100</f>
        <v>101.26126126126127</v>
      </c>
      <c r="T103" s="123">
        <v>6209.8</v>
      </c>
      <c r="U103" s="123">
        <v>5626.2</v>
      </c>
      <c r="V103" s="123">
        <f t="shared" ref="V103:V104" si="210">U103/T103*100</f>
        <v>90.601951753679671</v>
      </c>
      <c r="W103" s="123">
        <v>5600</v>
      </c>
      <c r="X103" s="123">
        <v>5617.9</v>
      </c>
      <c r="Y103" s="123">
        <f t="shared" ref="Y103:Y104" si="211">X103/W103*100</f>
        <v>100.31964285714285</v>
      </c>
      <c r="Z103" s="123">
        <v>7022.7</v>
      </c>
      <c r="AA103" s="123"/>
      <c r="AB103" s="123">
        <f t="shared" ref="AB103:AB104" si="212">AA103/Z103*100</f>
        <v>0</v>
      </c>
      <c r="AC103" s="123">
        <v>5650</v>
      </c>
      <c r="AD103" s="123"/>
      <c r="AE103" s="123">
        <f t="shared" ref="AE103:AE104" si="213">AD103/AC103*100</f>
        <v>0</v>
      </c>
      <c r="AF103" s="123">
        <v>5650</v>
      </c>
      <c r="AG103" s="123"/>
      <c r="AH103" s="123">
        <f t="shared" ref="AH103:AH104" si="214">AG103/AF103*100</f>
        <v>0</v>
      </c>
      <c r="AI103" s="123">
        <v>5650</v>
      </c>
      <c r="AJ103" s="123"/>
      <c r="AK103" s="123">
        <f t="shared" ref="AK103" si="215">AJ103/AI103*100</f>
        <v>0</v>
      </c>
      <c r="AL103" s="123">
        <v>5700</v>
      </c>
      <c r="AM103" s="123"/>
      <c r="AN103" s="123">
        <f t="shared" ref="AN103" si="216">AM103/AL103*100</f>
        <v>0</v>
      </c>
      <c r="AO103" s="123">
        <v>16860.7</v>
      </c>
      <c r="AP103" s="123"/>
      <c r="AQ103" s="227">
        <f t="shared" ref="AQ103:AQ104" si="217">AP103/AO103*100</f>
        <v>0</v>
      </c>
      <c r="AR103" s="458"/>
      <c r="AS103" s="459"/>
      <c r="AT103" s="228"/>
      <c r="AU103" s="228"/>
      <c r="AV103" s="229"/>
    </row>
    <row r="104" spans="1:48" s="230" customFormat="1" ht="26.25" customHeight="1">
      <c r="A104" s="452"/>
      <c r="B104" s="453"/>
      <c r="C104" s="454"/>
      <c r="D104" s="220" t="s">
        <v>455</v>
      </c>
      <c r="E104" s="123">
        <f t="shared" ref="E104" si="218">H104+K104+N104+Q104+T104+W104+Z104+AC104+AF104+AI104+AL104+AO104</f>
        <v>12393.000000000002</v>
      </c>
      <c r="F104" s="123">
        <f>I104+L104+O104+R104+U104+X104+AA104+AD104+AG104+AJ104+AM104+AP104</f>
        <v>5923.5</v>
      </c>
      <c r="G104" s="123">
        <f>F104/E104*100</f>
        <v>47.797143548777527</v>
      </c>
      <c r="H104" s="123">
        <f>H71+H40</f>
        <v>808.9</v>
      </c>
      <c r="I104" s="123">
        <f>I71+I40</f>
        <v>808.9</v>
      </c>
      <c r="J104" s="123">
        <f t="shared" ref="J104" si="219">I104/H104*100</f>
        <v>100</v>
      </c>
      <c r="K104" s="123">
        <f>K71+K40-31</f>
        <v>155.19999999999999</v>
      </c>
      <c r="L104" s="123">
        <f>L71+L40-16.8</f>
        <v>132.29999999999998</v>
      </c>
      <c r="M104" s="123">
        <f t="shared" si="207"/>
        <v>85.244845360824741</v>
      </c>
      <c r="N104" s="123">
        <f>N71+N40-31</f>
        <v>344.90000000000009</v>
      </c>
      <c r="O104" s="123">
        <f>O71+O40-30.3</f>
        <v>74.2</v>
      </c>
      <c r="P104" s="123">
        <f t="shared" si="208"/>
        <v>21.513482168744559</v>
      </c>
      <c r="Q104" s="123">
        <f>Q71+Q40-26</f>
        <v>431.89999999999992</v>
      </c>
      <c r="R104" s="123">
        <f>R71+R40-63</f>
        <v>412.3</v>
      </c>
      <c r="S104" s="123">
        <f t="shared" si="209"/>
        <v>95.46191247974069</v>
      </c>
      <c r="T104" s="123">
        <f>T71+T40-26</f>
        <v>3626.2000000000003</v>
      </c>
      <c r="U104" s="123">
        <f>U71+U40-4.9</f>
        <v>3728.4999999999995</v>
      </c>
      <c r="V104" s="123">
        <f t="shared" si="210"/>
        <v>102.82113507252771</v>
      </c>
      <c r="W104" s="123">
        <f>W71+W40-16</f>
        <v>830.8</v>
      </c>
      <c r="X104" s="123">
        <f>X71+X40-1.7</f>
        <v>767.3</v>
      </c>
      <c r="Y104" s="123">
        <f t="shared" si="211"/>
        <v>92.356764564275394</v>
      </c>
      <c r="Z104" s="123">
        <f>Z71+Z40-16</f>
        <v>901.2</v>
      </c>
      <c r="AA104" s="123"/>
      <c r="AB104" s="123">
        <f t="shared" si="212"/>
        <v>0</v>
      </c>
      <c r="AC104" s="123">
        <f>AC71+AC40-16</f>
        <v>275.5</v>
      </c>
      <c r="AD104" s="123"/>
      <c r="AE104" s="123">
        <f t="shared" si="213"/>
        <v>0</v>
      </c>
      <c r="AF104" s="123">
        <f>AF71+AF40-16</f>
        <v>1997.5</v>
      </c>
      <c r="AG104" s="123"/>
      <c r="AH104" s="123">
        <f t="shared" si="214"/>
        <v>0</v>
      </c>
      <c r="AI104" s="123">
        <f>AI71+AI40-24</f>
        <v>523.69999999999993</v>
      </c>
      <c r="AJ104" s="123"/>
      <c r="AK104" s="123">
        <f>AK71+AK58+AK40-AK123</f>
        <v>0</v>
      </c>
      <c r="AL104" s="123">
        <f>AL71+AL40-31</f>
        <v>469</v>
      </c>
      <c r="AM104" s="123"/>
      <c r="AN104" s="123"/>
      <c r="AO104" s="123">
        <f>AO71+AO40-35.2</f>
        <v>2028.2</v>
      </c>
      <c r="AP104" s="123"/>
      <c r="AQ104" s="227">
        <f t="shared" si="217"/>
        <v>0</v>
      </c>
      <c r="AR104" s="458"/>
      <c r="AS104" s="459"/>
      <c r="AT104" s="228"/>
      <c r="AU104" s="228"/>
      <c r="AV104" s="229"/>
    </row>
    <row r="105" spans="1:48" s="230" customFormat="1" ht="32.25" customHeight="1">
      <c r="A105" s="455"/>
      <c r="B105" s="456"/>
      <c r="C105" s="457"/>
      <c r="D105" s="143" t="s">
        <v>460</v>
      </c>
      <c r="E105" s="123">
        <f>H105+K105+N105+Q105+T105+W105+Z105+AC105+AF105+AI105+AL105+AO105</f>
        <v>0</v>
      </c>
      <c r="F105" s="123">
        <f>I105+L105+O105+R105+U105+X105+AA105+AD105+AG105+AJ105+AM105+AP105</f>
        <v>0</v>
      </c>
      <c r="G105" s="123">
        <v>0</v>
      </c>
      <c r="H105" s="123">
        <v>0</v>
      </c>
      <c r="I105" s="123">
        <v>0</v>
      </c>
      <c r="J105" s="123">
        <v>0</v>
      </c>
      <c r="K105" s="132">
        <v>0</v>
      </c>
      <c r="L105" s="123">
        <v>0</v>
      </c>
      <c r="M105" s="123">
        <v>0</v>
      </c>
      <c r="N105" s="123">
        <v>0</v>
      </c>
      <c r="O105" s="123">
        <v>0</v>
      </c>
      <c r="P105" s="123">
        <v>0</v>
      </c>
      <c r="Q105" s="123">
        <v>0</v>
      </c>
      <c r="R105" s="123">
        <v>0</v>
      </c>
      <c r="S105" s="123">
        <v>0</v>
      </c>
      <c r="T105" s="117">
        <v>0</v>
      </c>
      <c r="U105" s="117">
        <v>0</v>
      </c>
      <c r="V105" s="123">
        <v>0</v>
      </c>
      <c r="W105" s="117">
        <v>0</v>
      </c>
      <c r="X105" s="117">
        <v>0</v>
      </c>
      <c r="Y105" s="117">
        <v>0</v>
      </c>
      <c r="Z105" s="117">
        <v>0</v>
      </c>
      <c r="AA105" s="117">
        <v>0</v>
      </c>
      <c r="AB105" s="117">
        <v>0</v>
      </c>
      <c r="AC105" s="117">
        <v>0</v>
      </c>
      <c r="AD105" s="117">
        <v>0</v>
      </c>
      <c r="AE105" s="117">
        <v>0</v>
      </c>
      <c r="AF105" s="117">
        <v>0</v>
      </c>
      <c r="AG105" s="117">
        <v>0</v>
      </c>
      <c r="AH105" s="123">
        <v>0</v>
      </c>
      <c r="AI105" s="123">
        <v>0</v>
      </c>
      <c r="AJ105" s="123">
        <v>0</v>
      </c>
      <c r="AK105" s="123">
        <v>0</v>
      </c>
      <c r="AL105" s="123">
        <v>0</v>
      </c>
      <c r="AM105" s="123">
        <v>0</v>
      </c>
      <c r="AN105" s="123">
        <v>0</v>
      </c>
      <c r="AO105" s="123">
        <v>0</v>
      </c>
      <c r="AP105" s="123">
        <v>0</v>
      </c>
      <c r="AQ105" s="123">
        <v>0</v>
      </c>
      <c r="AR105" s="458"/>
      <c r="AS105" s="459"/>
      <c r="AT105" s="228"/>
      <c r="AU105" s="228"/>
      <c r="AV105" s="229"/>
    </row>
    <row r="106" spans="1:48" s="230" customFormat="1" ht="12.75">
      <c r="A106" s="449" t="s">
        <v>478</v>
      </c>
      <c r="B106" s="450"/>
      <c r="C106" s="451"/>
      <c r="D106" s="143" t="s">
        <v>443</v>
      </c>
      <c r="E106" s="123">
        <f>E107+E108+E109</f>
        <v>3072.7</v>
      </c>
      <c r="F106" s="123">
        <f>F107+F108+F109</f>
        <v>636.6</v>
      </c>
      <c r="G106" s="123">
        <f>F106/E106*100</f>
        <v>20.717935366290234</v>
      </c>
      <c r="H106" s="123">
        <f t="shared" ref="H106:I106" si="220">H107+H108+H109</f>
        <v>0</v>
      </c>
      <c r="I106" s="123">
        <f t="shared" si="220"/>
        <v>0</v>
      </c>
      <c r="J106" s="123">
        <v>0</v>
      </c>
      <c r="K106" s="123">
        <f t="shared" ref="K106:L106" si="221">K107+K108+K109</f>
        <v>0</v>
      </c>
      <c r="L106" s="123">
        <f t="shared" si="221"/>
        <v>0</v>
      </c>
      <c r="M106" s="123">
        <v>0</v>
      </c>
      <c r="N106" s="123">
        <f t="shared" ref="N106:O106" si="222">N107+N108+N109</f>
        <v>57.9</v>
      </c>
      <c r="O106" s="123">
        <f t="shared" si="222"/>
        <v>57.9</v>
      </c>
      <c r="P106" s="123">
        <f>O106/N106*100</f>
        <v>100</v>
      </c>
      <c r="Q106" s="123">
        <f t="shared" ref="Q106:R106" si="223">Q107+Q108+Q109</f>
        <v>29.5</v>
      </c>
      <c r="R106" s="123">
        <f t="shared" si="223"/>
        <v>29.4</v>
      </c>
      <c r="S106" s="123">
        <f t="shared" ref="S106:S107" si="224">R106/Q106*100</f>
        <v>99.66101694915254</v>
      </c>
      <c r="T106" s="123">
        <f t="shared" ref="T106:U106" si="225">T107+T108+T109</f>
        <v>474.7</v>
      </c>
      <c r="U106" s="123">
        <f t="shared" si="225"/>
        <v>474.7</v>
      </c>
      <c r="V106" s="123">
        <f>U106/T106*100</f>
        <v>100</v>
      </c>
      <c r="W106" s="123">
        <f t="shared" ref="W106:X106" si="226">W107+W108+W109</f>
        <v>74.599999999999994</v>
      </c>
      <c r="X106" s="123">
        <f t="shared" si="226"/>
        <v>74.599999999999994</v>
      </c>
      <c r="Y106" s="123">
        <f>X106/W106*100</f>
        <v>100</v>
      </c>
      <c r="Z106" s="123">
        <f t="shared" ref="Z106:AA106" si="227">Z107+Z108+Z109</f>
        <v>730.1</v>
      </c>
      <c r="AA106" s="123">
        <f t="shared" si="227"/>
        <v>0</v>
      </c>
      <c r="AB106" s="123">
        <f>AA106/Z106*100</f>
        <v>0</v>
      </c>
      <c r="AC106" s="123">
        <f t="shared" ref="AC106:AD106" si="228">AC107+AC108+AC109</f>
        <v>704.2</v>
      </c>
      <c r="AD106" s="123">
        <f t="shared" si="228"/>
        <v>0</v>
      </c>
      <c r="AE106" s="123">
        <f>AD106/AC106*100</f>
        <v>0</v>
      </c>
      <c r="AF106" s="123">
        <f t="shared" ref="AF106:AG106" si="229">AF107+AF108+AF109</f>
        <v>655.20000000000005</v>
      </c>
      <c r="AG106" s="123">
        <f t="shared" si="229"/>
        <v>0</v>
      </c>
      <c r="AH106" s="123">
        <f>AG106/AF106*100</f>
        <v>0</v>
      </c>
      <c r="AI106" s="123">
        <f t="shared" ref="AI106:AJ106" si="230">AI107+AI108+AI109</f>
        <v>182.2</v>
      </c>
      <c r="AJ106" s="123">
        <f t="shared" si="230"/>
        <v>0</v>
      </c>
      <c r="AK106" s="123">
        <f>AJ106/AI106*100</f>
        <v>0</v>
      </c>
      <c r="AL106" s="123">
        <f t="shared" ref="AL106:AM106" si="231">AL107+AL108+AL109</f>
        <v>64.3</v>
      </c>
      <c r="AM106" s="123">
        <f t="shared" si="231"/>
        <v>0</v>
      </c>
      <c r="AN106" s="123">
        <f>AM106/AL106*100</f>
        <v>0</v>
      </c>
      <c r="AO106" s="123">
        <f t="shared" ref="AO106:AP106" si="232">AO107+AO108+AO109</f>
        <v>100</v>
      </c>
      <c r="AP106" s="123">
        <f t="shared" si="232"/>
        <v>0</v>
      </c>
      <c r="AQ106" s="227">
        <v>0</v>
      </c>
      <c r="AR106" s="458"/>
      <c r="AS106" s="459"/>
      <c r="AT106" s="228"/>
      <c r="AU106" s="228"/>
      <c r="AV106" s="229"/>
    </row>
    <row r="107" spans="1:48" s="230" customFormat="1" ht="54.75" customHeight="1">
      <c r="A107" s="452"/>
      <c r="B107" s="453"/>
      <c r="C107" s="454"/>
      <c r="D107" s="220" t="s">
        <v>441</v>
      </c>
      <c r="E107" s="123">
        <f>H107+K107+N107+Q107+T107+W107+Z107+AC107+AF107+AI107+AL107+AO107</f>
        <v>3072.7</v>
      </c>
      <c r="F107" s="123">
        <f>I107+L107+O107+R107+U107+X107+AA107+AD107+AG107+AJ107+AM107+AP107</f>
        <v>636.6</v>
      </c>
      <c r="G107" s="123">
        <f>F107/E107*100</f>
        <v>20.717935366290234</v>
      </c>
      <c r="H107" s="123">
        <v>0</v>
      </c>
      <c r="I107" s="123">
        <v>0</v>
      </c>
      <c r="J107" s="123">
        <v>0</v>
      </c>
      <c r="K107" s="123">
        <v>0</v>
      </c>
      <c r="L107" s="123">
        <v>0</v>
      </c>
      <c r="M107" s="123">
        <v>0</v>
      </c>
      <c r="N107" s="123">
        <v>57.9</v>
      </c>
      <c r="O107" s="123">
        <v>57.9</v>
      </c>
      <c r="P107" s="123">
        <f>O107/N107*100</f>
        <v>100</v>
      </c>
      <c r="Q107" s="123">
        <v>29.5</v>
      </c>
      <c r="R107" s="123">
        <v>29.4</v>
      </c>
      <c r="S107" s="123">
        <f t="shared" si="224"/>
        <v>99.66101694915254</v>
      </c>
      <c r="T107" s="123">
        <v>474.7</v>
      </c>
      <c r="U107" s="123">
        <v>474.7</v>
      </c>
      <c r="V107" s="123">
        <f>U107/T107*100</f>
        <v>100</v>
      </c>
      <c r="W107" s="123">
        <v>74.599999999999994</v>
      </c>
      <c r="X107" s="123">
        <v>74.599999999999994</v>
      </c>
      <c r="Y107" s="123">
        <f>X107/W107*100</f>
        <v>100</v>
      </c>
      <c r="Z107" s="123">
        <f>440.1+290</f>
        <v>730.1</v>
      </c>
      <c r="AA107" s="123">
        <v>0</v>
      </c>
      <c r="AB107" s="123">
        <f>AA107/Z107*100</f>
        <v>0</v>
      </c>
      <c r="AC107" s="123">
        <f>414.2+290</f>
        <v>704.2</v>
      </c>
      <c r="AD107" s="123">
        <v>0</v>
      </c>
      <c r="AE107" s="123">
        <f>AD107/AC107*100</f>
        <v>0</v>
      </c>
      <c r="AF107" s="123">
        <f>367.4+287.8</f>
        <v>655.20000000000005</v>
      </c>
      <c r="AG107" s="123">
        <v>0</v>
      </c>
      <c r="AH107" s="123">
        <f>AG107/AF107*100</f>
        <v>0</v>
      </c>
      <c r="AI107" s="123">
        <v>182.2</v>
      </c>
      <c r="AJ107" s="123">
        <v>0</v>
      </c>
      <c r="AK107" s="123">
        <f>AJ107/AI107*100</f>
        <v>0</v>
      </c>
      <c r="AL107" s="123">
        <f>54.2+10.1</f>
        <v>64.3</v>
      </c>
      <c r="AM107" s="123">
        <v>0</v>
      </c>
      <c r="AN107" s="123">
        <f>AM107/AL107*100</f>
        <v>0</v>
      </c>
      <c r="AO107" s="123">
        <f>0+100</f>
        <v>100</v>
      </c>
      <c r="AP107" s="123">
        <v>0</v>
      </c>
      <c r="AQ107" s="227">
        <v>0</v>
      </c>
      <c r="AR107" s="458"/>
      <c r="AS107" s="459"/>
      <c r="AT107" s="228"/>
      <c r="AU107" s="228"/>
      <c r="AV107" s="229"/>
    </row>
    <row r="108" spans="1:48" s="230" customFormat="1" ht="12.75">
      <c r="A108" s="452"/>
      <c r="B108" s="453"/>
      <c r="C108" s="454"/>
      <c r="D108" s="220" t="s">
        <v>455</v>
      </c>
      <c r="E108" s="123">
        <f t="shared" ref="E108:F109" si="233">H108+K108+N108+Q108+T108+W108+Z108+AC108+AF108+AI108+AL108+AO108</f>
        <v>0</v>
      </c>
      <c r="F108" s="123">
        <f>I108+L108+O108+R108+U108+X108+AA108+AD108+AG108+AJ108+AM108+AP108</f>
        <v>0</v>
      </c>
      <c r="G108" s="123">
        <v>0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3">
        <v>0</v>
      </c>
      <c r="O108" s="123">
        <v>0</v>
      </c>
      <c r="P108" s="123">
        <v>0</v>
      </c>
      <c r="Q108" s="123">
        <v>0</v>
      </c>
      <c r="R108" s="123">
        <v>0</v>
      </c>
      <c r="S108" s="123">
        <v>0</v>
      </c>
      <c r="T108" s="123">
        <v>0</v>
      </c>
      <c r="U108" s="123">
        <v>0</v>
      </c>
      <c r="V108" s="123">
        <v>0</v>
      </c>
      <c r="W108" s="123">
        <v>0</v>
      </c>
      <c r="X108" s="123">
        <v>0</v>
      </c>
      <c r="Y108" s="123">
        <v>0</v>
      </c>
      <c r="Z108" s="123">
        <v>0</v>
      </c>
      <c r="AA108" s="123">
        <v>0</v>
      </c>
      <c r="AB108" s="123">
        <v>0</v>
      </c>
      <c r="AC108" s="123">
        <v>0</v>
      </c>
      <c r="AD108" s="123">
        <v>0</v>
      </c>
      <c r="AE108" s="123">
        <v>0</v>
      </c>
      <c r="AF108" s="123">
        <v>0</v>
      </c>
      <c r="AG108" s="123">
        <v>0</v>
      </c>
      <c r="AH108" s="123">
        <v>0</v>
      </c>
      <c r="AI108" s="123">
        <v>0</v>
      </c>
      <c r="AJ108" s="123">
        <v>0</v>
      </c>
      <c r="AK108" s="123">
        <v>0</v>
      </c>
      <c r="AL108" s="123">
        <v>0</v>
      </c>
      <c r="AM108" s="123">
        <v>0</v>
      </c>
      <c r="AN108" s="123">
        <v>0</v>
      </c>
      <c r="AO108" s="123">
        <v>0</v>
      </c>
      <c r="AP108" s="123">
        <v>0</v>
      </c>
      <c r="AQ108" s="227">
        <v>0</v>
      </c>
      <c r="AR108" s="458"/>
      <c r="AS108" s="459"/>
      <c r="AT108" s="228"/>
      <c r="AU108" s="228"/>
      <c r="AV108" s="229"/>
    </row>
    <row r="109" spans="1:48" s="230" customFormat="1" ht="24">
      <c r="A109" s="452"/>
      <c r="B109" s="453"/>
      <c r="C109" s="454"/>
      <c r="D109" s="143" t="s">
        <v>257</v>
      </c>
      <c r="E109" s="123">
        <f t="shared" si="233"/>
        <v>0</v>
      </c>
      <c r="F109" s="123">
        <f t="shared" si="233"/>
        <v>0</v>
      </c>
      <c r="G109" s="123">
        <v>0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3">
        <v>0</v>
      </c>
      <c r="O109" s="123">
        <v>0</v>
      </c>
      <c r="P109" s="123">
        <v>0</v>
      </c>
      <c r="Q109" s="123">
        <v>0</v>
      </c>
      <c r="R109" s="123">
        <v>0</v>
      </c>
      <c r="S109" s="123">
        <v>0</v>
      </c>
      <c r="T109" s="123">
        <v>0</v>
      </c>
      <c r="U109" s="123">
        <v>0</v>
      </c>
      <c r="V109" s="123">
        <v>0</v>
      </c>
      <c r="W109" s="123">
        <v>0</v>
      </c>
      <c r="X109" s="123">
        <v>0</v>
      </c>
      <c r="Y109" s="123">
        <v>0</v>
      </c>
      <c r="Z109" s="123">
        <v>0</v>
      </c>
      <c r="AA109" s="123">
        <v>0</v>
      </c>
      <c r="AB109" s="123">
        <v>0</v>
      </c>
      <c r="AC109" s="123">
        <v>0</v>
      </c>
      <c r="AD109" s="123">
        <v>0</v>
      </c>
      <c r="AE109" s="123">
        <v>0</v>
      </c>
      <c r="AF109" s="123">
        <v>0</v>
      </c>
      <c r="AG109" s="123">
        <v>0</v>
      </c>
      <c r="AH109" s="123">
        <v>0</v>
      </c>
      <c r="AI109" s="123">
        <v>0</v>
      </c>
      <c r="AJ109" s="123">
        <v>0</v>
      </c>
      <c r="AK109" s="123">
        <v>0</v>
      </c>
      <c r="AL109" s="123">
        <v>0</v>
      </c>
      <c r="AM109" s="123">
        <v>0</v>
      </c>
      <c r="AN109" s="123">
        <v>0</v>
      </c>
      <c r="AO109" s="123">
        <v>0</v>
      </c>
      <c r="AP109" s="123">
        <v>0</v>
      </c>
      <c r="AQ109" s="227">
        <v>0</v>
      </c>
      <c r="AR109" s="458"/>
      <c r="AS109" s="459"/>
      <c r="AT109" s="228"/>
      <c r="AU109" s="228"/>
      <c r="AV109" s="229"/>
    </row>
    <row r="110" spans="1:48" s="230" customFormat="1" ht="24">
      <c r="A110" s="455"/>
      <c r="B110" s="456"/>
      <c r="C110" s="457"/>
      <c r="D110" s="143" t="s">
        <v>460</v>
      </c>
      <c r="E110" s="123">
        <f>H110+K110+N110+Q110+T110+W110+Z110+AC110+AF110+AI110+AL110+AO110</f>
        <v>0</v>
      </c>
      <c r="F110" s="123">
        <f>I110+L110+O110+R110+U110+X110+AA110+AD110+AG110+AJ110+AM110+AP110</f>
        <v>0</v>
      </c>
      <c r="G110" s="123">
        <v>0</v>
      </c>
      <c r="H110" s="123">
        <v>0</v>
      </c>
      <c r="I110" s="123">
        <v>0</v>
      </c>
      <c r="J110" s="123">
        <v>0</v>
      </c>
      <c r="K110" s="132">
        <v>0</v>
      </c>
      <c r="L110" s="123">
        <v>0</v>
      </c>
      <c r="M110" s="123">
        <v>0</v>
      </c>
      <c r="N110" s="123">
        <v>0</v>
      </c>
      <c r="O110" s="123">
        <v>0</v>
      </c>
      <c r="P110" s="123">
        <v>0</v>
      </c>
      <c r="Q110" s="123">
        <v>0</v>
      </c>
      <c r="R110" s="123">
        <v>0</v>
      </c>
      <c r="S110" s="123">
        <v>0</v>
      </c>
      <c r="T110" s="117">
        <v>0</v>
      </c>
      <c r="U110" s="117">
        <v>0</v>
      </c>
      <c r="V110" s="123">
        <v>0</v>
      </c>
      <c r="W110" s="117">
        <v>0</v>
      </c>
      <c r="X110" s="117">
        <v>0</v>
      </c>
      <c r="Y110" s="117">
        <v>0</v>
      </c>
      <c r="Z110" s="117">
        <v>0</v>
      </c>
      <c r="AA110" s="117">
        <v>0</v>
      </c>
      <c r="AB110" s="117">
        <v>0</v>
      </c>
      <c r="AC110" s="117">
        <v>0</v>
      </c>
      <c r="AD110" s="117">
        <v>0</v>
      </c>
      <c r="AE110" s="117">
        <v>0</v>
      </c>
      <c r="AF110" s="117">
        <v>0</v>
      </c>
      <c r="AG110" s="117">
        <v>0</v>
      </c>
      <c r="AH110" s="123">
        <v>0</v>
      </c>
      <c r="AI110" s="123">
        <v>0</v>
      </c>
      <c r="AJ110" s="123">
        <v>0</v>
      </c>
      <c r="AK110" s="123">
        <v>0</v>
      </c>
      <c r="AL110" s="117">
        <v>0</v>
      </c>
      <c r="AM110" s="117">
        <v>0</v>
      </c>
      <c r="AN110" s="117">
        <v>0</v>
      </c>
      <c r="AO110" s="123">
        <v>0</v>
      </c>
      <c r="AP110" s="123">
        <v>0</v>
      </c>
      <c r="AQ110" s="123">
        <v>0</v>
      </c>
      <c r="AR110" s="458"/>
      <c r="AS110" s="459"/>
      <c r="AT110" s="228"/>
      <c r="AU110" s="228"/>
      <c r="AV110" s="229"/>
    </row>
    <row r="111" spans="1:48" s="230" customFormat="1" ht="12.75">
      <c r="A111" s="449" t="s">
        <v>479</v>
      </c>
      <c r="B111" s="450"/>
      <c r="C111" s="451"/>
      <c r="D111" s="143" t="s">
        <v>443</v>
      </c>
      <c r="E111" s="123">
        <f>E112+E113+E114</f>
        <v>221.60000000000002</v>
      </c>
      <c r="F111" s="123">
        <f>F112+F113+F114</f>
        <v>131.9</v>
      </c>
      <c r="G111" s="123">
        <f>F111/E111*100</f>
        <v>59.521660649819488</v>
      </c>
      <c r="H111" s="123">
        <f t="shared" ref="H111:I111" si="234">H112+H113+H114</f>
        <v>0</v>
      </c>
      <c r="I111" s="123">
        <f t="shared" si="234"/>
        <v>0</v>
      </c>
      <c r="J111" s="123">
        <v>0</v>
      </c>
      <c r="K111" s="123">
        <f t="shared" ref="K111:L111" si="235">K112+K113+K114</f>
        <v>3.2</v>
      </c>
      <c r="L111" s="123">
        <f t="shared" si="235"/>
        <v>3.2</v>
      </c>
      <c r="M111" s="123">
        <f>L111/K111*100</f>
        <v>100</v>
      </c>
      <c r="N111" s="123">
        <f t="shared" ref="N111:O111" si="236">N112+N113+N114</f>
        <v>45</v>
      </c>
      <c r="O111" s="123">
        <f t="shared" si="236"/>
        <v>45</v>
      </c>
      <c r="P111" s="123">
        <f>O111/N111*100</f>
        <v>100</v>
      </c>
      <c r="Q111" s="123">
        <f t="shared" ref="Q111:R111" si="237">Q112+Q113+Q114</f>
        <v>38</v>
      </c>
      <c r="R111" s="123">
        <f t="shared" si="237"/>
        <v>38</v>
      </c>
      <c r="S111" s="123">
        <f t="shared" ref="S111:S113" si="238">R111/Q111*100</f>
        <v>100</v>
      </c>
      <c r="T111" s="123">
        <f t="shared" ref="T111:U111" si="239">T112+T113+T114</f>
        <v>33.200000000000003</v>
      </c>
      <c r="U111" s="123">
        <f t="shared" si="239"/>
        <v>21.9</v>
      </c>
      <c r="V111" s="123">
        <f t="shared" ref="V111" si="240">U111/T111*100</f>
        <v>65.963855421686731</v>
      </c>
      <c r="W111" s="123">
        <f t="shared" ref="W111:X111" si="241">W112+W113+W114</f>
        <v>23.8</v>
      </c>
      <c r="X111" s="123">
        <f t="shared" si="241"/>
        <v>23.8</v>
      </c>
      <c r="Y111" s="123">
        <f>X111/W111*100</f>
        <v>100</v>
      </c>
      <c r="Z111" s="123">
        <f t="shared" ref="Z111:AA111" si="242">Z112+Z113+Z114</f>
        <v>0</v>
      </c>
      <c r="AA111" s="123">
        <f t="shared" si="242"/>
        <v>0</v>
      </c>
      <c r="AB111" s="123">
        <v>0</v>
      </c>
      <c r="AC111" s="123">
        <f t="shared" ref="AC111:AD111" si="243">AC112+AC113+AC114</f>
        <v>0</v>
      </c>
      <c r="AD111" s="123">
        <f t="shared" si="243"/>
        <v>0</v>
      </c>
      <c r="AE111" s="123">
        <v>0</v>
      </c>
      <c r="AF111" s="123">
        <f t="shared" ref="AF111:AG111" si="244">AF112+AF113+AF114</f>
        <v>38</v>
      </c>
      <c r="AG111" s="123">
        <f t="shared" si="244"/>
        <v>0</v>
      </c>
      <c r="AH111" s="123">
        <f>AG111/AF111*100</f>
        <v>0</v>
      </c>
      <c r="AI111" s="123">
        <f t="shared" ref="AI111:AJ111" si="245">AI112+AI113+AI114</f>
        <v>0</v>
      </c>
      <c r="AJ111" s="123">
        <f t="shared" si="245"/>
        <v>0</v>
      </c>
      <c r="AK111" s="123">
        <v>0</v>
      </c>
      <c r="AL111" s="123">
        <f t="shared" ref="AL111" si="246">AL112+AL113+AL114</f>
        <v>40.4</v>
      </c>
      <c r="AM111" s="123">
        <v>0</v>
      </c>
      <c r="AN111" s="123">
        <v>0</v>
      </c>
      <c r="AO111" s="123">
        <f t="shared" ref="AO111" si="247">AO112+AO113+AO114</f>
        <v>0</v>
      </c>
      <c r="AP111" s="123">
        <v>0</v>
      </c>
      <c r="AQ111" s="227">
        <v>0</v>
      </c>
      <c r="AR111" s="458"/>
      <c r="AS111" s="459"/>
      <c r="AT111" s="228"/>
      <c r="AU111" s="228"/>
      <c r="AV111" s="229"/>
    </row>
    <row r="112" spans="1:48" s="230" customFormat="1" ht="49.5" customHeight="1">
      <c r="A112" s="452"/>
      <c r="B112" s="453"/>
      <c r="C112" s="454"/>
      <c r="D112" s="220" t="s">
        <v>441</v>
      </c>
      <c r="E112" s="123">
        <f>H112+K112+N112+Q112+T112+W112+Z112+AC112+AF112+AI112+AL112+AO112</f>
        <v>120</v>
      </c>
      <c r="F112" s="123">
        <f>I112+L112+O112+R112+U112+X112+AA112+AD112+AG112+AJ112+AM112+AP112</f>
        <v>48</v>
      </c>
      <c r="G112" s="123">
        <f>F112/E112*100</f>
        <v>40</v>
      </c>
      <c r="H112" s="123">
        <v>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3">
        <v>0</v>
      </c>
      <c r="O112" s="123">
        <v>0</v>
      </c>
      <c r="P112" s="123">
        <v>0</v>
      </c>
      <c r="Q112" s="123">
        <v>18</v>
      </c>
      <c r="R112" s="123">
        <v>18</v>
      </c>
      <c r="S112" s="123">
        <f t="shared" si="238"/>
        <v>100</v>
      </c>
      <c r="T112" s="123">
        <v>16.3</v>
      </c>
      <c r="U112" s="123">
        <v>6.4</v>
      </c>
      <c r="V112" s="123">
        <f t="shared" ref="V112:V113" si="248">U112/T112*100</f>
        <v>39.263803680981596</v>
      </c>
      <c r="W112" s="123">
        <v>23.6</v>
      </c>
      <c r="X112" s="123">
        <v>23.6</v>
      </c>
      <c r="Y112" s="123">
        <f>X112/W112*100</f>
        <v>100</v>
      </c>
      <c r="Z112" s="123">
        <v>0</v>
      </c>
      <c r="AA112" s="123">
        <v>0</v>
      </c>
      <c r="AB112" s="123">
        <v>0</v>
      </c>
      <c r="AC112" s="123">
        <v>0</v>
      </c>
      <c r="AD112" s="123">
        <v>0</v>
      </c>
      <c r="AE112" s="123">
        <v>0</v>
      </c>
      <c r="AF112" s="123">
        <v>30.1</v>
      </c>
      <c r="AG112" s="123">
        <v>0</v>
      </c>
      <c r="AH112" s="123">
        <v>100</v>
      </c>
      <c r="AI112" s="123">
        <v>0</v>
      </c>
      <c r="AJ112" s="123">
        <v>0</v>
      </c>
      <c r="AK112" s="123">
        <v>0</v>
      </c>
      <c r="AL112" s="123">
        <v>32</v>
      </c>
      <c r="AM112" s="123">
        <v>0</v>
      </c>
      <c r="AN112" s="123">
        <v>0</v>
      </c>
      <c r="AO112" s="123">
        <v>0</v>
      </c>
      <c r="AP112" s="123">
        <v>0</v>
      </c>
      <c r="AQ112" s="227">
        <v>0</v>
      </c>
      <c r="AR112" s="458"/>
      <c r="AS112" s="459"/>
      <c r="AT112" s="228"/>
      <c r="AU112" s="228"/>
      <c r="AV112" s="229"/>
    </row>
    <row r="113" spans="1:48" s="230" customFormat="1" ht="18" customHeight="1">
      <c r="A113" s="452"/>
      <c r="B113" s="453"/>
      <c r="C113" s="454"/>
      <c r="D113" s="220" t="s">
        <v>455</v>
      </c>
      <c r="E113" s="123">
        <f t="shared" ref="E113:F114" si="249">H113+K113+N113+Q113+T113+W113+Z113+AC113+AF113+AI113+AL113+AO113</f>
        <v>101.60000000000001</v>
      </c>
      <c r="F113" s="123">
        <f>I113+L113+O113+R113+U113+X113+AA113+AD113+AG113+AJ113+AM113+AP113</f>
        <v>83.9</v>
      </c>
      <c r="G113" s="123">
        <f>F113/E113*100</f>
        <v>82.578740157480311</v>
      </c>
      <c r="H113" s="123">
        <v>0</v>
      </c>
      <c r="I113" s="123">
        <v>0</v>
      </c>
      <c r="J113" s="123">
        <v>0</v>
      </c>
      <c r="K113" s="123">
        <v>3.2</v>
      </c>
      <c r="L113" s="123">
        <v>3.2</v>
      </c>
      <c r="M113" s="123">
        <f>L113/K113*100</f>
        <v>100</v>
      </c>
      <c r="N113" s="123">
        <v>45</v>
      </c>
      <c r="O113" s="123">
        <v>45</v>
      </c>
      <c r="P113" s="123">
        <f>O113/N113*100</f>
        <v>100</v>
      </c>
      <c r="Q113" s="123">
        <v>20</v>
      </c>
      <c r="R113" s="123">
        <v>20</v>
      </c>
      <c r="S113" s="123">
        <f t="shared" si="238"/>
        <v>100</v>
      </c>
      <c r="T113" s="123">
        <v>16.899999999999999</v>
      </c>
      <c r="U113" s="123">
        <v>15.5</v>
      </c>
      <c r="V113" s="123">
        <f t="shared" si="248"/>
        <v>91.715976331360963</v>
      </c>
      <c r="W113" s="123">
        <v>0.2</v>
      </c>
      <c r="X113" s="123">
        <v>0.2</v>
      </c>
      <c r="Y113" s="123">
        <f>X113/W113*100</f>
        <v>100</v>
      </c>
      <c r="Z113" s="123">
        <v>0</v>
      </c>
      <c r="AA113" s="123">
        <v>0</v>
      </c>
      <c r="AB113" s="123">
        <v>0</v>
      </c>
      <c r="AC113" s="123">
        <v>0</v>
      </c>
      <c r="AD113" s="123">
        <v>0</v>
      </c>
      <c r="AE113" s="123">
        <v>0</v>
      </c>
      <c r="AF113" s="123">
        <v>7.9</v>
      </c>
      <c r="AG113" s="123">
        <v>0</v>
      </c>
      <c r="AH113" s="123">
        <v>0</v>
      </c>
      <c r="AI113" s="123">
        <v>0</v>
      </c>
      <c r="AJ113" s="123">
        <v>0</v>
      </c>
      <c r="AK113" s="123">
        <v>0</v>
      </c>
      <c r="AL113" s="123">
        <v>8.4</v>
      </c>
      <c r="AM113" s="123">
        <v>0</v>
      </c>
      <c r="AN113" s="123">
        <v>0</v>
      </c>
      <c r="AO113" s="123">
        <v>0</v>
      </c>
      <c r="AP113" s="123">
        <v>0</v>
      </c>
      <c r="AQ113" s="227">
        <v>0</v>
      </c>
      <c r="AR113" s="458"/>
      <c r="AS113" s="459"/>
      <c r="AT113" s="228"/>
      <c r="AU113" s="228"/>
      <c r="AV113" s="229"/>
    </row>
    <row r="114" spans="1:48" s="230" customFormat="1" ht="30" customHeight="1">
      <c r="A114" s="452"/>
      <c r="B114" s="453"/>
      <c r="C114" s="454"/>
      <c r="D114" s="143" t="s">
        <v>257</v>
      </c>
      <c r="E114" s="123">
        <f t="shared" si="249"/>
        <v>0</v>
      </c>
      <c r="F114" s="123">
        <f t="shared" si="249"/>
        <v>0</v>
      </c>
      <c r="G114" s="123">
        <v>0</v>
      </c>
      <c r="H114" s="123">
        <v>0</v>
      </c>
      <c r="I114" s="123">
        <v>0</v>
      </c>
      <c r="J114" s="123">
        <v>0</v>
      </c>
      <c r="K114" s="123">
        <v>0</v>
      </c>
      <c r="L114" s="123">
        <v>0</v>
      </c>
      <c r="M114" s="123">
        <v>0</v>
      </c>
      <c r="N114" s="123">
        <v>0</v>
      </c>
      <c r="O114" s="123">
        <v>0</v>
      </c>
      <c r="P114" s="123">
        <v>0</v>
      </c>
      <c r="Q114" s="123">
        <v>0</v>
      </c>
      <c r="R114" s="123">
        <v>0</v>
      </c>
      <c r="S114" s="123">
        <v>0</v>
      </c>
      <c r="T114" s="123">
        <v>0</v>
      </c>
      <c r="U114" s="123">
        <v>0</v>
      </c>
      <c r="V114" s="123">
        <v>0</v>
      </c>
      <c r="W114" s="123">
        <v>0</v>
      </c>
      <c r="X114" s="123">
        <v>0</v>
      </c>
      <c r="Y114" s="123">
        <v>0</v>
      </c>
      <c r="Z114" s="123">
        <v>0</v>
      </c>
      <c r="AA114" s="123">
        <v>0</v>
      </c>
      <c r="AB114" s="123">
        <v>0</v>
      </c>
      <c r="AC114" s="123">
        <v>0</v>
      </c>
      <c r="AD114" s="123">
        <v>0</v>
      </c>
      <c r="AE114" s="123">
        <v>0</v>
      </c>
      <c r="AF114" s="123">
        <v>0</v>
      </c>
      <c r="AG114" s="123">
        <v>0</v>
      </c>
      <c r="AH114" s="123">
        <v>0</v>
      </c>
      <c r="AI114" s="123">
        <v>0</v>
      </c>
      <c r="AJ114" s="123">
        <v>0</v>
      </c>
      <c r="AK114" s="123">
        <v>0</v>
      </c>
      <c r="AL114" s="123">
        <v>0</v>
      </c>
      <c r="AM114" s="123">
        <v>0</v>
      </c>
      <c r="AN114" s="123">
        <v>0</v>
      </c>
      <c r="AO114" s="123">
        <v>0</v>
      </c>
      <c r="AP114" s="123">
        <v>0</v>
      </c>
      <c r="AQ114" s="227">
        <v>0</v>
      </c>
      <c r="AR114" s="458"/>
      <c r="AS114" s="459"/>
      <c r="AT114" s="228"/>
      <c r="AU114" s="228"/>
      <c r="AV114" s="229"/>
    </row>
    <row r="115" spans="1:48" s="230" customFormat="1" ht="24">
      <c r="A115" s="455"/>
      <c r="B115" s="456"/>
      <c r="C115" s="457"/>
      <c r="D115" s="143" t="s">
        <v>460</v>
      </c>
      <c r="E115" s="123">
        <f>H115+K115+N115+Q115+T115+W115+Z115+AC115+AF115+AI115+AL115+AO115</f>
        <v>0</v>
      </c>
      <c r="F115" s="123">
        <f>I115+L115+O115+R115+U115+X115+AA115+AD115+AG115+AJ115+AM115+AP115</f>
        <v>0</v>
      </c>
      <c r="G115" s="123">
        <v>0</v>
      </c>
      <c r="H115" s="123">
        <v>0</v>
      </c>
      <c r="I115" s="123">
        <v>0</v>
      </c>
      <c r="J115" s="123">
        <v>0</v>
      </c>
      <c r="K115" s="132">
        <v>0</v>
      </c>
      <c r="L115" s="123">
        <v>0</v>
      </c>
      <c r="M115" s="123">
        <v>0</v>
      </c>
      <c r="N115" s="123">
        <v>0</v>
      </c>
      <c r="O115" s="123">
        <v>0</v>
      </c>
      <c r="P115" s="123">
        <v>0</v>
      </c>
      <c r="Q115" s="123">
        <v>0</v>
      </c>
      <c r="R115" s="123">
        <v>0</v>
      </c>
      <c r="S115" s="123">
        <v>0</v>
      </c>
      <c r="T115" s="117">
        <v>0</v>
      </c>
      <c r="U115" s="117">
        <v>0</v>
      </c>
      <c r="V115" s="123">
        <v>0</v>
      </c>
      <c r="W115" s="117">
        <v>0</v>
      </c>
      <c r="X115" s="117">
        <v>0</v>
      </c>
      <c r="Y115" s="117">
        <v>0</v>
      </c>
      <c r="Z115" s="117">
        <v>0</v>
      </c>
      <c r="AA115" s="117">
        <v>0</v>
      </c>
      <c r="AB115" s="117">
        <v>0</v>
      </c>
      <c r="AC115" s="117">
        <v>0</v>
      </c>
      <c r="AD115" s="117">
        <v>0</v>
      </c>
      <c r="AE115" s="117">
        <v>0</v>
      </c>
      <c r="AF115" s="117">
        <v>0</v>
      </c>
      <c r="AG115" s="117">
        <v>0</v>
      </c>
      <c r="AH115" s="123">
        <v>0</v>
      </c>
      <c r="AI115" s="123">
        <v>0</v>
      </c>
      <c r="AJ115" s="123">
        <v>0</v>
      </c>
      <c r="AK115" s="123">
        <v>0</v>
      </c>
      <c r="AL115" s="117">
        <v>0</v>
      </c>
      <c r="AM115" s="117">
        <v>0</v>
      </c>
      <c r="AN115" s="117">
        <v>0</v>
      </c>
      <c r="AO115" s="123">
        <v>0</v>
      </c>
      <c r="AP115" s="123">
        <v>0</v>
      </c>
      <c r="AQ115" s="123">
        <v>0</v>
      </c>
      <c r="AR115" s="458"/>
      <c r="AS115" s="459"/>
      <c r="AT115" s="228"/>
      <c r="AU115" s="228"/>
      <c r="AV115" s="229"/>
    </row>
    <row r="116" spans="1:48" s="230" customFormat="1" ht="12.75">
      <c r="A116" s="449" t="s">
        <v>480</v>
      </c>
      <c r="B116" s="450"/>
      <c r="C116" s="451"/>
      <c r="D116" s="143" t="s">
        <v>443</v>
      </c>
      <c r="E116" s="123">
        <f>E117+E118+E119</f>
        <v>221.6</v>
      </c>
      <c r="F116" s="123">
        <f>F117+F118+F119</f>
        <v>107</v>
      </c>
      <c r="G116" s="123">
        <f>F116/E116*100</f>
        <v>48.285198555956683</v>
      </c>
      <c r="H116" s="123">
        <f t="shared" ref="H116:I116" si="250">H117+H118+H119</f>
        <v>0</v>
      </c>
      <c r="I116" s="123">
        <f t="shared" si="250"/>
        <v>0</v>
      </c>
      <c r="J116" s="123">
        <v>0</v>
      </c>
      <c r="K116" s="123">
        <f t="shared" ref="K116:L116" si="251">K117+K118+K119</f>
        <v>0</v>
      </c>
      <c r="L116" s="123">
        <f t="shared" si="251"/>
        <v>0</v>
      </c>
      <c r="M116" s="123">
        <v>0</v>
      </c>
      <c r="N116" s="123">
        <f t="shared" ref="N116:O116" si="252">N117+N118+N119</f>
        <v>0</v>
      </c>
      <c r="O116" s="123">
        <f t="shared" si="252"/>
        <v>0</v>
      </c>
      <c r="P116" s="123">
        <v>0</v>
      </c>
      <c r="Q116" s="123">
        <f t="shared" ref="Q116:R116" si="253">Q117+Q118+Q119</f>
        <v>4.4000000000000004</v>
      </c>
      <c r="R116" s="123">
        <f t="shared" si="253"/>
        <v>4.4000000000000004</v>
      </c>
      <c r="S116" s="123">
        <f t="shared" ref="S116:S118" si="254">R116/Q116*100</f>
        <v>100</v>
      </c>
      <c r="T116" s="123">
        <f t="shared" ref="T116:U116" si="255">T117+T118+T119</f>
        <v>63.199999999999996</v>
      </c>
      <c r="U116" s="123">
        <f t="shared" si="255"/>
        <v>63.199999999999996</v>
      </c>
      <c r="V116" s="123">
        <f t="shared" ref="V116:V118" si="256">U116/T116*100</f>
        <v>100</v>
      </c>
      <c r="W116" s="123">
        <f t="shared" ref="W116:X116" si="257">W117+W118+W119</f>
        <v>50.5</v>
      </c>
      <c r="X116" s="123">
        <f t="shared" si="257"/>
        <v>39.400000000000006</v>
      </c>
      <c r="Y116" s="123">
        <f>X116/W116*100</f>
        <v>78.019801980198039</v>
      </c>
      <c r="Z116" s="123">
        <f t="shared" ref="Z116:AA116" si="258">Z117+Z118+Z119</f>
        <v>46.400000000000006</v>
      </c>
      <c r="AA116" s="123">
        <f t="shared" si="258"/>
        <v>0</v>
      </c>
      <c r="AB116" s="123">
        <f>AA116/Z116*100</f>
        <v>0</v>
      </c>
      <c r="AC116" s="123">
        <f t="shared" ref="AC116:AD116" si="259">AC117+AC118+AC119</f>
        <v>10.8</v>
      </c>
      <c r="AD116" s="123">
        <f t="shared" si="259"/>
        <v>0</v>
      </c>
      <c r="AE116" s="123">
        <v>100</v>
      </c>
      <c r="AF116" s="123">
        <f t="shared" ref="AF116:AG116" si="260">AF117+AF118+AF119</f>
        <v>46.3</v>
      </c>
      <c r="AG116" s="123">
        <f t="shared" si="260"/>
        <v>0</v>
      </c>
      <c r="AH116" s="123">
        <f>AG116/AF116*100</f>
        <v>0</v>
      </c>
      <c r="AI116" s="123">
        <f t="shared" ref="AI116:AJ116" si="261">AI117+AI118+AI119</f>
        <v>0</v>
      </c>
      <c r="AJ116" s="123">
        <f t="shared" si="261"/>
        <v>0</v>
      </c>
      <c r="AK116" s="123">
        <v>0</v>
      </c>
      <c r="AL116" s="123">
        <f t="shared" ref="AL116" si="262">AL117+AL118+AL119</f>
        <v>0</v>
      </c>
      <c r="AM116" s="123">
        <v>0</v>
      </c>
      <c r="AN116" s="123">
        <v>0</v>
      </c>
      <c r="AO116" s="123">
        <f t="shared" ref="AO116" si="263">AO117+AO118+AO119</f>
        <v>0</v>
      </c>
      <c r="AP116" s="123">
        <v>0</v>
      </c>
      <c r="AQ116" s="227">
        <v>0</v>
      </c>
      <c r="AR116" s="458"/>
      <c r="AS116" s="459"/>
      <c r="AT116" s="228"/>
      <c r="AU116" s="228"/>
      <c r="AV116" s="229"/>
    </row>
    <row r="117" spans="1:48" s="230" customFormat="1" ht="48">
      <c r="A117" s="452"/>
      <c r="B117" s="453"/>
      <c r="C117" s="454"/>
      <c r="D117" s="220" t="s">
        <v>441</v>
      </c>
      <c r="E117" s="123">
        <f>H117+K117+N117+Q117+T117+W117+Z117+AC117+AF117+AI117+AL117+AO117</f>
        <v>120</v>
      </c>
      <c r="F117" s="123">
        <f>I117+L117+O117+R117+U117+X117+AA117+AD117+AG117+AJ117+AM117+AP117</f>
        <v>40</v>
      </c>
      <c r="G117" s="123">
        <f>F117/E117*100</f>
        <v>33.333333333333329</v>
      </c>
      <c r="H117" s="123">
        <v>0</v>
      </c>
      <c r="I117" s="123">
        <v>0</v>
      </c>
      <c r="J117" s="123">
        <v>0</v>
      </c>
      <c r="K117" s="123">
        <v>0</v>
      </c>
      <c r="L117" s="123">
        <v>0</v>
      </c>
      <c r="M117" s="123">
        <v>0</v>
      </c>
      <c r="N117" s="123">
        <v>0</v>
      </c>
      <c r="O117" s="123">
        <v>0</v>
      </c>
      <c r="P117" s="123">
        <v>0</v>
      </c>
      <c r="Q117" s="123">
        <v>0</v>
      </c>
      <c r="R117" s="123">
        <v>0</v>
      </c>
      <c r="S117" s="123">
        <v>0</v>
      </c>
      <c r="T117" s="123">
        <v>3.8</v>
      </c>
      <c r="U117" s="123">
        <v>3.8</v>
      </c>
      <c r="V117" s="123">
        <f t="shared" si="256"/>
        <v>100</v>
      </c>
      <c r="W117" s="123">
        <v>38.200000000000003</v>
      </c>
      <c r="X117" s="123">
        <v>36.200000000000003</v>
      </c>
      <c r="Y117" s="123">
        <f>X117/W117*100</f>
        <v>94.764397905759168</v>
      </c>
      <c r="Z117" s="123">
        <v>33.6</v>
      </c>
      <c r="AA117" s="123">
        <v>0</v>
      </c>
      <c r="AB117" s="123">
        <f>AA117/Z117*100</f>
        <v>0</v>
      </c>
      <c r="AC117" s="123">
        <f>33.6-22.8</f>
        <v>10.8</v>
      </c>
      <c r="AD117" s="123">
        <v>0</v>
      </c>
      <c r="AE117" s="123">
        <f t="shared" ref="AE117:AE118" si="264">AD117/AC117*100</f>
        <v>0</v>
      </c>
      <c r="AF117" s="123">
        <v>33.6</v>
      </c>
      <c r="AG117" s="123">
        <v>0</v>
      </c>
      <c r="AH117" s="123">
        <f>AG117/AF117*100</f>
        <v>0</v>
      </c>
      <c r="AI117" s="123">
        <v>0</v>
      </c>
      <c r="AJ117" s="123">
        <v>0</v>
      </c>
      <c r="AK117" s="123">
        <v>0</v>
      </c>
      <c r="AL117" s="123">
        <v>0</v>
      </c>
      <c r="AM117" s="123">
        <v>0</v>
      </c>
      <c r="AN117" s="123">
        <v>0</v>
      </c>
      <c r="AO117" s="123">
        <v>0</v>
      </c>
      <c r="AP117" s="123">
        <v>0</v>
      </c>
      <c r="AQ117" s="227">
        <v>0</v>
      </c>
      <c r="AR117" s="458"/>
      <c r="AS117" s="459"/>
      <c r="AT117" s="228"/>
      <c r="AU117" s="228"/>
      <c r="AV117" s="229"/>
    </row>
    <row r="118" spans="1:48" s="230" customFormat="1" ht="12.75" customHeight="1">
      <c r="A118" s="452"/>
      <c r="B118" s="453"/>
      <c r="C118" s="454"/>
      <c r="D118" s="220" t="s">
        <v>455</v>
      </c>
      <c r="E118" s="123">
        <f>H118+K118+N118+Q118+T118+W118+Z118+AC118+AF118+AI118+AL118+AO118</f>
        <v>101.6</v>
      </c>
      <c r="F118" s="123">
        <f>I118+L118+O118+R118+U118+X118+AA118+AD118+AG118+AJ118+AM118+AP118</f>
        <v>67</v>
      </c>
      <c r="G118" s="123">
        <f>F118/E118*100</f>
        <v>65.944881889763778</v>
      </c>
      <c r="H118" s="123">
        <v>0</v>
      </c>
      <c r="I118" s="123">
        <v>0</v>
      </c>
      <c r="J118" s="123">
        <v>0</v>
      </c>
      <c r="K118" s="123">
        <v>0</v>
      </c>
      <c r="L118" s="123">
        <v>0</v>
      </c>
      <c r="M118" s="123">
        <v>0</v>
      </c>
      <c r="N118" s="123">
        <v>0</v>
      </c>
      <c r="O118" s="123">
        <v>0</v>
      </c>
      <c r="P118" s="123">
        <v>0</v>
      </c>
      <c r="Q118" s="123">
        <v>4.4000000000000004</v>
      </c>
      <c r="R118" s="123">
        <v>4.4000000000000004</v>
      </c>
      <c r="S118" s="123">
        <f t="shared" si="254"/>
        <v>100</v>
      </c>
      <c r="T118" s="123">
        <v>59.4</v>
      </c>
      <c r="U118" s="123">
        <v>59.4</v>
      </c>
      <c r="V118" s="123">
        <f t="shared" si="256"/>
        <v>100</v>
      </c>
      <c r="W118" s="123">
        <v>12.3</v>
      </c>
      <c r="X118" s="123">
        <v>3.2</v>
      </c>
      <c r="Y118" s="123">
        <f>X118/W118*100</f>
        <v>26.016260162601622</v>
      </c>
      <c r="Z118" s="123">
        <v>12.8</v>
      </c>
      <c r="AA118" s="123">
        <v>0</v>
      </c>
      <c r="AB118" s="123">
        <f>AA118/Z118*100</f>
        <v>0</v>
      </c>
      <c r="AC118" s="123">
        <v>0</v>
      </c>
      <c r="AD118" s="123">
        <v>0</v>
      </c>
      <c r="AE118" s="123" t="e">
        <f t="shared" si="264"/>
        <v>#DIV/0!</v>
      </c>
      <c r="AF118" s="123">
        <v>12.7</v>
      </c>
      <c r="AG118" s="123">
        <v>0</v>
      </c>
      <c r="AH118" s="123">
        <v>0</v>
      </c>
      <c r="AI118" s="123">
        <v>0</v>
      </c>
      <c r="AJ118" s="123">
        <v>0</v>
      </c>
      <c r="AK118" s="123">
        <v>0</v>
      </c>
      <c r="AL118" s="123">
        <v>0</v>
      </c>
      <c r="AM118" s="123">
        <v>0</v>
      </c>
      <c r="AN118" s="123">
        <v>0</v>
      </c>
      <c r="AO118" s="123">
        <v>0</v>
      </c>
      <c r="AP118" s="123">
        <v>0</v>
      </c>
      <c r="AQ118" s="227">
        <v>0</v>
      </c>
      <c r="AR118" s="458"/>
      <c r="AS118" s="459"/>
      <c r="AT118" s="228"/>
      <c r="AU118" s="228"/>
      <c r="AV118" s="229"/>
    </row>
    <row r="119" spans="1:48" s="230" customFormat="1" ht="24">
      <c r="A119" s="452"/>
      <c r="B119" s="453"/>
      <c r="C119" s="454"/>
      <c r="D119" s="143" t="s">
        <v>257</v>
      </c>
      <c r="E119" s="123">
        <f t="shared" ref="E119:F119" si="265">H119+K119+N119+Q119+T119+W119+Z119+AC119+AF119+AI119+AL119+AO119</f>
        <v>0</v>
      </c>
      <c r="F119" s="123">
        <f t="shared" si="265"/>
        <v>0</v>
      </c>
      <c r="G119" s="123">
        <v>0</v>
      </c>
      <c r="H119" s="123">
        <v>0</v>
      </c>
      <c r="I119" s="123">
        <v>0</v>
      </c>
      <c r="J119" s="123">
        <v>0</v>
      </c>
      <c r="K119" s="123">
        <v>0</v>
      </c>
      <c r="L119" s="123">
        <v>0</v>
      </c>
      <c r="M119" s="123">
        <v>0</v>
      </c>
      <c r="N119" s="123">
        <v>0</v>
      </c>
      <c r="O119" s="123">
        <v>0</v>
      </c>
      <c r="P119" s="123">
        <v>0</v>
      </c>
      <c r="Q119" s="123">
        <v>0</v>
      </c>
      <c r="R119" s="123">
        <v>0</v>
      </c>
      <c r="S119" s="123">
        <v>0</v>
      </c>
      <c r="T119" s="123">
        <v>0</v>
      </c>
      <c r="U119" s="123">
        <v>0</v>
      </c>
      <c r="V119" s="123">
        <v>0</v>
      </c>
      <c r="W119" s="123">
        <v>0</v>
      </c>
      <c r="X119" s="123">
        <v>0</v>
      </c>
      <c r="Y119" s="123">
        <v>0</v>
      </c>
      <c r="Z119" s="123">
        <v>0</v>
      </c>
      <c r="AA119" s="123">
        <v>0</v>
      </c>
      <c r="AB119" s="123">
        <v>0</v>
      </c>
      <c r="AC119" s="123">
        <v>0</v>
      </c>
      <c r="AD119" s="123">
        <v>0</v>
      </c>
      <c r="AE119" s="123">
        <v>0</v>
      </c>
      <c r="AF119" s="123">
        <v>0</v>
      </c>
      <c r="AG119" s="123">
        <v>0</v>
      </c>
      <c r="AH119" s="123">
        <v>0</v>
      </c>
      <c r="AI119" s="123">
        <v>0</v>
      </c>
      <c r="AJ119" s="123">
        <v>0</v>
      </c>
      <c r="AK119" s="123">
        <v>0</v>
      </c>
      <c r="AL119" s="123">
        <v>0</v>
      </c>
      <c r="AM119" s="123">
        <v>0</v>
      </c>
      <c r="AN119" s="123">
        <v>0</v>
      </c>
      <c r="AO119" s="123">
        <v>0</v>
      </c>
      <c r="AP119" s="123">
        <v>0</v>
      </c>
      <c r="AQ119" s="227">
        <v>0</v>
      </c>
      <c r="AR119" s="458"/>
      <c r="AS119" s="459"/>
      <c r="AT119" s="228"/>
      <c r="AU119" s="228"/>
      <c r="AV119" s="229"/>
    </row>
    <row r="120" spans="1:48" s="230" customFormat="1" ht="12.75" customHeight="1">
      <c r="A120" s="455"/>
      <c r="B120" s="456"/>
      <c r="C120" s="457"/>
      <c r="D120" s="143" t="s">
        <v>460</v>
      </c>
      <c r="E120" s="123">
        <f>H120+K120+N120+Q120+T120+W120+Z120+AC120+AF120+AI120+AL120+AO120</f>
        <v>0</v>
      </c>
      <c r="F120" s="123">
        <f>I120+L120+O120+R120+U120+X120+AA120+AD120+AG120+AJ120+AM120+AP120</f>
        <v>0</v>
      </c>
      <c r="G120" s="123">
        <v>0</v>
      </c>
      <c r="H120" s="123">
        <v>0</v>
      </c>
      <c r="I120" s="123">
        <v>0</v>
      </c>
      <c r="J120" s="123">
        <v>0</v>
      </c>
      <c r="K120" s="132">
        <v>0</v>
      </c>
      <c r="L120" s="123">
        <v>0</v>
      </c>
      <c r="M120" s="123">
        <v>0</v>
      </c>
      <c r="N120" s="123">
        <v>0</v>
      </c>
      <c r="O120" s="123">
        <v>0</v>
      </c>
      <c r="P120" s="123">
        <v>0</v>
      </c>
      <c r="Q120" s="123">
        <v>0</v>
      </c>
      <c r="R120" s="123">
        <v>0</v>
      </c>
      <c r="S120" s="123">
        <v>0</v>
      </c>
      <c r="T120" s="117">
        <v>0</v>
      </c>
      <c r="U120" s="117">
        <v>0</v>
      </c>
      <c r="V120" s="123">
        <v>0</v>
      </c>
      <c r="W120" s="117">
        <v>0</v>
      </c>
      <c r="X120" s="117">
        <v>0</v>
      </c>
      <c r="Y120" s="117">
        <v>0</v>
      </c>
      <c r="Z120" s="117">
        <v>0</v>
      </c>
      <c r="AA120" s="117">
        <v>0</v>
      </c>
      <c r="AB120" s="117">
        <v>0</v>
      </c>
      <c r="AC120" s="117">
        <v>0</v>
      </c>
      <c r="AD120" s="117">
        <v>0</v>
      </c>
      <c r="AE120" s="117">
        <v>0</v>
      </c>
      <c r="AF120" s="117">
        <v>0</v>
      </c>
      <c r="AG120" s="117">
        <v>0</v>
      </c>
      <c r="AH120" s="123">
        <v>0</v>
      </c>
      <c r="AI120" s="123">
        <v>0</v>
      </c>
      <c r="AJ120" s="123">
        <v>0</v>
      </c>
      <c r="AK120" s="123">
        <v>0</v>
      </c>
      <c r="AL120" s="117">
        <v>0</v>
      </c>
      <c r="AM120" s="117">
        <v>0</v>
      </c>
      <c r="AN120" s="117">
        <v>0</v>
      </c>
      <c r="AO120" s="123">
        <v>0</v>
      </c>
      <c r="AP120" s="123">
        <v>0</v>
      </c>
      <c r="AQ120" s="123">
        <v>0</v>
      </c>
      <c r="AR120" s="458"/>
      <c r="AS120" s="459"/>
      <c r="AT120" s="228"/>
      <c r="AU120" s="228"/>
      <c r="AV120" s="229"/>
    </row>
    <row r="121" spans="1:48" s="230" customFormat="1" ht="12.75">
      <c r="A121" s="449" t="s">
        <v>481</v>
      </c>
      <c r="B121" s="450"/>
      <c r="C121" s="451"/>
      <c r="D121" s="143" t="s">
        <v>443</v>
      </c>
      <c r="E121" s="123">
        <f>E122+E123+E124</f>
        <v>2149.6999999999998</v>
      </c>
      <c r="F121" s="123">
        <f>F122+F123+F124</f>
        <v>271.10000000000002</v>
      </c>
      <c r="G121" s="123">
        <f>F121/E121*100</f>
        <v>12.611062008652372</v>
      </c>
      <c r="H121" s="123">
        <f t="shared" ref="H121:I121" si="266">H122+H123+H124</f>
        <v>0</v>
      </c>
      <c r="I121" s="123">
        <f t="shared" si="266"/>
        <v>0</v>
      </c>
      <c r="J121" s="123">
        <v>0</v>
      </c>
      <c r="K121" s="123">
        <f t="shared" ref="K121:L121" si="267">K122+K123+K124</f>
        <v>31</v>
      </c>
      <c r="L121" s="123">
        <f t="shared" si="267"/>
        <v>16.8</v>
      </c>
      <c r="M121" s="123">
        <f>L121/K121*100</f>
        <v>54.193548387096783</v>
      </c>
      <c r="N121" s="123">
        <f t="shared" ref="N121:O121" si="268">N122+N123+N124</f>
        <v>31</v>
      </c>
      <c r="O121" s="123">
        <f t="shared" si="268"/>
        <v>30.3</v>
      </c>
      <c r="P121" s="123">
        <f>O121/N121*100</f>
        <v>97.741935483870961</v>
      </c>
      <c r="Q121" s="123">
        <f t="shared" ref="Q121:R121" si="269">Q122+Q123+Q124</f>
        <v>64.3</v>
      </c>
      <c r="R121" s="123">
        <f t="shared" si="269"/>
        <v>63</v>
      </c>
      <c r="S121" s="123">
        <f>R121/Q121*100</f>
        <v>97.978227060653182</v>
      </c>
      <c r="T121" s="123">
        <f>T122+T123+T124</f>
        <v>8.6000000000000014</v>
      </c>
      <c r="U121" s="123">
        <f t="shared" ref="U121" si="270">U122+U123+U124</f>
        <v>8.6</v>
      </c>
      <c r="V121" s="123">
        <f>U121/T121*100</f>
        <v>99.999999999999972</v>
      </c>
      <c r="W121" s="123">
        <f t="shared" ref="W121:X121" si="271">W122+W123+W124</f>
        <v>155</v>
      </c>
      <c r="X121" s="123">
        <f t="shared" si="271"/>
        <v>152.4</v>
      </c>
      <c r="Y121" s="123">
        <f>X121/W121*100</f>
        <v>98.322580645161295</v>
      </c>
      <c r="Z121" s="123">
        <f t="shared" ref="Z121:AA121" si="272">Z122+Z123+Z124</f>
        <v>32.9</v>
      </c>
      <c r="AA121" s="123">
        <f t="shared" si="272"/>
        <v>0</v>
      </c>
      <c r="AB121" s="123">
        <f>AA121/Z121*100</f>
        <v>0</v>
      </c>
      <c r="AC121" s="123">
        <f t="shared" ref="AC121:AD121" si="273">AC122+AC123+AC124</f>
        <v>41.3</v>
      </c>
      <c r="AD121" s="123">
        <f t="shared" si="273"/>
        <v>0</v>
      </c>
      <c r="AE121" s="123">
        <f>AD121/AC121*100</f>
        <v>0</v>
      </c>
      <c r="AF121" s="123">
        <f t="shared" ref="AF121:AG121" si="274">AF122+AF123+AF124</f>
        <v>1582.7</v>
      </c>
      <c r="AG121" s="123">
        <f t="shared" si="274"/>
        <v>0</v>
      </c>
      <c r="AH121" s="123">
        <f>AG121/AF121*100</f>
        <v>0</v>
      </c>
      <c r="AI121" s="123">
        <f t="shared" ref="AI121:AJ121" si="275">AI122+AI123+AI124</f>
        <v>57.7</v>
      </c>
      <c r="AJ121" s="123">
        <f t="shared" si="275"/>
        <v>0</v>
      </c>
      <c r="AK121" s="123">
        <v>0</v>
      </c>
      <c r="AL121" s="123">
        <f t="shared" ref="AL121:AM121" si="276">AL122+AL123+AL124</f>
        <v>64.7</v>
      </c>
      <c r="AM121" s="123">
        <f t="shared" si="276"/>
        <v>0</v>
      </c>
      <c r="AN121" s="123">
        <v>0</v>
      </c>
      <c r="AO121" s="123">
        <f t="shared" ref="AO121:AP121" si="277">AO122+AO123+AO124</f>
        <v>80.5</v>
      </c>
      <c r="AP121" s="123">
        <f t="shared" si="277"/>
        <v>0</v>
      </c>
      <c r="AQ121" s="227">
        <f>AP121/AO121*100</f>
        <v>0</v>
      </c>
      <c r="AR121" s="458"/>
      <c r="AS121" s="459"/>
      <c r="AT121" s="228"/>
      <c r="AU121" s="228"/>
      <c r="AV121" s="229"/>
    </row>
    <row r="122" spans="1:48" s="230" customFormat="1" ht="48">
      <c r="A122" s="452"/>
      <c r="B122" s="453"/>
      <c r="C122" s="454"/>
      <c r="D122" s="220" t="s">
        <v>441</v>
      </c>
      <c r="E122" s="123">
        <f>H122+K122+N122+Q122+T122+W122+Z122+AC122+AF122+AI122+AL122+AO122</f>
        <v>1779.9</v>
      </c>
      <c r="F122" s="123">
        <f>I122+L122+O122+R122+U122+X122+AA122+AD122+AG122+AJ122+AM122+AP122</f>
        <v>101.5</v>
      </c>
      <c r="G122" s="123">
        <f>F122/E122*100</f>
        <v>5.7025675599752796</v>
      </c>
      <c r="H122" s="123">
        <v>0</v>
      </c>
      <c r="I122" s="123">
        <v>0</v>
      </c>
      <c r="J122" s="123">
        <v>0</v>
      </c>
      <c r="K122" s="123">
        <v>0</v>
      </c>
      <c r="L122" s="123">
        <v>0</v>
      </c>
      <c r="M122" s="123">
        <v>0</v>
      </c>
      <c r="N122" s="123">
        <v>0</v>
      </c>
      <c r="O122" s="123">
        <v>0</v>
      </c>
      <c r="P122" s="123">
        <v>0</v>
      </c>
      <c r="Q122" s="123">
        <v>0</v>
      </c>
      <c r="R122" s="123">
        <v>0</v>
      </c>
      <c r="S122" s="123">
        <v>0</v>
      </c>
      <c r="T122" s="123">
        <v>0</v>
      </c>
      <c r="U122" s="123">
        <v>0</v>
      </c>
      <c r="V122" s="123">
        <v>0</v>
      </c>
      <c r="W122" s="123">
        <f>8.4+95</f>
        <v>103.4</v>
      </c>
      <c r="X122" s="123">
        <v>101.5</v>
      </c>
      <c r="Y122" s="123">
        <f t="shared" ref="Y122:Y123" si="278">X122/W122*100</f>
        <v>98.162475822050283</v>
      </c>
      <c r="Z122" s="123">
        <v>8.4</v>
      </c>
      <c r="AA122" s="123">
        <v>0</v>
      </c>
      <c r="AB122" s="123">
        <f>AA122/Z122*100</f>
        <v>0</v>
      </c>
      <c r="AC122" s="123">
        <v>16.8</v>
      </c>
      <c r="AD122" s="123">
        <v>0</v>
      </c>
      <c r="AE122" s="123">
        <f>AD122/AC122*100</f>
        <v>0</v>
      </c>
      <c r="AF122" s="123">
        <v>1581.7</v>
      </c>
      <c r="AG122" s="123">
        <v>0</v>
      </c>
      <c r="AH122" s="123">
        <v>0</v>
      </c>
      <c r="AI122" s="123">
        <v>16.8</v>
      </c>
      <c r="AJ122" s="123">
        <v>0</v>
      </c>
      <c r="AK122" s="123">
        <v>0</v>
      </c>
      <c r="AL122" s="123">
        <v>16.8</v>
      </c>
      <c r="AM122" s="123">
        <v>0</v>
      </c>
      <c r="AN122" s="123">
        <v>0</v>
      </c>
      <c r="AO122" s="123">
        <f>16.8+19.2</f>
        <v>36</v>
      </c>
      <c r="AP122" s="123">
        <v>0</v>
      </c>
      <c r="AQ122" s="227">
        <v>0</v>
      </c>
      <c r="AR122" s="458"/>
      <c r="AS122" s="459"/>
      <c r="AT122" s="228"/>
      <c r="AU122" s="228"/>
      <c r="AV122" s="229"/>
    </row>
    <row r="123" spans="1:48" s="230" customFormat="1" ht="24.75" customHeight="1">
      <c r="A123" s="452"/>
      <c r="B123" s="453"/>
      <c r="C123" s="454"/>
      <c r="D123" s="220" t="s">
        <v>455</v>
      </c>
      <c r="E123" s="123">
        <f>H123+K123+N123+Q123+T123+W123+Z123+AC123+AF123+AI123+AL123+AO123</f>
        <v>369.79999999999995</v>
      </c>
      <c r="F123" s="123">
        <f t="shared" ref="E123:F125" si="279">I123+L123+O123+R123+U123+X123+AA123+AD123+AG123+AJ123+AM123+AP123</f>
        <v>169.6</v>
      </c>
      <c r="G123" s="123">
        <f>F123/E123*100</f>
        <v>45.862628447809634</v>
      </c>
      <c r="H123" s="123">
        <v>0</v>
      </c>
      <c r="I123" s="123">
        <v>0</v>
      </c>
      <c r="J123" s="123">
        <v>0</v>
      </c>
      <c r="K123" s="123">
        <v>31</v>
      </c>
      <c r="L123" s="123">
        <v>16.8</v>
      </c>
      <c r="M123" s="123">
        <f t="shared" ref="M123" si="280">L123/K123*100</f>
        <v>54.193548387096783</v>
      </c>
      <c r="N123" s="123">
        <v>31</v>
      </c>
      <c r="O123" s="123">
        <v>30.3</v>
      </c>
      <c r="P123" s="123">
        <f t="shared" ref="P123" si="281">O123/N123*100</f>
        <v>97.741935483870961</v>
      </c>
      <c r="Q123" s="123">
        <f>26+30.3+8</f>
        <v>64.3</v>
      </c>
      <c r="R123" s="123">
        <v>63</v>
      </c>
      <c r="S123" s="123">
        <f t="shared" ref="S123" si="282">R123/Q123*100</f>
        <v>97.978227060653182</v>
      </c>
      <c r="T123" s="123">
        <f>43.7-35.1</f>
        <v>8.6000000000000014</v>
      </c>
      <c r="U123" s="123">
        <v>8.6</v>
      </c>
      <c r="V123" s="123">
        <f t="shared" ref="V123" si="283">U123/T123*100</f>
        <v>99.999999999999972</v>
      </c>
      <c r="W123" s="123">
        <f>24.5+35.1-8</f>
        <v>51.6</v>
      </c>
      <c r="X123" s="123">
        <v>50.9</v>
      </c>
      <c r="Y123" s="123">
        <f t="shared" si="278"/>
        <v>98.643410852713174</v>
      </c>
      <c r="Z123" s="123">
        <v>24.5</v>
      </c>
      <c r="AA123" s="123">
        <v>0</v>
      </c>
      <c r="AB123" s="123">
        <f t="shared" ref="AB123" si="284">AA123/Z123*100</f>
        <v>0</v>
      </c>
      <c r="AC123" s="123">
        <v>24.5</v>
      </c>
      <c r="AD123" s="123">
        <v>0</v>
      </c>
      <c r="AE123" s="123">
        <f t="shared" ref="AE123" si="285">AD123/AC123*100</f>
        <v>0</v>
      </c>
      <c r="AF123" s="123">
        <f>24.4-23.4</f>
        <v>1</v>
      </c>
      <c r="AG123" s="123">
        <v>0</v>
      </c>
      <c r="AH123" s="123">
        <f t="shared" ref="AH123" si="286">AG123/AF123*100</f>
        <v>0</v>
      </c>
      <c r="AI123" s="123">
        <v>40.9</v>
      </c>
      <c r="AJ123" s="123">
        <v>0</v>
      </c>
      <c r="AK123" s="123">
        <v>0</v>
      </c>
      <c r="AL123" s="123">
        <v>47.9</v>
      </c>
      <c r="AM123" s="123">
        <v>0</v>
      </c>
      <c r="AN123" s="123">
        <v>0</v>
      </c>
      <c r="AO123" s="123">
        <f>51.4-6.9</f>
        <v>44.5</v>
      </c>
      <c r="AP123" s="123">
        <v>0</v>
      </c>
      <c r="AQ123" s="227">
        <v>0</v>
      </c>
      <c r="AR123" s="458"/>
      <c r="AS123" s="459"/>
      <c r="AT123" s="228"/>
      <c r="AU123" s="228"/>
      <c r="AV123" s="229"/>
    </row>
    <row r="124" spans="1:48" s="230" customFormat="1" ht="24">
      <c r="A124" s="452"/>
      <c r="B124" s="453"/>
      <c r="C124" s="454"/>
      <c r="D124" s="143" t="s">
        <v>257</v>
      </c>
      <c r="E124" s="123">
        <f t="shared" si="279"/>
        <v>0</v>
      </c>
      <c r="F124" s="123">
        <f t="shared" si="279"/>
        <v>0</v>
      </c>
      <c r="G124" s="123">
        <v>0</v>
      </c>
      <c r="H124" s="123">
        <v>0</v>
      </c>
      <c r="I124" s="123">
        <v>0</v>
      </c>
      <c r="J124" s="123">
        <v>0</v>
      </c>
      <c r="K124" s="123">
        <v>0</v>
      </c>
      <c r="L124" s="123">
        <v>0</v>
      </c>
      <c r="M124" s="123">
        <v>0</v>
      </c>
      <c r="N124" s="123">
        <v>0</v>
      </c>
      <c r="O124" s="123">
        <v>0</v>
      </c>
      <c r="P124" s="123">
        <v>0</v>
      </c>
      <c r="Q124" s="123">
        <v>0</v>
      </c>
      <c r="R124" s="123">
        <v>0</v>
      </c>
      <c r="S124" s="123">
        <v>0</v>
      </c>
      <c r="T124" s="123">
        <v>0</v>
      </c>
      <c r="U124" s="123">
        <v>0</v>
      </c>
      <c r="V124" s="123">
        <v>0</v>
      </c>
      <c r="W124" s="123">
        <v>0</v>
      </c>
      <c r="X124" s="123">
        <v>0</v>
      </c>
      <c r="Y124" s="123">
        <v>0</v>
      </c>
      <c r="Z124" s="123">
        <v>0</v>
      </c>
      <c r="AA124" s="123">
        <v>0</v>
      </c>
      <c r="AB124" s="123">
        <v>0</v>
      </c>
      <c r="AC124" s="123">
        <v>0</v>
      </c>
      <c r="AD124" s="123">
        <v>0</v>
      </c>
      <c r="AE124" s="123">
        <v>0</v>
      </c>
      <c r="AF124" s="123">
        <v>0</v>
      </c>
      <c r="AG124" s="123">
        <v>0</v>
      </c>
      <c r="AH124" s="123">
        <v>0</v>
      </c>
      <c r="AI124" s="123">
        <v>0</v>
      </c>
      <c r="AJ124" s="123">
        <v>0</v>
      </c>
      <c r="AK124" s="123">
        <v>0</v>
      </c>
      <c r="AL124" s="123">
        <v>0</v>
      </c>
      <c r="AM124" s="123">
        <v>0</v>
      </c>
      <c r="AN124" s="123">
        <v>0</v>
      </c>
      <c r="AO124" s="123">
        <v>0</v>
      </c>
      <c r="AP124" s="123">
        <v>0</v>
      </c>
      <c r="AQ124" s="227">
        <v>0</v>
      </c>
      <c r="AR124" s="458"/>
      <c r="AS124" s="459"/>
      <c r="AT124" s="228"/>
      <c r="AU124" s="228"/>
      <c r="AV124" s="229"/>
    </row>
    <row r="125" spans="1:48" s="230" customFormat="1" ht="28.5" customHeight="1">
      <c r="A125" s="455"/>
      <c r="B125" s="456"/>
      <c r="C125" s="457"/>
      <c r="D125" s="143" t="s">
        <v>460</v>
      </c>
      <c r="E125" s="123">
        <f t="shared" si="279"/>
        <v>0</v>
      </c>
      <c r="F125" s="123">
        <f t="shared" si="279"/>
        <v>0</v>
      </c>
      <c r="G125" s="123">
        <v>0</v>
      </c>
      <c r="H125" s="123">
        <v>0</v>
      </c>
      <c r="I125" s="123">
        <v>0</v>
      </c>
      <c r="J125" s="123">
        <v>0</v>
      </c>
      <c r="K125" s="123">
        <v>0</v>
      </c>
      <c r="L125" s="123">
        <v>0</v>
      </c>
      <c r="M125" s="123">
        <v>0</v>
      </c>
      <c r="N125" s="123">
        <v>0</v>
      </c>
      <c r="O125" s="123">
        <v>0</v>
      </c>
      <c r="P125" s="123">
        <v>0</v>
      </c>
      <c r="Q125" s="123">
        <v>0</v>
      </c>
      <c r="R125" s="123">
        <v>0</v>
      </c>
      <c r="S125" s="123">
        <v>0</v>
      </c>
      <c r="T125" s="123">
        <v>0</v>
      </c>
      <c r="U125" s="123">
        <v>0</v>
      </c>
      <c r="V125" s="123">
        <v>0</v>
      </c>
      <c r="W125" s="123">
        <v>0</v>
      </c>
      <c r="X125" s="123">
        <v>0</v>
      </c>
      <c r="Y125" s="123">
        <v>0</v>
      </c>
      <c r="Z125" s="123">
        <v>0</v>
      </c>
      <c r="AA125" s="123">
        <v>0</v>
      </c>
      <c r="AB125" s="123">
        <v>0</v>
      </c>
      <c r="AC125" s="123">
        <v>0</v>
      </c>
      <c r="AD125" s="123">
        <v>0</v>
      </c>
      <c r="AE125" s="123">
        <v>0</v>
      </c>
      <c r="AF125" s="123">
        <v>0</v>
      </c>
      <c r="AG125" s="123">
        <v>0</v>
      </c>
      <c r="AH125" s="123">
        <v>0</v>
      </c>
      <c r="AI125" s="123">
        <v>0</v>
      </c>
      <c r="AJ125" s="123">
        <v>0</v>
      </c>
      <c r="AK125" s="123">
        <v>0</v>
      </c>
      <c r="AL125" s="123">
        <v>0</v>
      </c>
      <c r="AM125" s="123">
        <v>0</v>
      </c>
      <c r="AN125" s="123">
        <v>0</v>
      </c>
      <c r="AO125" s="123">
        <v>0</v>
      </c>
      <c r="AP125" s="123">
        <v>0</v>
      </c>
      <c r="AQ125" s="227">
        <v>0</v>
      </c>
      <c r="AR125" s="458"/>
      <c r="AS125" s="459"/>
      <c r="AT125" s="228"/>
      <c r="AU125" s="228"/>
      <c r="AV125" s="229"/>
    </row>
    <row r="126" spans="1:48" s="230" customFormat="1" ht="15.75" customHeight="1">
      <c r="A126" s="449" t="s">
        <v>484</v>
      </c>
      <c r="B126" s="450"/>
      <c r="C126" s="451"/>
      <c r="D126" s="143" t="s">
        <v>443</v>
      </c>
      <c r="E126" s="123">
        <f>E127+E128+E129</f>
        <v>35530.1</v>
      </c>
      <c r="F126" s="123">
        <f>F127+F128+F129</f>
        <v>15325.699999999999</v>
      </c>
      <c r="G126" s="123">
        <f>F126/E126*100</f>
        <v>43.134412793659457</v>
      </c>
      <c r="H126" s="123">
        <f t="shared" ref="H126:I126" si="287">H127+H128+H129</f>
        <v>1188.5999999999999</v>
      </c>
      <c r="I126" s="123">
        <f t="shared" si="287"/>
        <v>1188.5999999999999</v>
      </c>
      <c r="J126" s="123">
        <f>I126/H126*100</f>
        <v>100</v>
      </c>
      <c r="K126" s="123">
        <f t="shared" ref="K126:L126" si="288">K127+K128+K129</f>
        <v>2644.3</v>
      </c>
      <c r="L126" s="123">
        <f t="shared" si="288"/>
        <v>2644.3</v>
      </c>
      <c r="M126" s="123">
        <f>L126/K126*100</f>
        <v>100</v>
      </c>
      <c r="N126" s="123">
        <f t="shared" ref="N126:O126" si="289">N127+N128+N129</f>
        <v>2616</v>
      </c>
      <c r="O126" s="123">
        <f t="shared" si="289"/>
        <v>2607.3000000000002</v>
      </c>
      <c r="P126" s="123">
        <f>O126/N126*100</f>
        <v>99.667431192660558</v>
      </c>
      <c r="Q126" s="123">
        <f t="shared" ref="Q126:R126" si="290">Q127+Q128+Q129</f>
        <v>2950</v>
      </c>
      <c r="R126" s="123">
        <f t="shared" si="290"/>
        <v>2964.4</v>
      </c>
      <c r="S126" s="123">
        <f t="shared" ref="S126" si="291">R126/Q126*100</f>
        <v>100.48813559322033</v>
      </c>
      <c r="T126" s="123">
        <f>T127+T128+T129</f>
        <v>2756.7999999999997</v>
      </c>
      <c r="U126" s="123">
        <f t="shared" ref="U126" si="292">U127+U128+U129</f>
        <v>2728.7999999999997</v>
      </c>
      <c r="V126" s="123">
        <f t="shared" ref="V126" si="293">U126/T126*100</f>
        <v>98.984329657573994</v>
      </c>
      <c r="W126" s="123">
        <f t="shared" ref="W126:AD126" si="294">W127+W128+W129</f>
        <v>3178.2000000000003</v>
      </c>
      <c r="X126" s="123">
        <f t="shared" si="294"/>
        <v>3192.3</v>
      </c>
      <c r="Y126" s="123">
        <f t="shared" ref="Y126:Y127" si="295">X126/W126*100</f>
        <v>100.44364734755521</v>
      </c>
      <c r="Z126" s="123">
        <f t="shared" si="294"/>
        <v>3673.5</v>
      </c>
      <c r="AA126" s="123">
        <f t="shared" si="294"/>
        <v>0</v>
      </c>
      <c r="AB126" s="123">
        <f>AA126/Z126*100</f>
        <v>0</v>
      </c>
      <c r="AC126" s="123">
        <f t="shared" si="294"/>
        <v>3293.3</v>
      </c>
      <c r="AD126" s="123">
        <f t="shared" si="294"/>
        <v>0</v>
      </c>
      <c r="AE126" s="123">
        <f>AD126/AC126*100</f>
        <v>0</v>
      </c>
      <c r="AF126" s="123">
        <f t="shared" ref="AF126:AG126" si="296">AF127+AF128+AF129</f>
        <v>2681.7</v>
      </c>
      <c r="AG126" s="123">
        <f t="shared" si="296"/>
        <v>0</v>
      </c>
      <c r="AH126" s="123">
        <f>AG126/AF126*100</f>
        <v>0</v>
      </c>
      <c r="AI126" s="123">
        <v>0</v>
      </c>
      <c r="AJ126" s="123">
        <f t="shared" ref="AJ126" si="297">AJ127+AJ128+AJ129</f>
        <v>0</v>
      </c>
      <c r="AK126" s="123">
        <v>0</v>
      </c>
      <c r="AL126" s="123">
        <f t="shared" ref="AL126:AM126" si="298">AL127+AL128+AL129</f>
        <v>3758.5</v>
      </c>
      <c r="AM126" s="123">
        <f t="shared" si="298"/>
        <v>0</v>
      </c>
      <c r="AN126" s="123">
        <v>0</v>
      </c>
      <c r="AO126" s="123">
        <f t="shared" ref="AO126:AP126" si="299">AO127+AO128+AO129</f>
        <v>4119.8</v>
      </c>
      <c r="AP126" s="123">
        <f t="shared" si="299"/>
        <v>0</v>
      </c>
      <c r="AQ126" s="227">
        <f>AP126/AO126*100</f>
        <v>0</v>
      </c>
      <c r="AR126" s="458"/>
      <c r="AS126" s="459"/>
      <c r="AT126" s="228"/>
      <c r="AU126" s="228"/>
      <c r="AV126" s="229"/>
    </row>
    <row r="127" spans="1:48" s="230" customFormat="1" ht="35.25" customHeight="1">
      <c r="A127" s="452"/>
      <c r="B127" s="453"/>
      <c r="C127" s="454"/>
      <c r="D127" s="220" t="s">
        <v>441</v>
      </c>
      <c r="E127" s="123">
        <f>H127+K127+N127+Q127+T127+W127+Z127+AC127+AF127+AI127+AL127+AO127</f>
        <v>130</v>
      </c>
      <c r="F127" s="123">
        <f>I127+L127+O127+R127+U127+X127+AA127+AD127+AG127+AJ127+AM127+AP127</f>
        <v>38.900000000000006</v>
      </c>
      <c r="G127" s="123">
        <f>F127/E127*100</f>
        <v>29.92307692307693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23">
        <v>0</v>
      </c>
      <c r="N127" s="123">
        <v>0</v>
      </c>
      <c r="O127" s="123">
        <v>0</v>
      </c>
      <c r="P127" s="123">
        <v>0</v>
      </c>
      <c r="Q127" s="123">
        <v>0</v>
      </c>
      <c r="R127" s="123">
        <v>0</v>
      </c>
      <c r="S127" s="123">
        <v>0</v>
      </c>
      <c r="T127" s="123">
        <v>21.1</v>
      </c>
      <c r="U127" s="123">
        <v>21.1</v>
      </c>
      <c r="V127" s="123">
        <f t="shared" ref="V127:V128" si="300">U127/T127*100</f>
        <v>100</v>
      </c>
      <c r="W127" s="123">
        <v>18.899999999999999</v>
      </c>
      <c r="X127" s="123">
        <v>17.8</v>
      </c>
      <c r="Y127" s="123">
        <f t="shared" si="295"/>
        <v>94.179894179894191</v>
      </c>
      <c r="Z127" s="123">
        <v>13</v>
      </c>
      <c r="AA127" s="123">
        <v>0</v>
      </c>
      <c r="AB127" s="123">
        <v>0</v>
      </c>
      <c r="AC127" s="123">
        <v>13</v>
      </c>
      <c r="AD127" s="123">
        <v>0</v>
      </c>
      <c r="AE127" s="123">
        <v>0</v>
      </c>
      <c r="AF127" s="123">
        <v>13.1</v>
      </c>
      <c r="AG127" s="123">
        <v>0</v>
      </c>
      <c r="AH127" s="123">
        <v>0</v>
      </c>
      <c r="AI127" s="123">
        <v>13</v>
      </c>
      <c r="AJ127" s="123">
        <v>0</v>
      </c>
      <c r="AK127" s="123">
        <v>0</v>
      </c>
      <c r="AL127" s="123">
        <v>13</v>
      </c>
      <c r="AM127" s="123">
        <v>0</v>
      </c>
      <c r="AN127" s="123">
        <v>0</v>
      </c>
      <c r="AO127" s="123">
        <f>5.1+19.8</f>
        <v>24.9</v>
      </c>
      <c r="AP127" s="123">
        <v>0</v>
      </c>
      <c r="AQ127" s="227">
        <v>0</v>
      </c>
      <c r="AR127" s="458"/>
      <c r="AS127" s="459"/>
      <c r="AT127" s="228"/>
      <c r="AU127" s="228"/>
      <c r="AV127" s="229"/>
    </row>
    <row r="128" spans="1:48" s="230" customFormat="1" ht="12.75" customHeight="1">
      <c r="A128" s="452"/>
      <c r="B128" s="453"/>
      <c r="C128" s="454"/>
      <c r="D128" s="220" t="s">
        <v>455</v>
      </c>
      <c r="E128" s="123">
        <f>H128+K128+N128+Q128+T128+W128+Z128+AC128+AF128+AI128+AL128+AO128</f>
        <v>35400.1</v>
      </c>
      <c r="F128" s="123">
        <f t="shared" ref="F128:F130" si="301">I128+L128+O128+R128+U128+X128+AA128+AD128+AG128+AJ128+AM128+AP128</f>
        <v>15286.8</v>
      </c>
      <c r="G128" s="123">
        <f>F128/E128*100</f>
        <v>43.182928861782877</v>
      </c>
      <c r="H128" s="123">
        <v>1188.5999999999999</v>
      </c>
      <c r="I128" s="123">
        <v>1188.5999999999999</v>
      </c>
      <c r="J128" s="123">
        <f>I128/H128*100</f>
        <v>100</v>
      </c>
      <c r="K128" s="123">
        <v>2644.3</v>
      </c>
      <c r="L128" s="123">
        <v>2644.3</v>
      </c>
      <c r="M128" s="123">
        <f>L128/K128*100</f>
        <v>100</v>
      </c>
      <c r="N128" s="123">
        <v>2616</v>
      </c>
      <c r="O128" s="123">
        <v>2607.3000000000002</v>
      </c>
      <c r="P128" s="123">
        <f>O128/N128*100</f>
        <v>99.667431192660558</v>
      </c>
      <c r="Q128" s="123">
        <f>3141.5-141.5-50</f>
        <v>2950</v>
      </c>
      <c r="R128" s="123">
        <v>2964.4</v>
      </c>
      <c r="S128" s="123">
        <f t="shared" ref="S128" si="302">R128/Q128*100</f>
        <v>100.48813559322033</v>
      </c>
      <c r="T128" s="123">
        <f>2785.7-50</f>
        <v>2735.7</v>
      </c>
      <c r="U128" s="123">
        <v>2707.7</v>
      </c>
      <c r="V128" s="123">
        <f t="shared" si="300"/>
        <v>98.976495960814418</v>
      </c>
      <c r="W128" s="123">
        <f>3295.4-136.1</f>
        <v>3159.3</v>
      </c>
      <c r="X128" s="123">
        <v>3174.5</v>
      </c>
      <c r="Y128" s="123">
        <f t="shared" ref="Y128" si="303">X128/W128*100</f>
        <v>100.48111923527362</v>
      </c>
      <c r="Z128" s="123">
        <v>3660.5</v>
      </c>
      <c r="AA128" s="123">
        <v>0</v>
      </c>
      <c r="AB128" s="123">
        <f>AA128/Z128*100</f>
        <v>0</v>
      </c>
      <c r="AC128" s="123">
        <v>3280.3</v>
      </c>
      <c r="AD128" s="123">
        <v>0</v>
      </c>
      <c r="AE128" s="123">
        <f>AD128/AC128*100</f>
        <v>0</v>
      </c>
      <c r="AF128" s="123">
        <f>2660.1+8.5</f>
        <v>2668.6</v>
      </c>
      <c r="AG128" s="123">
        <v>0</v>
      </c>
      <c r="AH128" s="123">
        <f>AG128/AF128*100</f>
        <v>0</v>
      </c>
      <c r="AI128" s="123">
        <v>2656.4</v>
      </c>
      <c r="AJ128" s="123">
        <v>0</v>
      </c>
      <c r="AK128" s="123">
        <v>0</v>
      </c>
      <c r="AL128" s="123">
        <f>2456.7+1288.8</f>
        <v>3745.5</v>
      </c>
      <c r="AM128" s="123">
        <v>0</v>
      </c>
      <c r="AN128" s="123">
        <v>0</v>
      </c>
      <c r="AO128" s="123">
        <v>4094.9</v>
      </c>
      <c r="AP128" s="123">
        <v>0</v>
      </c>
      <c r="AQ128" s="227">
        <f>AP128/AO128*100</f>
        <v>0</v>
      </c>
      <c r="AR128" s="458"/>
      <c r="AS128" s="459"/>
      <c r="AT128" s="228"/>
      <c r="AU128" s="228"/>
      <c r="AV128" s="229"/>
    </row>
    <row r="129" spans="1:64" s="230" customFormat="1" ht="24">
      <c r="A129" s="452"/>
      <c r="B129" s="453"/>
      <c r="C129" s="454"/>
      <c r="D129" s="143" t="s">
        <v>257</v>
      </c>
      <c r="E129" s="123">
        <f t="shared" ref="E129:E130" si="304">H129+K129+N129+Q129+T129+W129+Z129+AC129+AF129+AI129+AL129+AO129</f>
        <v>0</v>
      </c>
      <c r="F129" s="123">
        <f t="shared" si="301"/>
        <v>0</v>
      </c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3">
        <v>0</v>
      </c>
      <c r="O129" s="123">
        <v>0</v>
      </c>
      <c r="P129" s="123">
        <v>0</v>
      </c>
      <c r="Q129" s="123">
        <v>0</v>
      </c>
      <c r="R129" s="123">
        <v>0</v>
      </c>
      <c r="S129" s="123">
        <v>0</v>
      </c>
      <c r="T129" s="123">
        <v>0</v>
      </c>
      <c r="U129" s="123">
        <v>0</v>
      </c>
      <c r="V129" s="123">
        <v>0</v>
      </c>
      <c r="W129" s="123">
        <v>0</v>
      </c>
      <c r="X129" s="123">
        <v>0</v>
      </c>
      <c r="Y129" s="123">
        <v>0</v>
      </c>
      <c r="Z129" s="123">
        <v>0</v>
      </c>
      <c r="AA129" s="123">
        <v>0</v>
      </c>
      <c r="AB129" s="123">
        <v>0</v>
      </c>
      <c r="AC129" s="123">
        <v>0</v>
      </c>
      <c r="AD129" s="123">
        <v>0</v>
      </c>
      <c r="AE129" s="123">
        <v>0</v>
      </c>
      <c r="AF129" s="123">
        <v>0</v>
      </c>
      <c r="AG129" s="123">
        <v>0</v>
      </c>
      <c r="AH129" s="123">
        <v>0</v>
      </c>
      <c r="AI129" s="123">
        <v>0</v>
      </c>
      <c r="AJ129" s="123">
        <v>0</v>
      </c>
      <c r="AK129" s="123">
        <v>0</v>
      </c>
      <c r="AL129" s="123">
        <v>0</v>
      </c>
      <c r="AM129" s="123">
        <v>0</v>
      </c>
      <c r="AN129" s="123">
        <v>0</v>
      </c>
      <c r="AO129" s="123">
        <v>0</v>
      </c>
      <c r="AP129" s="123">
        <v>0</v>
      </c>
      <c r="AQ129" s="227">
        <v>0</v>
      </c>
      <c r="AR129" s="458"/>
      <c r="AS129" s="459"/>
      <c r="AT129" s="228"/>
      <c r="AU129" s="228"/>
      <c r="AV129" s="229"/>
    </row>
    <row r="130" spans="1:64" s="230" customFormat="1" ht="12.75" customHeight="1">
      <c r="A130" s="455"/>
      <c r="B130" s="456"/>
      <c r="C130" s="457"/>
      <c r="D130" s="143" t="s">
        <v>460</v>
      </c>
      <c r="E130" s="123">
        <f t="shared" si="304"/>
        <v>0</v>
      </c>
      <c r="F130" s="123">
        <f t="shared" si="301"/>
        <v>0</v>
      </c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3">
        <v>0</v>
      </c>
      <c r="O130" s="123">
        <v>0</v>
      </c>
      <c r="P130" s="123">
        <v>0</v>
      </c>
      <c r="Q130" s="123">
        <v>0</v>
      </c>
      <c r="R130" s="123">
        <v>0</v>
      </c>
      <c r="S130" s="123">
        <v>0</v>
      </c>
      <c r="T130" s="123">
        <v>0</v>
      </c>
      <c r="U130" s="123">
        <v>0</v>
      </c>
      <c r="V130" s="123">
        <v>0</v>
      </c>
      <c r="W130" s="123">
        <v>0</v>
      </c>
      <c r="X130" s="123">
        <v>0</v>
      </c>
      <c r="Y130" s="123">
        <v>0</v>
      </c>
      <c r="Z130" s="123">
        <v>0</v>
      </c>
      <c r="AA130" s="123">
        <v>0</v>
      </c>
      <c r="AB130" s="123">
        <v>0</v>
      </c>
      <c r="AC130" s="123">
        <v>0</v>
      </c>
      <c r="AD130" s="123">
        <v>0</v>
      </c>
      <c r="AE130" s="123">
        <v>0</v>
      </c>
      <c r="AF130" s="123">
        <v>0</v>
      </c>
      <c r="AG130" s="123">
        <v>0</v>
      </c>
      <c r="AH130" s="123">
        <v>0</v>
      </c>
      <c r="AI130" s="123">
        <v>0</v>
      </c>
      <c r="AJ130" s="123">
        <v>0</v>
      </c>
      <c r="AK130" s="123">
        <v>0</v>
      </c>
      <c r="AL130" s="123">
        <v>0</v>
      </c>
      <c r="AM130" s="123">
        <v>0</v>
      </c>
      <c r="AN130" s="123">
        <v>0</v>
      </c>
      <c r="AO130" s="123">
        <v>0</v>
      </c>
      <c r="AP130" s="123">
        <v>0</v>
      </c>
      <c r="AQ130" s="227">
        <v>0</v>
      </c>
      <c r="AR130" s="458"/>
      <c r="AS130" s="459"/>
      <c r="AT130" s="228"/>
      <c r="AU130" s="228"/>
      <c r="AV130" s="229"/>
    </row>
    <row r="131" spans="1:64" s="230" customFormat="1" ht="12.75">
      <c r="A131" s="449" t="s">
        <v>500</v>
      </c>
      <c r="B131" s="450"/>
      <c r="C131" s="451"/>
      <c r="D131" s="143" t="s">
        <v>443</v>
      </c>
      <c r="E131" s="123">
        <f>E132+E133+E134</f>
        <v>221.59999999999997</v>
      </c>
      <c r="F131" s="123">
        <f>F132+F133+F134</f>
        <v>94.899999999999991</v>
      </c>
      <c r="G131" s="123">
        <f>F131/E131*100</f>
        <v>42.824909747292423</v>
      </c>
      <c r="H131" s="123">
        <f t="shared" ref="H131:I131" si="305">H132+H133+H134</f>
        <v>0</v>
      </c>
      <c r="I131" s="123">
        <f t="shared" si="305"/>
        <v>0</v>
      </c>
      <c r="J131" s="123">
        <v>0</v>
      </c>
      <c r="K131" s="123">
        <f t="shared" ref="K131:L131" si="306">K132+K133+K134</f>
        <v>0</v>
      </c>
      <c r="L131" s="123">
        <f t="shared" si="306"/>
        <v>0</v>
      </c>
      <c r="M131" s="123">
        <v>0</v>
      </c>
      <c r="N131" s="123">
        <f t="shared" ref="N131:O131" si="307">N132+N133+N134</f>
        <v>0</v>
      </c>
      <c r="O131" s="123">
        <f t="shared" si="307"/>
        <v>0</v>
      </c>
      <c r="P131" s="123">
        <v>0</v>
      </c>
      <c r="Q131" s="123">
        <f t="shared" ref="Q131:R131" si="308">Q132+Q133+Q134</f>
        <v>52.400000000000006</v>
      </c>
      <c r="R131" s="123">
        <f t="shared" si="308"/>
        <v>28.6</v>
      </c>
      <c r="S131" s="123">
        <f t="shared" ref="S131" si="309">R131/Q131*100</f>
        <v>54.580152671755719</v>
      </c>
      <c r="T131" s="123">
        <f>T132+T133+T134</f>
        <v>44.9</v>
      </c>
      <c r="U131" s="123">
        <f t="shared" ref="U131" si="310">U132+U133+U134</f>
        <v>37.6</v>
      </c>
      <c r="V131" s="123">
        <f t="shared" ref="V131:V133" si="311">U131/T131*100</f>
        <v>83.741648106904236</v>
      </c>
      <c r="W131" s="123">
        <f t="shared" ref="W131:X131" si="312">W132+W133+W134</f>
        <v>31.499999999999996</v>
      </c>
      <c r="X131" s="123">
        <f t="shared" si="312"/>
        <v>28.7</v>
      </c>
      <c r="Y131" s="123">
        <f t="shared" ref="Y131:Y133" si="313">X131/W131*100</f>
        <v>91.111111111111114</v>
      </c>
      <c r="Z131" s="123">
        <f t="shared" ref="Z131:AA131" si="314">Z132+Z133+Z134</f>
        <v>38.299999999999997</v>
      </c>
      <c r="AA131" s="123">
        <f t="shared" si="314"/>
        <v>0</v>
      </c>
      <c r="AB131" s="123">
        <f>AA131/Z131*100</f>
        <v>0</v>
      </c>
      <c r="AC131" s="123">
        <f t="shared" ref="AC131:AD131" si="315">AC132+AC133+AC134</f>
        <v>32.799999999999997</v>
      </c>
      <c r="AD131" s="123">
        <f t="shared" si="315"/>
        <v>0</v>
      </c>
      <c r="AE131" s="123">
        <f>AD131/AC131*100</f>
        <v>0</v>
      </c>
      <c r="AF131" s="123">
        <f t="shared" ref="AF131:AG131" si="316">AF132+AF133+AF134</f>
        <v>21.7</v>
      </c>
      <c r="AG131" s="123">
        <f t="shared" si="316"/>
        <v>0</v>
      </c>
      <c r="AH131" s="123">
        <f>AG131/AF131*100</f>
        <v>0</v>
      </c>
      <c r="AI131" s="123">
        <v>0</v>
      </c>
      <c r="AJ131" s="123">
        <f t="shared" ref="AJ131" si="317">AJ132+AJ133+AJ134</f>
        <v>0</v>
      </c>
      <c r="AK131" s="123">
        <v>0</v>
      </c>
      <c r="AL131" s="123">
        <f t="shared" ref="AL131:AM131" si="318">AL132+AL133+AL134</f>
        <v>0</v>
      </c>
      <c r="AM131" s="123">
        <f t="shared" si="318"/>
        <v>0</v>
      </c>
      <c r="AN131" s="123">
        <v>0</v>
      </c>
      <c r="AO131" s="123">
        <f t="shared" ref="AO131:AP131" si="319">AO132+AO133+AO134</f>
        <v>0</v>
      </c>
      <c r="AP131" s="123">
        <f t="shared" si="319"/>
        <v>0</v>
      </c>
      <c r="AQ131" s="227" t="e">
        <f>AP131/AO131*100</f>
        <v>#DIV/0!</v>
      </c>
      <c r="AR131" s="458"/>
      <c r="AS131" s="459"/>
      <c r="AT131" s="228"/>
      <c r="AU131" s="228"/>
      <c r="AV131" s="229"/>
    </row>
    <row r="132" spans="1:64" s="230" customFormat="1" ht="48">
      <c r="A132" s="452"/>
      <c r="B132" s="453"/>
      <c r="C132" s="454"/>
      <c r="D132" s="220" t="s">
        <v>441</v>
      </c>
      <c r="E132" s="123">
        <f>H132+K132+N132+Q132+T132+W132+Z132+AC132+AF132+AI132+AL132+AO132</f>
        <v>120</v>
      </c>
      <c r="F132" s="123">
        <f>I132+L132+O132+R132+U132+X132+AA132+AD132+AG132+AJ132+AM132+AP132</f>
        <v>35.799999999999997</v>
      </c>
      <c r="G132" s="123">
        <f>F132/E132*100</f>
        <v>29.833333333333329</v>
      </c>
      <c r="H132" s="123">
        <v>0</v>
      </c>
      <c r="I132" s="123">
        <v>0</v>
      </c>
      <c r="J132" s="123">
        <v>0</v>
      </c>
      <c r="K132" s="123">
        <v>0</v>
      </c>
      <c r="L132" s="123">
        <v>0</v>
      </c>
      <c r="M132" s="123">
        <v>0</v>
      </c>
      <c r="N132" s="123">
        <v>0</v>
      </c>
      <c r="O132" s="123">
        <v>0</v>
      </c>
      <c r="P132" s="123">
        <v>0</v>
      </c>
      <c r="Q132" s="123">
        <v>22.4</v>
      </c>
      <c r="R132" s="123">
        <v>0</v>
      </c>
      <c r="S132" s="123">
        <v>0</v>
      </c>
      <c r="T132" s="123">
        <v>14.9</v>
      </c>
      <c r="U132" s="123">
        <v>14.9</v>
      </c>
      <c r="V132" s="123">
        <f t="shared" si="311"/>
        <v>100</v>
      </c>
      <c r="W132" s="123">
        <v>20.9</v>
      </c>
      <c r="X132" s="123">
        <v>20.9</v>
      </c>
      <c r="Y132" s="123">
        <f t="shared" si="313"/>
        <v>100</v>
      </c>
      <c r="Z132" s="123">
        <v>20.7</v>
      </c>
      <c r="AA132" s="123">
        <v>0</v>
      </c>
      <c r="AB132" s="123">
        <v>0</v>
      </c>
      <c r="AC132" s="123">
        <v>20.7</v>
      </c>
      <c r="AD132" s="123">
        <v>0</v>
      </c>
      <c r="AE132" s="123">
        <v>0</v>
      </c>
      <c r="AF132" s="123">
        <f>1.2+19.2</f>
        <v>20.399999999999999</v>
      </c>
      <c r="AG132" s="123">
        <v>0</v>
      </c>
      <c r="AH132" s="123">
        <v>0</v>
      </c>
      <c r="AI132" s="123">
        <v>0</v>
      </c>
      <c r="AJ132" s="123">
        <v>0</v>
      </c>
      <c r="AK132" s="123">
        <v>0</v>
      </c>
      <c r="AL132" s="123">
        <v>0</v>
      </c>
      <c r="AM132" s="123">
        <v>0</v>
      </c>
      <c r="AN132" s="123">
        <v>0</v>
      </c>
      <c r="AO132" s="123">
        <v>0</v>
      </c>
      <c r="AP132" s="123">
        <v>0</v>
      </c>
      <c r="AQ132" s="227">
        <v>0</v>
      </c>
      <c r="AR132" s="458"/>
      <c r="AS132" s="459"/>
      <c r="AT132" s="228"/>
      <c r="AU132" s="228"/>
      <c r="AV132" s="229"/>
    </row>
    <row r="133" spans="1:64" s="230" customFormat="1" ht="12.75" customHeight="1">
      <c r="A133" s="452"/>
      <c r="B133" s="453"/>
      <c r="C133" s="454"/>
      <c r="D133" s="220" t="s">
        <v>455</v>
      </c>
      <c r="E133" s="123">
        <f>H133+K133+N133+Q133+T133+W133+Z133+AC133+AF133+AI133+AL133+AO133</f>
        <v>101.59999999999998</v>
      </c>
      <c r="F133" s="123">
        <f t="shared" ref="F133:F135" si="320">I133+L133+O133+R133+U133+X133+AA133+AD133+AG133+AJ133+AM133+AP133</f>
        <v>59.099999999999994</v>
      </c>
      <c r="G133" s="123">
        <f>F133/E133*100</f>
        <v>58.169291338582681</v>
      </c>
      <c r="H133" s="123">
        <v>0</v>
      </c>
      <c r="I133" s="123">
        <v>0</v>
      </c>
      <c r="J133" s="123">
        <v>0</v>
      </c>
      <c r="K133" s="123">
        <v>0</v>
      </c>
      <c r="L133" s="123">
        <v>0</v>
      </c>
      <c r="M133" s="123">
        <v>0</v>
      </c>
      <c r="N133" s="123">
        <v>0</v>
      </c>
      <c r="O133" s="123">
        <v>0</v>
      </c>
      <c r="P133" s="123">
        <v>0</v>
      </c>
      <c r="Q133" s="123">
        <f>17.6+9.6+2.8</f>
        <v>30.000000000000004</v>
      </c>
      <c r="R133" s="123">
        <v>28.6</v>
      </c>
      <c r="S133" s="123">
        <f t="shared" ref="S133" si="321">R133/Q133*100</f>
        <v>95.333333333333329</v>
      </c>
      <c r="T133" s="123">
        <f>21.7+8.3</f>
        <v>30</v>
      </c>
      <c r="U133" s="123">
        <v>22.7</v>
      </c>
      <c r="V133" s="123">
        <f t="shared" si="311"/>
        <v>75.666666666666657</v>
      </c>
      <c r="W133" s="123">
        <f>21.7-2.8-8.3</f>
        <v>10.599999999999998</v>
      </c>
      <c r="X133" s="123">
        <v>7.8</v>
      </c>
      <c r="Y133" s="123">
        <f t="shared" si="313"/>
        <v>73.584905660377373</v>
      </c>
      <c r="Z133" s="123">
        <v>17.600000000000001</v>
      </c>
      <c r="AA133" s="123">
        <v>0</v>
      </c>
      <c r="AB133" s="123">
        <v>0</v>
      </c>
      <c r="AC133" s="123">
        <f>21.7-9.6</f>
        <v>12.1</v>
      </c>
      <c r="AD133" s="123">
        <v>0</v>
      </c>
      <c r="AE133" s="123">
        <v>0</v>
      </c>
      <c r="AF133" s="123">
        <v>1.3</v>
      </c>
      <c r="AG133" s="123">
        <v>0</v>
      </c>
      <c r="AH133" s="123">
        <v>0</v>
      </c>
      <c r="AI133" s="123">
        <v>0</v>
      </c>
      <c r="AJ133" s="123">
        <v>0</v>
      </c>
      <c r="AK133" s="123">
        <v>0</v>
      </c>
      <c r="AL133" s="123">
        <v>0</v>
      </c>
      <c r="AM133" s="123">
        <v>0</v>
      </c>
      <c r="AN133" s="123">
        <v>0</v>
      </c>
      <c r="AO133" s="123">
        <v>0</v>
      </c>
      <c r="AP133" s="123">
        <v>0</v>
      </c>
      <c r="AQ133" s="227" t="e">
        <f>AP133/AO133*100</f>
        <v>#DIV/0!</v>
      </c>
      <c r="AR133" s="458"/>
      <c r="AS133" s="459"/>
      <c r="AT133" s="228"/>
      <c r="AU133" s="228"/>
      <c r="AV133" s="229"/>
    </row>
    <row r="134" spans="1:64" s="230" customFormat="1" ht="24">
      <c r="A134" s="452"/>
      <c r="B134" s="453"/>
      <c r="C134" s="454"/>
      <c r="D134" s="143" t="s">
        <v>257</v>
      </c>
      <c r="E134" s="123">
        <f t="shared" ref="E134:E135" si="322">H134+K134+N134+Q134+T134+W134+Z134+AC134+AF134+AI134+AL134+AO134</f>
        <v>0</v>
      </c>
      <c r="F134" s="123">
        <f t="shared" si="320"/>
        <v>0</v>
      </c>
      <c r="G134" s="123">
        <v>0</v>
      </c>
      <c r="H134" s="123">
        <v>0</v>
      </c>
      <c r="I134" s="123">
        <v>0</v>
      </c>
      <c r="J134" s="123">
        <v>0</v>
      </c>
      <c r="K134" s="123">
        <v>0</v>
      </c>
      <c r="L134" s="123">
        <v>0</v>
      </c>
      <c r="M134" s="123">
        <v>0</v>
      </c>
      <c r="N134" s="123">
        <v>0</v>
      </c>
      <c r="O134" s="123">
        <v>0</v>
      </c>
      <c r="P134" s="123">
        <v>0</v>
      </c>
      <c r="Q134" s="123">
        <v>0</v>
      </c>
      <c r="R134" s="123">
        <v>0</v>
      </c>
      <c r="S134" s="123">
        <v>0</v>
      </c>
      <c r="T134" s="123">
        <v>0</v>
      </c>
      <c r="U134" s="123">
        <v>0</v>
      </c>
      <c r="V134" s="123">
        <v>0</v>
      </c>
      <c r="W134" s="123">
        <v>0</v>
      </c>
      <c r="X134" s="123">
        <v>0</v>
      </c>
      <c r="Y134" s="123">
        <v>0</v>
      </c>
      <c r="Z134" s="123">
        <v>0</v>
      </c>
      <c r="AA134" s="123">
        <v>0</v>
      </c>
      <c r="AB134" s="123">
        <v>0</v>
      </c>
      <c r="AC134" s="123">
        <v>0</v>
      </c>
      <c r="AD134" s="123">
        <v>0</v>
      </c>
      <c r="AE134" s="123">
        <v>0</v>
      </c>
      <c r="AF134" s="123">
        <v>0</v>
      </c>
      <c r="AG134" s="123">
        <v>0</v>
      </c>
      <c r="AH134" s="123">
        <v>0</v>
      </c>
      <c r="AI134" s="123">
        <v>0</v>
      </c>
      <c r="AJ134" s="123">
        <v>0</v>
      </c>
      <c r="AK134" s="123">
        <v>0</v>
      </c>
      <c r="AL134" s="123">
        <v>0</v>
      </c>
      <c r="AM134" s="123">
        <v>0</v>
      </c>
      <c r="AN134" s="123">
        <v>0</v>
      </c>
      <c r="AO134" s="123">
        <v>0</v>
      </c>
      <c r="AP134" s="123">
        <v>0</v>
      </c>
      <c r="AQ134" s="227">
        <v>0</v>
      </c>
      <c r="AR134" s="458"/>
      <c r="AS134" s="459"/>
      <c r="AT134" s="228"/>
      <c r="AU134" s="228"/>
      <c r="AV134" s="229"/>
    </row>
    <row r="135" spans="1:64" s="230" customFormat="1" ht="24">
      <c r="A135" s="455"/>
      <c r="B135" s="456"/>
      <c r="C135" s="457"/>
      <c r="D135" s="143" t="s">
        <v>460</v>
      </c>
      <c r="E135" s="123">
        <f t="shared" si="322"/>
        <v>0</v>
      </c>
      <c r="F135" s="123">
        <f t="shared" si="320"/>
        <v>0</v>
      </c>
      <c r="G135" s="123">
        <v>0</v>
      </c>
      <c r="H135" s="123">
        <v>0</v>
      </c>
      <c r="I135" s="123">
        <v>0</v>
      </c>
      <c r="J135" s="123">
        <v>0</v>
      </c>
      <c r="K135" s="123">
        <v>0</v>
      </c>
      <c r="L135" s="123">
        <v>0</v>
      </c>
      <c r="M135" s="123">
        <v>0</v>
      </c>
      <c r="N135" s="123">
        <v>0</v>
      </c>
      <c r="O135" s="123">
        <v>0</v>
      </c>
      <c r="P135" s="123">
        <v>0</v>
      </c>
      <c r="Q135" s="123">
        <v>0</v>
      </c>
      <c r="R135" s="123">
        <v>0</v>
      </c>
      <c r="S135" s="123">
        <v>0</v>
      </c>
      <c r="T135" s="123">
        <v>0</v>
      </c>
      <c r="U135" s="123">
        <v>0</v>
      </c>
      <c r="V135" s="123">
        <v>0</v>
      </c>
      <c r="W135" s="123">
        <v>0</v>
      </c>
      <c r="X135" s="123">
        <v>0</v>
      </c>
      <c r="Y135" s="123">
        <v>0</v>
      </c>
      <c r="Z135" s="123">
        <v>0</v>
      </c>
      <c r="AA135" s="123">
        <v>0</v>
      </c>
      <c r="AB135" s="123">
        <v>0</v>
      </c>
      <c r="AC135" s="123">
        <v>0</v>
      </c>
      <c r="AD135" s="123">
        <v>0</v>
      </c>
      <c r="AE135" s="123">
        <v>0</v>
      </c>
      <c r="AF135" s="123">
        <v>0</v>
      </c>
      <c r="AG135" s="123">
        <v>0</v>
      </c>
      <c r="AH135" s="123">
        <v>0</v>
      </c>
      <c r="AI135" s="123">
        <v>0</v>
      </c>
      <c r="AJ135" s="123">
        <v>0</v>
      </c>
      <c r="AK135" s="123">
        <v>0</v>
      </c>
      <c r="AL135" s="123">
        <v>0</v>
      </c>
      <c r="AM135" s="123">
        <v>0</v>
      </c>
      <c r="AN135" s="123">
        <v>0</v>
      </c>
      <c r="AO135" s="123">
        <v>0</v>
      </c>
      <c r="AP135" s="123">
        <v>0</v>
      </c>
      <c r="AQ135" s="227">
        <v>0</v>
      </c>
      <c r="AR135" s="458"/>
      <c r="AS135" s="459"/>
      <c r="AT135" s="228"/>
      <c r="AU135" s="228"/>
      <c r="AV135" s="229"/>
    </row>
    <row r="136" spans="1:64" s="230" customFormat="1">
      <c r="A136" s="258"/>
      <c r="B136" s="258"/>
      <c r="C136" s="258"/>
      <c r="D136" s="249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S136" s="250"/>
      <c r="T136" s="250"/>
      <c r="U136" s="250"/>
      <c r="V136" s="250"/>
      <c r="W136" s="250"/>
      <c r="X136" s="250"/>
      <c r="Y136" s="250"/>
      <c r="Z136" s="250"/>
      <c r="AA136" s="250"/>
      <c r="AB136" s="250"/>
      <c r="AC136" s="250"/>
      <c r="AD136" s="250"/>
      <c r="AE136" s="250"/>
      <c r="AF136" s="250"/>
      <c r="AG136" s="250"/>
      <c r="AH136" s="250"/>
      <c r="AI136" s="250"/>
      <c r="AJ136" s="250"/>
      <c r="AK136" s="250"/>
      <c r="AL136" s="250"/>
      <c r="AM136" s="250"/>
      <c r="AN136" s="250"/>
      <c r="AO136" s="250"/>
      <c r="AP136" s="250"/>
      <c r="AQ136" s="250"/>
      <c r="AR136" s="251"/>
      <c r="AS136" s="252"/>
      <c r="AT136" s="228"/>
      <c r="AU136" s="228"/>
      <c r="AV136" s="229"/>
    </row>
    <row r="137" spans="1:64" s="230" customFormat="1" ht="15" customHeight="1">
      <c r="A137" s="245" t="s">
        <v>436</v>
      </c>
      <c r="B137" s="245"/>
      <c r="C137" s="245"/>
      <c r="D137" s="213"/>
      <c r="E137" s="235"/>
      <c r="F137" s="246"/>
      <c r="G137" s="224" t="s">
        <v>437</v>
      </c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12"/>
      <c r="AD137" s="212"/>
      <c r="AE137" s="212"/>
      <c r="AF137" s="212"/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36"/>
      <c r="BI137" s="212"/>
      <c r="BJ137" s="212"/>
      <c r="BK137" s="212"/>
      <c r="BL137" s="212"/>
    </row>
    <row r="138" spans="1:64" s="230" customFormat="1" ht="15" customHeight="1">
      <c r="A138" s="447" t="s">
        <v>438</v>
      </c>
      <c r="B138" s="447"/>
      <c r="C138" s="447"/>
      <c r="D138" s="213"/>
      <c r="E138" s="235"/>
      <c r="F138" s="246"/>
      <c r="G138" s="224" t="s">
        <v>439</v>
      </c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  <c r="AC138" s="212"/>
      <c r="AD138" s="212"/>
      <c r="AE138" s="212"/>
      <c r="AF138" s="212"/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  <c r="BI138" s="212"/>
      <c r="BJ138" s="212"/>
      <c r="BK138" s="212"/>
      <c r="BL138" s="212"/>
    </row>
    <row r="139" spans="1:64" s="230" customFormat="1" ht="24" customHeight="1">
      <c r="A139" s="448" t="s">
        <v>440</v>
      </c>
      <c r="B139" s="448"/>
      <c r="C139" s="448"/>
      <c r="D139" s="448"/>
      <c r="E139" s="448"/>
      <c r="F139" s="246"/>
      <c r="G139" s="224" t="s">
        <v>502</v>
      </c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  <c r="AC139" s="212"/>
      <c r="AD139" s="212"/>
      <c r="AE139" s="212"/>
      <c r="AF139" s="212"/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  <c r="BI139" s="212"/>
      <c r="BJ139" s="212"/>
      <c r="BK139" s="212"/>
      <c r="BL139" s="212"/>
    </row>
    <row r="140" spans="1:64">
      <c r="AO140" s="242"/>
      <c r="AR140" s="244"/>
    </row>
    <row r="141" spans="1:64">
      <c r="AO141" s="242"/>
      <c r="AR141" s="244"/>
    </row>
    <row r="142" spans="1:64">
      <c r="AO142" s="242"/>
      <c r="AR142" s="244"/>
    </row>
    <row r="143" spans="1:64">
      <c r="AO143" s="242"/>
      <c r="AR143" s="244"/>
    </row>
    <row r="144" spans="1:64">
      <c r="AO144" s="242"/>
      <c r="AR144" s="244"/>
    </row>
    <row r="145" spans="41:44">
      <c r="AO145" s="242"/>
      <c r="AR145" s="244"/>
    </row>
    <row r="146" spans="41:44">
      <c r="AO146" s="242"/>
      <c r="AR146" s="244"/>
    </row>
    <row r="147" spans="41:44">
      <c r="AO147" s="242"/>
      <c r="AR147" s="244"/>
    </row>
    <row r="148" spans="41:44">
      <c r="AO148" s="242"/>
      <c r="AR148" s="244"/>
    </row>
    <row r="149" spans="41:44">
      <c r="AO149" s="242"/>
      <c r="AR149" s="244"/>
    </row>
    <row r="150" spans="41:44">
      <c r="AO150" s="242"/>
      <c r="AR150" s="244"/>
    </row>
    <row r="151" spans="41:44">
      <c r="AO151" s="242"/>
      <c r="AR151" s="244"/>
    </row>
    <row r="152" spans="41:44">
      <c r="AO152" s="242"/>
      <c r="AR152" s="244"/>
    </row>
    <row r="153" spans="41:44">
      <c r="AO153" s="242"/>
      <c r="AR153" s="244"/>
    </row>
    <row r="154" spans="41:44">
      <c r="AO154" s="242"/>
      <c r="AR154" s="244"/>
    </row>
    <row r="155" spans="41:44">
      <c r="AO155" s="242"/>
      <c r="AR155" s="244"/>
    </row>
    <row r="156" spans="41:44">
      <c r="AO156" s="242"/>
      <c r="AR156" s="244"/>
    </row>
    <row r="157" spans="41:44">
      <c r="AO157" s="242"/>
      <c r="AR157" s="244"/>
    </row>
    <row r="158" spans="41:44">
      <c r="AO158" s="242"/>
      <c r="AR158" s="244"/>
    </row>
    <row r="159" spans="41:44">
      <c r="AO159" s="242"/>
      <c r="AR159" s="244"/>
    </row>
    <row r="160" spans="41:44">
      <c r="AO160" s="242"/>
      <c r="AR160" s="244"/>
    </row>
    <row r="161" spans="41:44">
      <c r="AO161" s="242"/>
      <c r="AR161" s="244"/>
    </row>
  </sheetData>
  <mergeCells count="112">
    <mergeCell ref="A6:AS6"/>
    <mergeCell ref="A7:AS7"/>
    <mergeCell ref="A9:A10"/>
    <mergeCell ref="B9:B10"/>
    <mergeCell ref="C9:C10"/>
    <mergeCell ref="D9:D10"/>
    <mergeCell ref="E9:G9"/>
    <mergeCell ref="H9:J9"/>
    <mergeCell ref="K9:M9"/>
    <mergeCell ref="N9:P9"/>
    <mergeCell ref="AI9:AK9"/>
    <mergeCell ref="AL9:AN9"/>
    <mergeCell ref="AO9:AQ9"/>
    <mergeCell ref="AR9:AR10"/>
    <mergeCell ref="AS9:AS10"/>
    <mergeCell ref="A11:A16"/>
    <mergeCell ref="B11:C16"/>
    <mergeCell ref="AR11:AR16"/>
    <mergeCell ref="AS11:AS16"/>
    <mergeCell ref="Q9:S9"/>
    <mergeCell ref="T9:V9"/>
    <mergeCell ref="W9:Y9"/>
    <mergeCell ref="Z9:AB9"/>
    <mergeCell ref="AC9:AE9"/>
    <mergeCell ref="AF9:AH9"/>
    <mergeCell ref="A17:A22"/>
    <mergeCell ref="B17:B22"/>
    <mergeCell ref="C17:C22"/>
    <mergeCell ref="AR17:AR22"/>
    <mergeCell ref="AS17:AS22"/>
    <mergeCell ref="A23:A27"/>
    <mergeCell ref="B23:B27"/>
    <mergeCell ref="C23:C27"/>
    <mergeCell ref="AR23:AR27"/>
    <mergeCell ref="AS23:AS27"/>
    <mergeCell ref="A28:A32"/>
    <mergeCell ref="B28:B32"/>
    <mergeCell ref="C28:C32"/>
    <mergeCell ref="AR28:AR32"/>
    <mergeCell ref="AS28:AS32"/>
    <mergeCell ref="A33:A37"/>
    <mergeCell ref="B33:B37"/>
    <mergeCell ref="C33:C37"/>
    <mergeCell ref="AR33:AR37"/>
    <mergeCell ref="AS33:AS37"/>
    <mergeCell ref="A38:A43"/>
    <mergeCell ref="B38:B43"/>
    <mergeCell ref="C38:C43"/>
    <mergeCell ref="AR38:AR43"/>
    <mergeCell ref="AS38:AS43"/>
    <mergeCell ref="A44:A48"/>
    <mergeCell ref="B44:B48"/>
    <mergeCell ref="C44:C48"/>
    <mergeCell ref="AR44:AR48"/>
    <mergeCell ref="AS44:AS48"/>
    <mergeCell ref="A50:A54"/>
    <mergeCell ref="B50:C54"/>
    <mergeCell ref="AR50:AR54"/>
    <mergeCell ref="AS50:AS54"/>
    <mergeCell ref="A56:A60"/>
    <mergeCell ref="B56:B60"/>
    <mergeCell ref="C56:C60"/>
    <mergeCell ref="AR56:AR60"/>
    <mergeCell ref="AS56:AS60"/>
    <mergeCell ref="A61:A66"/>
    <mergeCell ref="B61:C66"/>
    <mergeCell ref="AR61:AR66"/>
    <mergeCell ref="AS61:AS66"/>
    <mergeCell ref="A69:A74"/>
    <mergeCell ref="B69:B74"/>
    <mergeCell ref="C69:C74"/>
    <mergeCell ref="AR69:AR74"/>
    <mergeCell ref="AS69:AS74"/>
    <mergeCell ref="A86:C90"/>
    <mergeCell ref="AR86:AR90"/>
    <mergeCell ref="AS86:AS90"/>
    <mergeCell ref="A91:C91"/>
    <mergeCell ref="A92:C96"/>
    <mergeCell ref="AR92:AR96"/>
    <mergeCell ref="AS92:AS96"/>
    <mergeCell ref="A75:C80"/>
    <mergeCell ref="AR75:AR80"/>
    <mergeCell ref="AS75:AS80"/>
    <mergeCell ref="A81:C85"/>
    <mergeCell ref="AR81:AR85"/>
    <mergeCell ref="AS81:AS85"/>
    <mergeCell ref="A106:C110"/>
    <mergeCell ref="AR106:AR110"/>
    <mergeCell ref="AS106:AS110"/>
    <mergeCell ref="A111:C115"/>
    <mergeCell ref="AR111:AR115"/>
    <mergeCell ref="AS111:AS115"/>
    <mergeCell ref="A97:C101"/>
    <mergeCell ref="AR97:AR101"/>
    <mergeCell ref="AS97:AS101"/>
    <mergeCell ref="A102:C105"/>
    <mergeCell ref="AR102:AR105"/>
    <mergeCell ref="AS102:AS105"/>
    <mergeCell ref="A138:C138"/>
    <mergeCell ref="A139:E139"/>
    <mergeCell ref="A126:C130"/>
    <mergeCell ref="AR126:AR130"/>
    <mergeCell ref="AS126:AS130"/>
    <mergeCell ref="A131:C135"/>
    <mergeCell ref="AR131:AR135"/>
    <mergeCell ref="AS131:AS135"/>
    <mergeCell ref="A116:C120"/>
    <mergeCell ref="AR116:AR120"/>
    <mergeCell ref="AS116:AS120"/>
    <mergeCell ref="A121:C125"/>
    <mergeCell ref="AR121:AR125"/>
    <mergeCell ref="AS121:AS125"/>
  </mergeCells>
  <conditionalFormatting sqref="H115 H126 E15:F15 T52 S73 H34 G50 G45 H22 H15:I15 K15:L15 N15:O15 T49 G47 H42:H53 H32 G38:G39 G36 G56:G76 M69:M71 G41:G42 M41 P41 G20 M20 P20 G78:G81 G14 M14 P14 M78 P78 P72 J71 V41 Y41">
    <cfRule type="cellIs" dxfId="0" priority="22" stopIfTrue="1" operator="notEqual">
      <formula>#REF!</formula>
    </cfRule>
  </conditionalFormatting>
  <pageMargins left="0.39370078740157483" right="0.11811023622047245" top="0.11811023622047245" bottom="0.27559055118110237" header="0.11811023622047245" footer="0.31496062992125984"/>
  <pageSetup paperSize="8" scale="50" fitToHeight="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на 01.01.2018</vt:lpstr>
      <vt:lpstr>на 01.02.2018</vt:lpstr>
      <vt:lpstr>на 01.04.2018</vt:lpstr>
      <vt:lpstr>на 01.07.2022</vt:lpstr>
      <vt:lpstr>'Выполнение работ'!Заголовки_для_печати</vt:lpstr>
      <vt:lpstr>'на 01.01.2018'!Заголовки_для_печати</vt:lpstr>
      <vt:lpstr>'на 01.07.2022'!Заголовки_для_печати</vt:lpstr>
      <vt:lpstr>'Выполнение работ'!Область_печати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Назарова</cp:lastModifiedBy>
  <cp:lastPrinted>2022-07-06T12:03:28Z</cp:lastPrinted>
  <dcterms:created xsi:type="dcterms:W3CDTF">2011-05-17T05:04:33Z</dcterms:created>
  <dcterms:modified xsi:type="dcterms:W3CDTF">2022-07-15T12:20:56Z</dcterms:modified>
</cp:coreProperties>
</file>