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480" windowHeight="5520" firstSheet="6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а 01.01.2018" sheetId="34" r:id="rId4"/>
    <sheet name="на 01.02.2018" sheetId="35" r:id="rId5"/>
    <sheet name="на 01.04.2018" sheetId="37" r:id="rId6"/>
    <sheet name="на 01.04.2023" sheetId="46" r:id="rId7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Titles" localSheetId="3">'на 01.01.2018'!$5:$6</definedName>
    <definedName name="_xlnm.Print_Titles" localSheetId="6">'на 01.04.2023'!$9:$10</definedName>
    <definedName name="_xlnm.Print_Area" localSheetId="2">'Выполнение работ'!$A$1:$Q$81</definedName>
  </definedNames>
  <calcPr calcId="125725" iterate="1"/>
</workbook>
</file>

<file path=xl/calcChain.xml><?xml version="1.0" encoding="utf-8"?>
<calcChain xmlns="http://schemas.openxmlformats.org/spreadsheetml/2006/main">
  <c r="K125" i="46"/>
  <c r="H125"/>
  <c r="N96"/>
  <c r="H96"/>
  <c r="AO120"/>
  <c r="AF120"/>
  <c r="W120"/>
  <c r="N120"/>
  <c r="K120"/>
  <c r="K96"/>
  <c r="T96"/>
  <c r="Z96"/>
  <c r="AO96"/>
  <c r="AC104" l="1"/>
  <c r="Q104"/>
  <c r="Q125"/>
  <c r="AC125"/>
  <c r="AO125"/>
  <c r="O101"/>
  <c r="L101"/>
  <c r="L99" s="1"/>
  <c r="I101"/>
  <c r="N69"/>
  <c r="N19"/>
  <c r="W19"/>
  <c r="K19"/>
  <c r="H19"/>
  <c r="AL19"/>
  <c r="AF19"/>
  <c r="AO18" l="1"/>
  <c r="N18"/>
  <c r="H18"/>
  <c r="N21"/>
  <c r="T21"/>
  <c r="AL69"/>
  <c r="AO69"/>
  <c r="K40"/>
  <c r="K101" s="1"/>
  <c r="H40"/>
  <c r="W40" l="1"/>
  <c r="Z40"/>
  <c r="AI40"/>
  <c r="AF34"/>
  <c r="T34"/>
  <c r="N34"/>
  <c r="N35"/>
  <c r="K35"/>
  <c r="W35"/>
  <c r="AF35"/>
  <c r="AO35"/>
  <c r="AO25"/>
  <c r="AF25"/>
  <c r="T25"/>
  <c r="N25"/>
  <c r="K25"/>
  <c r="H25"/>
  <c r="P69"/>
  <c r="AC18"/>
  <c r="W18"/>
  <c r="AI35"/>
  <c r="AC35"/>
  <c r="AL18" l="1"/>
  <c r="AI18"/>
  <c r="AF18"/>
  <c r="Z18"/>
  <c r="T18"/>
  <c r="Q18"/>
  <c r="K18"/>
  <c r="Z35" l="1"/>
  <c r="AC34"/>
  <c r="Z34"/>
  <c r="W34"/>
  <c r="AL35"/>
  <c r="T35"/>
  <c r="Q35"/>
  <c r="H35"/>
  <c r="AO34"/>
  <c r="AL34"/>
  <c r="AI34"/>
  <c r="Q34"/>
  <c r="T19"/>
  <c r="Q19"/>
  <c r="AO19"/>
  <c r="AI19"/>
  <c r="AL25"/>
  <c r="AI25"/>
  <c r="AC25"/>
  <c r="Z25"/>
  <c r="W25"/>
  <c r="Q25"/>
  <c r="AO40" l="1"/>
  <c r="AO101" s="1"/>
  <c r="AF40"/>
  <c r="AF101" s="1"/>
  <c r="W101"/>
  <c r="AL40"/>
  <c r="AL101" s="1"/>
  <c r="AI101"/>
  <c r="AC40"/>
  <c r="AC101" s="1"/>
  <c r="T40"/>
  <c r="T101" s="1"/>
  <c r="N40"/>
  <c r="N101" s="1"/>
  <c r="H101"/>
  <c r="Z101"/>
  <c r="Q40"/>
  <c r="Q101" s="1"/>
  <c r="Z38"/>
  <c r="AH40"/>
  <c r="W38"/>
  <c r="AC21"/>
  <c r="F132"/>
  <c r="E132"/>
  <c r="F131"/>
  <c r="E131"/>
  <c r="AE130"/>
  <c r="AB130"/>
  <c r="Y130"/>
  <c r="V130"/>
  <c r="S130"/>
  <c r="F130"/>
  <c r="E130"/>
  <c r="AH129"/>
  <c r="AE129"/>
  <c r="AB129"/>
  <c r="Y129"/>
  <c r="V129"/>
  <c r="F129"/>
  <c r="E129"/>
  <c r="AP128"/>
  <c r="AO128"/>
  <c r="AM128"/>
  <c r="AL128"/>
  <c r="AJ128"/>
  <c r="AG128"/>
  <c r="AF128"/>
  <c r="AD128"/>
  <c r="AC128"/>
  <c r="AA128"/>
  <c r="Z128"/>
  <c r="X128"/>
  <c r="W128"/>
  <c r="U128"/>
  <c r="T128"/>
  <c r="R128"/>
  <c r="Q128"/>
  <c r="O128"/>
  <c r="N128"/>
  <c r="L128"/>
  <c r="K128"/>
  <c r="I128"/>
  <c r="H128"/>
  <c r="F128"/>
  <c r="F127"/>
  <c r="E127"/>
  <c r="F126"/>
  <c r="E126"/>
  <c r="AQ125"/>
  <c r="AN125"/>
  <c r="AK125"/>
  <c r="AH125"/>
  <c r="AE125"/>
  <c r="AB125"/>
  <c r="Y125"/>
  <c r="V125"/>
  <c r="S125"/>
  <c r="P125"/>
  <c r="M125"/>
  <c r="J125"/>
  <c r="F125"/>
  <c r="AN124"/>
  <c r="AK124"/>
  <c r="AH124"/>
  <c r="AE124"/>
  <c r="AB124"/>
  <c r="Y124"/>
  <c r="V124"/>
  <c r="F124"/>
  <c r="AP123"/>
  <c r="AO123"/>
  <c r="AM123"/>
  <c r="AJ123"/>
  <c r="AI123"/>
  <c r="AG123"/>
  <c r="AF123"/>
  <c r="AD123"/>
  <c r="AC123"/>
  <c r="AA123"/>
  <c r="X123"/>
  <c r="W123"/>
  <c r="U123"/>
  <c r="T123"/>
  <c r="R123"/>
  <c r="Q123"/>
  <c r="O123"/>
  <c r="N123"/>
  <c r="L123"/>
  <c r="K123"/>
  <c r="I123"/>
  <c r="H123"/>
  <c r="F122"/>
  <c r="E122"/>
  <c r="F121"/>
  <c r="E121"/>
  <c r="AQ120"/>
  <c r="AN120"/>
  <c r="AK120"/>
  <c r="AH120"/>
  <c r="AE120"/>
  <c r="AB120"/>
  <c r="Y120"/>
  <c r="V120"/>
  <c r="S120"/>
  <c r="P120"/>
  <c r="M120"/>
  <c r="F120"/>
  <c r="E120"/>
  <c r="AK119"/>
  <c r="AH119"/>
  <c r="AE119"/>
  <c r="AB119"/>
  <c r="Y119"/>
  <c r="F119"/>
  <c r="E119"/>
  <c r="AP118"/>
  <c r="AM118"/>
  <c r="AL118"/>
  <c r="AJ118"/>
  <c r="AI118"/>
  <c r="AG118"/>
  <c r="AF118"/>
  <c r="AD118"/>
  <c r="AA118"/>
  <c r="Z118"/>
  <c r="X118"/>
  <c r="U118"/>
  <c r="T118"/>
  <c r="R118"/>
  <c r="O118"/>
  <c r="N118"/>
  <c r="L118"/>
  <c r="K118"/>
  <c r="I118"/>
  <c r="H118"/>
  <c r="F117"/>
  <c r="E117"/>
  <c r="F116"/>
  <c r="E116"/>
  <c r="AE115"/>
  <c r="AB115"/>
  <c r="Y115"/>
  <c r="V115"/>
  <c r="S115"/>
  <c r="F115"/>
  <c r="E115"/>
  <c r="AH114"/>
  <c r="AE114"/>
  <c r="AB114"/>
  <c r="Y114"/>
  <c r="V114"/>
  <c r="F114"/>
  <c r="E114"/>
  <c r="AO113"/>
  <c r="AM113"/>
  <c r="AL113"/>
  <c r="AJ113"/>
  <c r="AI113"/>
  <c r="AG113"/>
  <c r="AF113"/>
  <c r="AD113"/>
  <c r="AA113"/>
  <c r="Z113"/>
  <c r="X113"/>
  <c r="Y113" s="1"/>
  <c r="W113"/>
  <c r="U113"/>
  <c r="T113"/>
  <c r="R113"/>
  <c r="S113" s="1"/>
  <c r="Q113"/>
  <c r="O113"/>
  <c r="N113"/>
  <c r="L113"/>
  <c r="K113"/>
  <c r="I113"/>
  <c r="H113"/>
  <c r="F112"/>
  <c r="E112"/>
  <c r="F111"/>
  <c r="E111"/>
  <c r="AK110"/>
  <c r="AH110"/>
  <c r="AE110"/>
  <c r="Y110"/>
  <c r="V110"/>
  <c r="S110"/>
  <c r="F110"/>
  <c r="E110"/>
  <c r="AN109"/>
  <c r="AK109"/>
  <c r="AH109"/>
  <c r="AE109"/>
  <c r="AB109"/>
  <c r="Y109"/>
  <c r="V109"/>
  <c r="S109"/>
  <c r="F109"/>
  <c r="F108" s="1"/>
  <c r="E109"/>
  <c r="AQ108"/>
  <c r="AP108"/>
  <c r="AO108"/>
  <c r="AM108"/>
  <c r="AL108"/>
  <c r="AJ108"/>
  <c r="AI108"/>
  <c r="AK108" s="1"/>
  <c r="AG108"/>
  <c r="AF108"/>
  <c r="AD108"/>
  <c r="AC108"/>
  <c r="AE108" s="1"/>
  <c r="AA108"/>
  <c r="Z108"/>
  <c r="X108"/>
  <c r="W108"/>
  <c r="U108"/>
  <c r="T108"/>
  <c r="R108"/>
  <c r="Q108"/>
  <c r="O108"/>
  <c r="N108"/>
  <c r="L108"/>
  <c r="K108"/>
  <c r="I108"/>
  <c r="H108"/>
  <c r="F107"/>
  <c r="E107"/>
  <c r="F106"/>
  <c r="E106"/>
  <c r="F105"/>
  <c r="E105"/>
  <c r="AQ104"/>
  <c r="F104"/>
  <c r="E104"/>
  <c r="AP103"/>
  <c r="AO103"/>
  <c r="AM103"/>
  <c r="AL103"/>
  <c r="AJ103"/>
  <c r="AI103"/>
  <c r="AG103"/>
  <c r="AF103"/>
  <c r="AD103"/>
  <c r="AC103"/>
  <c r="AA103"/>
  <c r="Z103"/>
  <c r="X103"/>
  <c r="W103"/>
  <c r="U103"/>
  <c r="T103"/>
  <c r="R103"/>
  <c r="Q103"/>
  <c r="O103"/>
  <c r="N103"/>
  <c r="L103"/>
  <c r="K103"/>
  <c r="I103"/>
  <c r="H103"/>
  <c r="F103"/>
  <c r="F102"/>
  <c r="E102"/>
  <c r="X99"/>
  <c r="R99"/>
  <c r="O99"/>
  <c r="AQ100"/>
  <c r="AN100"/>
  <c r="AK100"/>
  <c r="AH100"/>
  <c r="AE100"/>
  <c r="AB100"/>
  <c r="Y100"/>
  <c r="V100"/>
  <c r="S100"/>
  <c r="I100"/>
  <c r="F100" s="1"/>
  <c r="E100"/>
  <c r="AP99"/>
  <c r="AM99"/>
  <c r="AJ99"/>
  <c r="AG99"/>
  <c r="AD99"/>
  <c r="AA99"/>
  <c r="U99"/>
  <c r="I99"/>
  <c r="F98"/>
  <c r="E98"/>
  <c r="AP97"/>
  <c r="AO97"/>
  <c r="AM97"/>
  <c r="AL97"/>
  <c r="AJ97"/>
  <c r="AI97"/>
  <c r="AG97"/>
  <c r="AF97"/>
  <c r="AD97"/>
  <c r="AC97"/>
  <c r="AA97"/>
  <c r="Z97"/>
  <c r="X97"/>
  <c r="W97"/>
  <c r="U97"/>
  <c r="T97"/>
  <c r="R97"/>
  <c r="Q97"/>
  <c r="O97"/>
  <c r="N97"/>
  <c r="L97"/>
  <c r="K97"/>
  <c r="I97"/>
  <c r="H97"/>
  <c r="F97"/>
  <c r="E97"/>
  <c r="AQ96"/>
  <c r="AN96"/>
  <c r="AK96"/>
  <c r="AH96"/>
  <c r="AE96"/>
  <c r="AB96"/>
  <c r="Y96"/>
  <c r="V96"/>
  <c r="S96"/>
  <c r="P96"/>
  <c r="M96"/>
  <c r="J96"/>
  <c r="F96"/>
  <c r="AQ95"/>
  <c r="AN95"/>
  <c r="AK95"/>
  <c r="AH95"/>
  <c r="AE95"/>
  <c r="AB95"/>
  <c r="Y95"/>
  <c r="V95"/>
  <c r="S95"/>
  <c r="P95"/>
  <c r="M95"/>
  <c r="I95"/>
  <c r="E95"/>
  <c r="F95"/>
  <c r="AP94"/>
  <c r="AO94"/>
  <c r="AM94"/>
  <c r="AJ94"/>
  <c r="AI94"/>
  <c r="AG94"/>
  <c r="AD94"/>
  <c r="AC94"/>
  <c r="AA94"/>
  <c r="Z94"/>
  <c r="X94"/>
  <c r="W94"/>
  <c r="U94"/>
  <c r="T94"/>
  <c r="R94"/>
  <c r="Q94"/>
  <c r="O94"/>
  <c r="N94"/>
  <c r="L94"/>
  <c r="K94"/>
  <c r="I94"/>
  <c r="F93"/>
  <c r="E93"/>
  <c r="F87"/>
  <c r="E87"/>
  <c r="F82"/>
  <c r="E82"/>
  <c r="F81"/>
  <c r="E81"/>
  <c r="F80"/>
  <c r="E80"/>
  <c r="F79"/>
  <c r="E79"/>
  <c r="AP78"/>
  <c r="AO78"/>
  <c r="AM78"/>
  <c r="AL78"/>
  <c r="AJ78"/>
  <c r="AI78"/>
  <c r="AG78"/>
  <c r="AF78"/>
  <c r="AD78"/>
  <c r="AC78"/>
  <c r="AA78"/>
  <c r="Z78"/>
  <c r="X78"/>
  <c r="W78"/>
  <c r="U78"/>
  <c r="T78"/>
  <c r="R78"/>
  <c r="Q78"/>
  <c r="O78"/>
  <c r="N78"/>
  <c r="L78"/>
  <c r="K78"/>
  <c r="I78"/>
  <c r="H78"/>
  <c r="F78"/>
  <c r="E78"/>
  <c r="F77"/>
  <c r="E77"/>
  <c r="F71"/>
  <c r="E71"/>
  <c r="F70"/>
  <c r="E70"/>
  <c r="AQ69"/>
  <c r="AN69"/>
  <c r="AK69"/>
  <c r="AH69"/>
  <c r="AE69"/>
  <c r="AB69"/>
  <c r="Y69"/>
  <c r="S69"/>
  <c r="M69"/>
  <c r="F69"/>
  <c r="E69"/>
  <c r="F68"/>
  <c r="E68"/>
  <c r="AP67"/>
  <c r="AO67"/>
  <c r="AQ67" s="1"/>
  <c r="AM67"/>
  <c r="AL67"/>
  <c r="AJ67"/>
  <c r="AI67"/>
  <c r="AK67" s="1"/>
  <c r="AG67"/>
  <c r="AF67"/>
  <c r="AD67"/>
  <c r="AC67"/>
  <c r="AA67"/>
  <c r="Z67"/>
  <c r="X67"/>
  <c r="W67"/>
  <c r="Y67" s="1"/>
  <c r="U67"/>
  <c r="T67"/>
  <c r="R67"/>
  <c r="Q67"/>
  <c r="S67" s="1"/>
  <c r="O67"/>
  <c r="N67"/>
  <c r="L67"/>
  <c r="K67"/>
  <c r="I67"/>
  <c r="H67"/>
  <c r="F67"/>
  <c r="E67"/>
  <c r="F65"/>
  <c r="E65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L64"/>
  <c r="K64"/>
  <c r="J64"/>
  <c r="I64"/>
  <c r="H64"/>
  <c r="F64"/>
  <c r="E64"/>
  <c r="AP63"/>
  <c r="AO63"/>
  <c r="AN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P63" s="1"/>
  <c r="L63"/>
  <c r="K63"/>
  <c r="I63"/>
  <c r="H63"/>
  <c r="F63"/>
  <c r="E63"/>
  <c r="AQ62"/>
  <c r="AP62"/>
  <c r="AO62"/>
  <c r="AN62"/>
  <c r="AM62"/>
  <c r="AL62"/>
  <c r="AK62"/>
  <c r="AJ62"/>
  <c r="AJ61" s="1"/>
  <c r="AI62"/>
  <c r="AH62"/>
  <c r="AG62"/>
  <c r="AF62"/>
  <c r="AF61" s="1"/>
  <c r="AE62"/>
  <c r="AD62"/>
  <c r="AD61" s="1"/>
  <c r="AC62"/>
  <c r="AB62"/>
  <c r="AA62"/>
  <c r="Z62"/>
  <c r="Y62"/>
  <c r="X62"/>
  <c r="X61" s="1"/>
  <c r="W62"/>
  <c r="V62"/>
  <c r="U62"/>
  <c r="T62"/>
  <c r="T61" s="1"/>
  <c r="S62"/>
  <c r="R62"/>
  <c r="Q62"/>
  <c r="O62"/>
  <c r="N62"/>
  <c r="L62"/>
  <c r="K62"/>
  <c r="I62"/>
  <c r="H62"/>
  <c r="F62"/>
  <c r="E62"/>
  <c r="AP61"/>
  <c r="AO61"/>
  <c r="AM61"/>
  <c r="Z61"/>
  <c r="R61"/>
  <c r="N61"/>
  <c r="I61"/>
  <c r="F60"/>
  <c r="E60"/>
  <c r="F59"/>
  <c r="E59"/>
  <c r="F58"/>
  <c r="E58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6"/>
  <c r="E56"/>
  <c r="F54"/>
  <c r="E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R53"/>
  <c r="Q53"/>
  <c r="P53"/>
  <c r="O53"/>
  <c r="N53"/>
  <c r="L53"/>
  <c r="K53"/>
  <c r="I53"/>
  <c r="H53"/>
  <c r="F53"/>
  <c r="E53"/>
  <c r="AQ52"/>
  <c r="AP52"/>
  <c r="AO52"/>
  <c r="AO50" s="1"/>
  <c r="AN52"/>
  <c r="AM52"/>
  <c r="AL52"/>
  <c r="AK52"/>
  <c r="AJ52"/>
  <c r="AI52"/>
  <c r="AI50" s="1"/>
  <c r="AH52"/>
  <c r="AG52"/>
  <c r="AF52"/>
  <c r="AD52"/>
  <c r="AC52"/>
  <c r="AB52"/>
  <c r="AA52"/>
  <c r="Z52"/>
  <c r="Z50" s="1"/>
  <c r="Y52"/>
  <c r="X52"/>
  <c r="W52"/>
  <c r="V52"/>
  <c r="U52"/>
  <c r="T52"/>
  <c r="T50" s="1"/>
  <c r="R52"/>
  <c r="Q52"/>
  <c r="Q50" s="1"/>
  <c r="O52"/>
  <c r="N52"/>
  <c r="N50" s="1"/>
  <c r="L52"/>
  <c r="K52"/>
  <c r="K50" s="1"/>
  <c r="I52"/>
  <c r="H52"/>
  <c r="H50" s="1"/>
  <c r="F52"/>
  <c r="E52"/>
  <c r="AQ51"/>
  <c r="AP51"/>
  <c r="AO51"/>
  <c r="AN51"/>
  <c r="AM51"/>
  <c r="AL51"/>
  <c r="AL50" s="1"/>
  <c r="AK51"/>
  <c r="AJ51"/>
  <c r="AI51"/>
  <c r="AH51"/>
  <c r="AG51"/>
  <c r="AF51"/>
  <c r="AF50" s="1"/>
  <c r="AD51"/>
  <c r="AC51"/>
  <c r="AC50" s="1"/>
  <c r="AB51"/>
  <c r="AA51"/>
  <c r="Z51"/>
  <c r="Y51"/>
  <c r="X51"/>
  <c r="W51"/>
  <c r="W50" s="1"/>
  <c r="V51"/>
  <c r="U51"/>
  <c r="T51"/>
  <c r="R51"/>
  <c r="Q51"/>
  <c r="O51"/>
  <c r="N51"/>
  <c r="L51"/>
  <c r="K51"/>
  <c r="I51"/>
  <c r="H51"/>
  <c r="F51"/>
  <c r="E51"/>
  <c r="AP50"/>
  <c r="AM50"/>
  <c r="AJ50"/>
  <c r="AG50"/>
  <c r="AD50"/>
  <c r="AA50"/>
  <c r="X50"/>
  <c r="U50"/>
  <c r="R50"/>
  <c r="O50"/>
  <c r="L50"/>
  <c r="I50"/>
  <c r="F50"/>
  <c r="E50"/>
  <c r="F48"/>
  <c r="E48"/>
  <c r="F47"/>
  <c r="E47"/>
  <c r="F46"/>
  <c r="E46"/>
  <c r="F45"/>
  <c r="E45"/>
  <c r="AP44"/>
  <c r="AO44"/>
  <c r="AM44"/>
  <c r="AL44"/>
  <c r="AJ44"/>
  <c r="AI44"/>
  <c r="AG44"/>
  <c r="AF44"/>
  <c r="AD44"/>
  <c r="AC44"/>
  <c r="AA44"/>
  <c r="Z44"/>
  <c r="Y44"/>
  <c r="X44"/>
  <c r="W44"/>
  <c r="V44"/>
  <c r="U44"/>
  <c r="T44"/>
  <c r="R44"/>
  <c r="Q44"/>
  <c r="O44"/>
  <c r="N44"/>
  <c r="L44"/>
  <c r="K44"/>
  <c r="I44"/>
  <c r="H44"/>
  <c r="F44"/>
  <c r="E44"/>
  <c r="F43"/>
  <c r="E43"/>
  <c r="F42"/>
  <c r="E42"/>
  <c r="AK41"/>
  <c r="Y41"/>
  <c r="V41"/>
  <c r="P41"/>
  <c r="F41"/>
  <c r="E41"/>
  <c r="AQ40"/>
  <c r="AK40"/>
  <c r="AE40"/>
  <c r="AB40"/>
  <c r="Y40"/>
  <c r="V40"/>
  <c r="N99"/>
  <c r="M40"/>
  <c r="J40"/>
  <c r="F40"/>
  <c r="F39"/>
  <c r="E39"/>
  <c r="AP38"/>
  <c r="AO38"/>
  <c r="AM38"/>
  <c r="AL38"/>
  <c r="AJ38"/>
  <c r="AI38"/>
  <c r="AG38"/>
  <c r="AD38"/>
  <c r="AC38"/>
  <c r="AA38"/>
  <c r="X38"/>
  <c r="U38"/>
  <c r="T38"/>
  <c r="R38"/>
  <c r="Q38"/>
  <c r="O38"/>
  <c r="N38"/>
  <c r="L38"/>
  <c r="K38"/>
  <c r="I38"/>
  <c r="H38"/>
  <c r="F37"/>
  <c r="E37"/>
  <c r="F36"/>
  <c r="E36"/>
  <c r="AN35"/>
  <c r="AK35"/>
  <c r="AH35"/>
  <c r="AE35"/>
  <c r="AB35"/>
  <c r="Y35"/>
  <c r="V35"/>
  <c r="S35"/>
  <c r="P35"/>
  <c r="M35"/>
  <c r="J35"/>
  <c r="F35"/>
  <c r="E35"/>
  <c r="AQ34"/>
  <c r="AN34"/>
  <c r="AK34"/>
  <c r="AH34"/>
  <c r="AE34"/>
  <c r="AB34"/>
  <c r="Y34"/>
  <c r="V34"/>
  <c r="S34"/>
  <c r="P34"/>
  <c r="F34"/>
  <c r="E34"/>
  <c r="AP33"/>
  <c r="AO33"/>
  <c r="AM33"/>
  <c r="AL33"/>
  <c r="AJ33"/>
  <c r="AI33"/>
  <c r="AG33"/>
  <c r="AF33"/>
  <c r="AD33"/>
  <c r="AC33"/>
  <c r="AA33"/>
  <c r="Z33"/>
  <c r="X33"/>
  <c r="W33"/>
  <c r="U33"/>
  <c r="T33"/>
  <c r="R33"/>
  <c r="Q33"/>
  <c r="O33"/>
  <c r="N33"/>
  <c r="L33"/>
  <c r="K33"/>
  <c r="I33"/>
  <c r="H33"/>
  <c r="F33"/>
  <c r="F32"/>
  <c r="E32"/>
  <c r="F31"/>
  <c r="E31"/>
  <c r="AQ30"/>
  <c r="AN30"/>
  <c r="AK30"/>
  <c r="AH30"/>
  <c r="AE30"/>
  <c r="AB30"/>
  <c r="Y30"/>
  <c r="V30"/>
  <c r="S30"/>
  <c r="P30"/>
  <c r="M30"/>
  <c r="J30"/>
  <c r="F30"/>
  <c r="E30"/>
  <c r="F29"/>
  <c r="E29"/>
  <c r="AP28"/>
  <c r="AO28"/>
  <c r="AM28"/>
  <c r="AL28"/>
  <c r="AJ28"/>
  <c r="AI28"/>
  <c r="AG28"/>
  <c r="AF28"/>
  <c r="AD28"/>
  <c r="AC28"/>
  <c r="AA28"/>
  <c r="Z28"/>
  <c r="X28"/>
  <c r="W28"/>
  <c r="U28"/>
  <c r="T28"/>
  <c r="R28"/>
  <c r="Q28"/>
  <c r="O28"/>
  <c r="N28"/>
  <c r="L28"/>
  <c r="K28"/>
  <c r="I28"/>
  <c r="H28"/>
  <c r="F28"/>
  <c r="F27"/>
  <c r="E27"/>
  <c r="F26"/>
  <c r="E26"/>
  <c r="AQ25"/>
  <c r="AN25"/>
  <c r="AK25"/>
  <c r="AH25"/>
  <c r="AE25"/>
  <c r="AB25"/>
  <c r="Y25"/>
  <c r="V25"/>
  <c r="S25"/>
  <c r="P25"/>
  <c r="M25"/>
  <c r="J25"/>
  <c r="F25"/>
  <c r="F24"/>
  <c r="E24"/>
  <c r="AP23"/>
  <c r="AO23"/>
  <c r="AM23"/>
  <c r="AL23"/>
  <c r="AJ23"/>
  <c r="AI23"/>
  <c r="AG23"/>
  <c r="AF23"/>
  <c r="AD23"/>
  <c r="AC23"/>
  <c r="AA23"/>
  <c r="Z23"/>
  <c r="X23"/>
  <c r="W23"/>
  <c r="U23"/>
  <c r="T23"/>
  <c r="R23"/>
  <c r="Q23"/>
  <c r="O23"/>
  <c r="N23"/>
  <c r="L23"/>
  <c r="K23"/>
  <c r="I23"/>
  <c r="H23"/>
  <c r="F22"/>
  <c r="E22"/>
  <c r="AQ21"/>
  <c r="AN21"/>
  <c r="AK21"/>
  <c r="AH21"/>
  <c r="AE21"/>
  <c r="AB21"/>
  <c r="Y21"/>
  <c r="V21"/>
  <c r="S21"/>
  <c r="P21"/>
  <c r="M21"/>
  <c r="F21"/>
  <c r="E21"/>
  <c r="AQ20"/>
  <c r="V20"/>
  <c r="S20"/>
  <c r="F20"/>
  <c r="E20"/>
  <c r="AQ19"/>
  <c r="AN19"/>
  <c r="AK19"/>
  <c r="AH19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F12" s="1"/>
  <c r="F73" s="1"/>
  <c r="AP17"/>
  <c r="AO17"/>
  <c r="AM17"/>
  <c r="AL17"/>
  <c r="AJ17"/>
  <c r="AI17"/>
  <c r="AG17"/>
  <c r="AF17"/>
  <c r="AD17"/>
  <c r="AC17"/>
  <c r="AA17"/>
  <c r="Z17"/>
  <c r="X17"/>
  <c r="W17"/>
  <c r="U17"/>
  <c r="T17"/>
  <c r="R17"/>
  <c r="Q17"/>
  <c r="O17"/>
  <c r="N17"/>
  <c r="L17"/>
  <c r="K17"/>
  <c r="I17"/>
  <c r="H17"/>
  <c r="F16"/>
  <c r="E16"/>
  <c r="AP15"/>
  <c r="AP76" s="1"/>
  <c r="AO15"/>
  <c r="AO76" s="1"/>
  <c r="AO86" s="1"/>
  <c r="AO92" s="1"/>
  <c r="AM15"/>
  <c r="AM76" s="1"/>
  <c r="AL15"/>
  <c r="AL76" s="1"/>
  <c r="AL86" s="1"/>
  <c r="AL92" s="1"/>
  <c r="AJ15"/>
  <c r="AJ76" s="1"/>
  <c r="AI15"/>
  <c r="AI76" s="1"/>
  <c r="AI86" s="1"/>
  <c r="AI92" s="1"/>
  <c r="AG15"/>
  <c r="AG76" s="1"/>
  <c r="AF15"/>
  <c r="AF76" s="1"/>
  <c r="AF86" s="1"/>
  <c r="AF92" s="1"/>
  <c r="AD15"/>
  <c r="AD76" s="1"/>
  <c r="AC15"/>
  <c r="AC76" s="1"/>
  <c r="AC86" s="1"/>
  <c r="AC92" s="1"/>
  <c r="AA15"/>
  <c r="AA76" s="1"/>
  <c r="Z15"/>
  <c r="Z76" s="1"/>
  <c r="Z86" s="1"/>
  <c r="Z92" s="1"/>
  <c r="X15"/>
  <c r="X76" s="1"/>
  <c r="W15"/>
  <c r="W76" s="1"/>
  <c r="W86" s="1"/>
  <c r="W92" s="1"/>
  <c r="U15"/>
  <c r="U76" s="1"/>
  <c r="T15"/>
  <c r="T76" s="1"/>
  <c r="T86" s="1"/>
  <c r="T92" s="1"/>
  <c r="R15"/>
  <c r="R76" s="1"/>
  <c r="Q15"/>
  <c r="Q76" s="1"/>
  <c r="Q86" s="1"/>
  <c r="Q92" s="1"/>
  <c r="O15"/>
  <c r="O76" s="1"/>
  <c r="N15"/>
  <c r="N76" s="1"/>
  <c r="N86" s="1"/>
  <c r="N92" s="1"/>
  <c r="L15"/>
  <c r="L76" s="1"/>
  <c r="K15"/>
  <c r="K76" s="1"/>
  <c r="K86" s="1"/>
  <c r="K92" s="1"/>
  <c r="I15"/>
  <c r="I76" s="1"/>
  <c r="H15"/>
  <c r="H76" s="1"/>
  <c r="H86" s="1"/>
  <c r="F15"/>
  <c r="E15"/>
  <c r="E76" s="1"/>
  <c r="AQ14"/>
  <c r="AP14"/>
  <c r="AP75" s="1"/>
  <c r="AO14"/>
  <c r="AO75" s="1"/>
  <c r="AN14"/>
  <c r="AN75" s="1"/>
  <c r="AM14"/>
  <c r="AM75" s="1"/>
  <c r="AL14"/>
  <c r="AL75" s="1"/>
  <c r="AJ14"/>
  <c r="AJ75" s="1"/>
  <c r="AI14"/>
  <c r="AI75" s="1"/>
  <c r="AH14"/>
  <c r="AH75" s="1"/>
  <c r="AG14"/>
  <c r="AG75" s="1"/>
  <c r="AF14"/>
  <c r="AF75" s="1"/>
  <c r="AE14"/>
  <c r="AE75" s="1"/>
  <c r="AD14"/>
  <c r="AD75" s="1"/>
  <c r="AC14"/>
  <c r="AC75" s="1"/>
  <c r="AB14"/>
  <c r="AB75" s="1"/>
  <c r="AA14"/>
  <c r="AA75" s="1"/>
  <c r="Z14"/>
  <c r="Z75" s="1"/>
  <c r="X14"/>
  <c r="X75" s="1"/>
  <c r="W14"/>
  <c r="W75" s="1"/>
  <c r="U14"/>
  <c r="U75" s="1"/>
  <c r="T14"/>
  <c r="T75" s="1"/>
  <c r="R14"/>
  <c r="R75" s="1"/>
  <c r="Q14"/>
  <c r="Q75" s="1"/>
  <c r="O14"/>
  <c r="O75" s="1"/>
  <c r="N14"/>
  <c r="N75" s="1"/>
  <c r="L14"/>
  <c r="L75" s="1"/>
  <c r="K14"/>
  <c r="K75" s="1"/>
  <c r="I14"/>
  <c r="I75" s="1"/>
  <c r="F75" s="1"/>
  <c r="H14"/>
  <c r="H75" s="1"/>
  <c r="AP13"/>
  <c r="AP74" s="1"/>
  <c r="AO13"/>
  <c r="AO74" s="1"/>
  <c r="AO85" s="1"/>
  <c r="AM13"/>
  <c r="AM74" s="1"/>
  <c r="AL13"/>
  <c r="AJ13"/>
  <c r="AJ74" s="1"/>
  <c r="AI13"/>
  <c r="AI74" s="1"/>
  <c r="AI85" s="1"/>
  <c r="AG13"/>
  <c r="AG74" s="1"/>
  <c r="AD13"/>
  <c r="AD74" s="1"/>
  <c r="AC13"/>
  <c r="AC74" s="1"/>
  <c r="AC85" s="1"/>
  <c r="AA13"/>
  <c r="AA74" s="1"/>
  <c r="Z13"/>
  <c r="Z74" s="1"/>
  <c r="Z85" s="1"/>
  <c r="X13"/>
  <c r="X74" s="1"/>
  <c r="W13"/>
  <c r="W74" s="1"/>
  <c r="W85" s="1"/>
  <c r="U13"/>
  <c r="U74" s="1"/>
  <c r="T13"/>
  <c r="T74" s="1"/>
  <c r="R13"/>
  <c r="R74" s="1"/>
  <c r="Q13"/>
  <c r="Q74" s="1"/>
  <c r="Q85" s="1"/>
  <c r="Q91" s="1"/>
  <c r="O13"/>
  <c r="N13"/>
  <c r="N74" s="1"/>
  <c r="N85" s="1"/>
  <c r="L13"/>
  <c r="K13"/>
  <c r="K74" s="1"/>
  <c r="K85" s="1"/>
  <c r="I13"/>
  <c r="I74" s="1"/>
  <c r="H13"/>
  <c r="H74" s="1"/>
  <c r="H85" s="1"/>
  <c r="AP12"/>
  <c r="AP73" s="1"/>
  <c r="AO12"/>
  <c r="AM12"/>
  <c r="AM73" s="1"/>
  <c r="AL12"/>
  <c r="AL73" s="1"/>
  <c r="AJ12"/>
  <c r="AJ73" s="1"/>
  <c r="AI12"/>
  <c r="AI73" s="1"/>
  <c r="AG12"/>
  <c r="AG73" s="1"/>
  <c r="AF12"/>
  <c r="AF73" s="1"/>
  <c r="AD12"/>
  <c r="AD73" s="1"/>
  <c r="AC12"/>
  <c r="AC73" s="1"/>
  <c r="AA12"/>
  <c r="AA73" s="1"/>
  <c r="Z12"/>
  <c r="Z73" s="1"/>
  <c r="X12"/>
  <c r="X73" s="1"/>
  <c r="W12"/>
  <c r="W73" s="1"/>
  <c r="U12"/>
  <c r="U73" s="1"/>
  <c r="T12"/>
  <c r="T73" s="1"/>
  <c r="R12"/>
  <c r="R73" s="1"/>
  <c r="Q12"/>
  <c r="Q73" s="1"/>
  <c r="O12"/>
  <c r="O73" s="1"/>
  <c r="N12"/>
  <c r="N73" s="1"/>
  <c r="L12"/>
  <c r="L73" s="1"/>
  <c r="K12"/>
  <c r="K73" s="1"/>
  <c r="I12"/>
  <c r="I73" s="1"/>
  <c r="H12"/>
  <c r="H73" s="1"/>
  <c r="AK38" l="1"/>
  <c r="AQ38"/>
  <c r="S128"/>
  <c r="AJ11"/>
  <c r="AK123"/>
  <c r="T91"/>
  <c r="T85"/>
  <c r="M94"/>
  <c r="AL74"/>
  <c r="AL85" s="1"/>
  <c r="AL91" s="1"/>
  <c r="J38"/>
  <c r="V23"/>
  <c r="AH23"/>
  <c r="AN23"/>
  <c r="F61"/>
  <c r="L61"/>
  <c r="O61"/>
  <c r="P61" s="1"/>
  <c r="P67"/>
  <c r="V118"/>
  <c r="O74"/>
  <c r="P74" s="1"/>
  <c r="L74"/>
  <c r="L85" s="1"/>
  <c r="M63"/>
  <c r="O11"/>
  <c r="F38"/>
  <c r="P118"/>
  <c r="AH113"/>
  <c r="M23"/>
  <c r="S23"/>
  <c r="Y23"/>
  <c r="AE23"/>
  <c r="AQ23"/>
  <c r="F23"/>
  <c r="Y28"/>
  <c r="AK28"/>
  <c r="AQ28"/>
  <c r="E28"/>
  <c r="G28" s="1"/>
  <c r="S38"/>
  <c r="AE38"/>
  <c r="U61"/>
  <c r="AA61"/>
  <c r="AG61"/>
  <c r="V67"/>
  <c r="AB67"/>
  <c r="AH67"/>
  <c r="V94"/>
  <c r="V103"/>
  <c r="AB108"/>
  <c r="S123"/>
  <c r="H61"/>
  <c r="Q61"/>
  <c r="S61" s="1"/>
  <c r="W61"/>
  <c r="Y61" s="1"/>
  <c r="AC61"/>
  <c r="AI61"/>
  <c r="AL61"/>
  <c r="AN61" s="1"/>
  <c r="Y103"/>
  <c r="V123"/>
  <c r="P123"/>
  <c r="J123"/>
  <c r="E33"/>
  <c r="G33" s="1"/>
  <c r="P23"/>
  <c r="J23"/>
  <c r="M118"/>
  <c r="AB94"/>
  <c r="P94"/>
  <c r="P38"/>
  <c r="AF13"/>
  <c r="AF74" s="1"/>
  <c r="AF85" s="1"/>
  <c r="E85" s="1"/>
  <c r="AF38"/>
  <c r="AH38" s="1"/>
  <c r="V38"/>
  <c r="AO11"/>
  <c r="W11"/>
  <c r="J28"/>
  <c r="P28"/>
  <c r="AN28"/>
  <c r="AB28"/>
  <c r="V28"/>
  <c r="AQ63"/>
  <c r="AQ94"/>
  <c r="AK94"/>
  <c r="AE94"/>
  <c r="Y94"/>
  <c r="S94"/>
  <c r="AQ103"/>
  <c r="AN103"/>
  <c r="AK103"/>
  <c r="AH103"/>
  <c r="AE103"/>
  <c r="AB103"/>
  <c r="G104"/>
  <c r="S103"/>
  <c r="AN108"/>
  <c r="AH108"/>
  <c r="Y108"/>
  <c r="E108"/>
  <c r="V108"/>
  <c r="S108"/>
  <c r="F113"/>
  <c r="AB113"/>
  <c r="V113"/>
  <c r="E113"/>
  <c r="AN118"/>
  <c r="AK118"/>
  <c r="AH118"/>
  <c r="AB118"/>
  <c r="G119"/>
  <c r="F118"/>
  <c r="G120"/>
  <c r="E118"/>
  <c r="AQ123"/>
  <c r="AH123"/>
  <c r="AE123"/>
  <c r="Y123"/>
  <c r="M123"/>
  <c r="V128"/>
  <c r="Y128"/>
  <c r="AE128"/>
  <c r="AH128"/>
  <c r="E128"/>
  <c r="AB128"/>
  <c r="E75"/>
  <c r="G41"/>
  <c r="AQ61"/>
  <c r="AN67"/>
  <c r="AK61"/>
  <c r="AK63"/>
  <c r="AH63"/>
  <c r="AH61"/>
  <c r="AE61"/>
  <c r="AE67"/>
  <c r="AE63"/>
  <c r="AB63"/>
  <c r="AB61"/>
  <c r="Y63"/>
  <c r="G63"/>
  <c r="V63"/>
  <c r="G67"/>
  <c r="V61"/>
  <c r="S63"/>
  <c r="K61"/>
  <c r="M67"/>
  <c r="M61"/>
  <c r="E61"/>
  <c r="G69"/>
  <c r="AN38"/>
  <c r="AB38"/>
  <c r="Y38"/>
  <c r="Q11"/>
  <c r="P99"/>
  <c r="N91"/>
  <c r="M38"/>
  <c r="K11"/>
  <c r="AQ33"/>
  <c r="AN33"/>
  <c r="AI11"/>
  <c r="AK11" s="1"/>
  <c r="AK33"/>
  <c r="AH33"/>
  <c r="AE33"/>
  <c r="AB33"/>
  <c r="Y33"/>
  <c r="V33"/>
  <c r="T11"/>
  <c r="G34"/>
  <c r="S33"/>
  <c r="P33"/>
  <c r="M33"/>
  <c r="J33"/>
  <c r="G35"/>
  <c r="AH28"/>
  <c r="G30"/>
  <c r="AE28"/>
  <c r="S28"/>
  <c r="M28"/>
  <c r="AL11"/>
  <c r="AK23"/>
  <c r="AB23"/>
  <c r="F13"/>
  <c r="F74" s="1"/>
  <c r="AK17"/>
  <c r="G21"/>
  <c r="H11"/>
  <c r="G15"/>
  <c r="F14"/>
  <c r="V14"/>
  <c r="G20"/>
  <c r="N11"/>
  <c r="P11" s="1"/>
  <c r="L11"/>
  <c r="J17"/>
  <c r="Y17"/>
  <c r="Z11"/>
  <c r="AE17"/>
  <c r="AC11"/>
  <c r="F17"/>
  <c r="AN17"/>
  <c r="AQ17"/>
  <c r="G19"/>
  <c r="AP11"/>
  <c r="AQ12"/>
  <c r="AM11"/>
  <c r="AG11"/>
  <c r="AH17"/>
  <c r="AD11"/>
  <c r="AA11"/>
  <c r="AB17"/>
  <c r="X11"/>
  <c r="U11"/>
  <c r="V17"/>
  <c r="R11"/>
  <c r="S17"/>
  <c r="P17"/>
  <c r="M17"/>
  <c r="I11"/>
  <c r="K84"/>
  <c r="K72"/>
  <c r="N84"/>
  <c r="N72"/>
  <c r="Q84"/>
  <c r="Q72"/>
  <c r="W84"/>
  <c r="W72"/>
  <c r="Z84"/>
  <c r="Z72"/>
  <c r="AF84"/>
  <c r="AI84"/>
  <c r="AI72"/>
  <c r="M74"/>
  <c r="O85"/>
  <c r="R85"/>
  <c r="S74"/>
  <c r="X85"/>
  <c r="Y74"/>
  <c r="AA85"/>
  <c r="AB74"/>
  <c r="AG85"/>
  <c r="AJ85"/>
  <c r="AK74"/>
  <c r="AM85"/>
  <c r="AN74"/>
  <c r="AP85"/>
  <c r="AQ74"/>
  <c r="I86"/>
  <c r="O86"/>
  <c r="P76"/>
  <c r="U86"/>
  <c r="V76"/>
  <c r="X86"/>
  <c r="Y76"/>
  <c r="AD86"/>
  <c r="AE76"/>
  <c r="AG86"/>
  <c r="AH76"/>
  <c r="AJ86"/>
  <c r="AK76"/>
  <c r="AP86"/>
  <c r="AQ76"/>
  <c r="I84"/>
  <c r="J73"/>
  <c r="I72"/>
  <c r="L84"/>
  <c r="M73"/>
  <c r="O84"/>
  <c r="P73"/>
  <c r="R84"/>
  <c r="S73"/>
  <c r="R72"/>
  <c r="S72" s="1"/>
  <c r="U84"/>
  <c r="V73"/>
  <c r="U72"/>
  <c r="X84"/>
  <c r="Y73"/>
  <c r="X72"/>
  <c r="Y72" s="1"/>
  <c r="AA84"/>
  <c r="AB73"/>
  <c r="AA72"/>
  <c r="AD84"/>
  <c r="AE73"/>
  <c r="AD72"/>
  <c r="AG84"/>
  <c r="AH73"/>
  <c r="AG72"/>
  <c r="AJ84"/>
  <c r="AK73"/>
  <c r="AJ72"/>
  <c r="AM84"/>
  <c r="AN73"/>
  <c r="AM72"/>
  <c r="AP84"/>
  <c r="AP72"/>
  <c r="E86"/>
  <c r="H92"/>
  <c r="E92" s="1"/>
  <c r="P75"/>
  <c r="H84"/>
  <c r="H90" s="1"/>
  <c r="H72"/>
  <c r="T84"/>
  <c r="T72"/>
  <c r="AC84"/>
  <c r="AC72"/>
  <c r="AL84"/>
  <c r="AL72"/>
  <c r="I85"/>
  <c r="J74"/>
  <c r="U85"/>
  <c r="V74"/>
  <c r="AD85"/>
  <c r="AE74"/>
  <c r="L86"/>
  <c r="M76"/>
  <c r="R86"/>
  <c r="S76"/>
  <c r="AA86"/>
  <c r="AB76"/>
  <c r="AM86"/>
  <c r="AN76"/>
  <c r="J12"/>
  <c r="P12"/>
  <c r="V12"/>
  <c r="AB12"/>
  <c r="AH12"/>
  <c r="AN12"/>
  <c r="M13"/>
  <c r="S13"/>
  <c r="Y13"/>
  <c r="AE13"/>
  <c r="AK13"/>
  <c r="AQ13"/>
  <c r="S14"/>
  <c r="Y14"/>
  <c r="AK14"/>
  <c r="M15"/>
  <c r="S15"/>
  <c r="Y15"/>
  <c r="AE15"/>
  <c r="AK15"/>
  <c r="AQ15"/>
  <c r="E18"/>
  <c r="E25"/>
  <c r="G25" s="1"/>
  <c r="E40"/>
  <c r="E38" s="1"/>
  <c r="G38" s="1"/>
  <c r="P40"/>
  <c r="S40"/>
  <c r="AN40"/>
  <c r="T99"/>
  <c r="V99" s="1"/>
  <c r="W91"/>
  <c r="AC91"/>
  <c r="AI91"/>
  <c r="AO73"/>
  <c r="F76"/>
  <c r="G76" s="1"/>
  <c r="P101"/>
  <c r="S101"/>
  <c r="Q99"/>
  <c r="S99" s="1"/>
  <c r="AN101"/>
  <c r="AL99"/>
  <c r="AN99" s="1"/>
  <c r="M12"/>
  <c r="S12"/>
  <c r="Y12"/>
  <c r="AE12"/>
  <c r="AK12"/>
  <c r="J13"/>
  <c r="P13"/>
  <c r="V13"/>
  <c r="AB13"/>
  <c r="AN13"/>
  <c r="E14"/>
  <c r="G14" s="1"/>
  <c r="P14"/>
  <c r="P15"/>
  <c r="V15"/>
  <c r="AB15"/>
  <c r="AH15"/>
  <c r="AN15"/>
  <c r="V69"/>
  <c r="AQ101"/>
  <c r="G95"/>
  <c r="F94"/>
  <c r="H94"/>
  <c r="J94" s="1"/>
  <c r="AF94"/>
  <c r="AH94" s="1"/>
  <c r="AL94"/>
  <c r="AN94" s="1"/>
  <c r="E96"/>
  <c r="E94" s="1"/>
  <c r="AO99"/>
  <c r="AQ99" s="1"/>
  <c r="F101"/>
  <c r="E103"/>
  <c r="G103" s="1"/>
  <c r="AC113"/>
  <c r="AE113" s="1"/>
  <c r="Q118"/>
  <c r="S118" s="1"/>
  <c r="W118"/>
  <c r="Y118" s="1"/>
  <c r="AC118"/>
  <c r="AE118" s="1"/>
  <c r="AO118"/>
  <c r="AQ118" s="1"/>
  <c r="F123"/>
  <c r="Z123"/>
  <c r="AB123" s="1"/>
  <c r="AL123"/>
  <c r="AN123" s="1"/>
  <c r="E124"/>
  <c r="G124" s="1"/>
  <c r="E125"/>
  <c r="G125" s="1"/>
  <c r="AG15" i="37"/>
  <c r="O15"/>
  <c r="AG14"/>
  <c r="X14"/>
  <c r="X15"/>
  <c r="AP15"/>
  <c r="AP14"/>
  <c r="AD14"/>
  <c r="U14"/>
  <c r="AP16"/>
  <c r="AA16"/>
  <c r="X16"/>
  <c r="O16"/>
  <c r="O72" i="46" l="1"/>
  <c r="L72"/>
  <c r="G61"/>
  <c r="AF11"/>
  <c r="AH11" s="1"/>
  <c r="AQ11"/>
  <c r="Y11"/>
  <c r="AK72"/>
  <c r="AH13"/>
  <c r="AH74"/>
  <c r="AF72"/>
  <c r="AH72" s="1"/>
  <c r="S11"/>
  <c r="J11"/>
  <c r="AN11"/>
  <c r="AE11"/>
  <c r="G96"/>
  <c r="G118"/>
  <c r="M11"/>
  <c r="V11"/>
  <c r="AB11"/>
  <c r="F11"/>
  <c r="M72"/>
  <c r="AO84"/>
  <c r="E84" s="1"/>
  <c r="E83" s="1"/>
  <c r="AO72"/>
  <c r="AQ72" s="1"/>
  <c r="AH101"/>
  <c r="AF99"/>
  <c r="AH99" s="1"/>
  <c r="AB101"/>
  <c r="Z99"/>
  <c r="AB99" s="1"/>
  <c r="E17"/>
  <c r="G17" s="1"/>
  <c r="E12"/>
  <c r="AK84"/>
  <c r="AJ83"/>
  <c r="AJ90"/>
  <c r="AE84"/>
  <c r="AD83"/>
  <c r="AD90"/>
  <c r="M84"/>
  <c r="L90"/>
  <c r="L83"/>
  <c r="F99"/>
  <c r="E101"/>
  <c r="E99" s="1"/>
  <c r="H99"/>
  <c r="J99" s="1"/>
  <c r="AK101"/>
  <c r="AI99"/>
  <c r="AK99" s="1"/>
  <c r="AE101"/>
  <c r="AC99"/>
  <c r="AE99" s="1"/>
  <c r="Y101"/>
  <c r="W99"/>
  <c r="Y99" s="1"/>
  <c r="E23"/>
  <c r="G23" s="1"/>
  <c r="E13"/>
  <c r="AM92"/>
  <c r="AN92" s="1"/>
  <c r="AN86"/>
  <c r="AA92"/>
  <c r="AB92" s="1"/>
  <c r="AB86"/>
  <c r="R92"/>
  <c r="S92" s="1"/>
  <c r="S86"/>
  <c r="L92"/>
  <c r="M92" s="1"/>
  <c r="M86"/>
  <c r="AD91"/>
  <c r="AE91" s="1"/>
  <c r="AE85"/>
  <c r="V85"/>
  <c r="U91"/>
  <c r="J85"/>
  <c r="F85"/>
  <c r="G85" s="1"/>
  <c r="I91"/>
  <c r="AL83"/>
  <c r="AL90"/>
  <c r="AC90"/>
  <c r="AC83"/>
  <c r="T90"/>
  <c r="T83"/>
  <c r="H83"/>
  <c r="AM90"/>
  <c r="AN84"/>
  <c r="AM83"/>
  <c r="AG90"/>
  <c r="AH84"/>
  <c r="AG83"/>
  <c r="AA90"/>
  <c r="AB84"/>
  <c r="AA83"/>
  <c r="U90"/>
  <c r="V84"/>
  <c r="U83"/>
  <c r="O90"/>
  <c r="P84"/>
  <c r="O83"/>
  <c r="I90"/>
  <c r="J84"/>
  <c r="F84"/>
  <c r="I83"/>
  <c r="AP92"/>
  <c r="AQ92" s="1"/>
  <c r="AQ86"/>
  <c r="AJ92"/>
  <c r="AK92" s="1"/>
  <c r="AK86"/>
  <c r="AG92"/>
  <c r="AH92" s="1"/>
  <c r="AH86"/>
  <c r="AD92"/>
  <c r="AE92" s="1"/>
  <c r="AE86"/>
  <c r="X92"/>
  <c r="Y92" s="1"/>
  <c r="Y86"/>
  <c r="U92"/>
  <c r="V92" s="1"/>
  <c r="V86"/>
  <c r="O92"/>
  <c r="P92" s="1"/>
  <c r="P86"/>
  <c r="I92"/>
  <c r="F86"/>
  <c r="G86" s="1"/>
  <c r="AP91"/>
  <c r="AQ85"/>
  <c r="AN85"/>
  <c r="AM91"/>
  <c r="AN91" s="1"/>
  <c r="AJ91"/>
  <c r="AK91" s="1"/>
  <c r="AK85"/>
  <c r="AH85"/>
  <c r="AG91"/>
  <c r="AB85"/>
  <c r="AA91"/>
  <c r="X91"/>
  <c r="Y91" s="1"/>
  <c r="Y85"/>
  <c r="R91"/>
  <c r="S91" s="1"/>
  <c r="S85"/>
  <c r="P85"/>
  <c r="O91"/>
  <c r="P91" s="1"/>
  <c r="L91"/>
  <c r="M85"/>
  <c r="AI90"/>
  <c r="AI83"/>
  <c r="AF83"/>
  <c r="AF90"/>
  <c r="Z83"/>
  <c r="Z90"/>
  <c r="W90"/>
  <c r="W83"/>
  <c r="Q90"/>
  <c r="Q83"/>
  <c r="N90"/>
  <c r="N83"/>
  <c r="K90"/>
  <c r="K83"/>
  <c r="E123"/>
  <c r="G123" s="1"/>
  <c r="G94"/>
  <c r="V101"/>
  <c r="J101"/>
  <c r="G40"/>
  <c r="G18"/>
  <c r="G75"/>
  <c r="AO91"/>
  <c r="AF91"/>
  <c r="Z91"/>
  <c r="H91"/>
  <c r="AQ73"/>
  <c r="AN72"/>
  <c r="AB72"/>
  <c r="V72"/>
  <c r="P72"/>
  <c r="J72"/>
  <c r="M101"/>
  <c r="K99"/>
  <c r="M99" s="1"/>
  <c r="AP83"/>
  <c r="AP90"/>
  <c r="Y84"/>
  <c r="X90"/>
  <c r="X83"/>
  <c r="S84"/>
  <c r="R90"/>
  <c r="R83"/>
  <c r="K91"/>
  <c r="AE72"/>
  <c r="F72"/>
  <c r="U79" i="37"/>
  <c r="O79"/>
  <c r="L79"/>
  <c r="L71"/>
  <c r="O71"/>
  <c r="AM71"/>
  <c r="N89" i="46" l="1"/>
  <c r="Q89"/>
  <c r="W89"/>
  <c r="AI89"/>
  <c r="AL89"/>
  <c r="AC89"/>
  <c r="AQ84"/>
  <c r="Y83"/>
  <c r="F92"/>
  <c r="G92" s="1"/>
  <c r="AN83"/>
  <c r="S83"/>
  <c r="J83"/>
  <c r="Y90"/>
  <c r="X89"/>
  <c r="AP89"/>
  <c r="G84"/>
  <c r="F83"/>
  <c r="G83" s="1"/>
  <c r="J90"/>
  <c r="F90"/>
  <c r="I89"/>
  <c r="V90"/>
  <c r="U89"/>
  <c r="AH90"/>
  <c r="AG89"/>
  <c r="E74"/>
  <c r="G74" s="1"/>
  <c r="G13"/>
  <c r="AK90"/>
  <c r="AJ89"/>
  <c r="AK89" s="1"/>
  <c r="AO90"/>
  <c r="AO83"/>
  <c r="AQ83" s="1"/>
  <c r="E91"/>
  <c r="Z89"/>
  <c r="AF89"/>
  <c r="AB91"/>
  <c r="AH91"/>
  <c r="V83"/>
  <c r="AH83"/>
  <c r="T89"/>
  <c r="V91"/>
  <c r="G99"/>
  <c r="M83"/>
  <c r="AE83"/>
  <c r="S90"/>
  <c r="R89"/>
  <c r="P90"/>
  <c r="O89"/>
  <c r="AB90"/>
  <c r="AA89"/>
  <c r="AN90"/>
  <c r="AM89"/>
  <c r="H89"/>
  <c r="J91"/>
  <c r="F91"/>
  <c r="M90"/>
  <c r="L89"/>
  <c r="AE90"/>
  <c r="AD89"/>
  <c r="E11"/>
  <c r="G11" s="1"/>
  <c r="E73"/>
  <c r="G12"/>
  <c r="K89"/>
  <c r="M91"/>
  <c r="AQ91"/>
  <c r="P83"/>
  <c r="AB83"/>
  <c r="G101"/>
  <c r="AK83"/>
  <c r="Q24" i="37"/>
  <c r="N24"/>
  <c r="S89" i="46" l="1"/>
  <c r="AE89"/>
  <c r="Y89"/>
  <c r="AN89"/>
  <c r="P89"/>
  <c r="AO89"/>
  <c r="E90"/>
  <c r="E89" s="1"/>
  <c r="AB89"/>
  <c r="G91"/>
  <c r="M89"/>
  <c r="E72"/>
  <c r="G72" s="1"/>
  <c r="G73"/>
  <c r="AH89"/>
  <c r="V89"/>
  <c r="J89"/>
  <c r="AQ90"/>
  <c r="F89"/>
  <c r="AQ89"/>
  <c r="N26" i="37"/>
  <c r="AM26"/>
  <c r="AJ26"/>
  <c r="AG26"/>
  <c r="AD26"/>
  <c r="AA26"/>
  <c r="X26"/>
  <c r="U26"/>
  <c r="R26"/>
  <c r="O26"/>
  <c r="Q26" s="1"/>
  <c r="G90" i="46" l="1"/>
  <c r="G89"/>
  <c r="L15" i="37"/>
  <c r="AM16"/>
  <c r="Q16"/>
  <c r="N16"/>
  <c r="O14"/>
  <c r="Q14" s="1"/>
  <c r="Q15" l="1"/>
  <c r="R15"/>
  <c r="T15" s="1"/>
  <c r="AP11"/>
  <c r="AP71"/>
  <c r="F71" s="1"/>
  <c r="O58"/>
  <c r="Q58" s="1"/>
  <c r="R79"/>
  <c r="R77" s="1"/>
  <c r="N79"/>
  <c r="R79" i="35"/>
  <c r="T79" s="1"/>
  <c r="O79"/>
  <c r="L79"/>
  <c r="L64" s="1"/>
  <c r="G80" i="37"/>
  <c r="F80"/>
  <c r="AP79"/>
  <c r="AM79"/>
  <c r="AM77" s="1"/>
  <c r="AJ79"/>
  <c r="AI79"/>
  <c r="AG79"/>
  <c r="AG77" s="1"/>
  <c r="AF79"/>
  <c r="AD79"/>
  <c r="AC79"/>
  <c r="AA79"/>
  <c r="Z79"/>
  <c r="Z77" s="1"/>
  <c r="X79"/>
  <c r="W79"/>
  <c r="U77"/>
  <c r="Q79"/>
  <c r="G79"/>
  <c r="G78"/>
  <c r="F78"/>
  <c r="AP77"/>
  <c r="AO77"/>
  <c r="AN77"/>
  <c r="AL77"/>
  <c r="AK77"/>
  <c r="AJ77"/>
  <c r="AH77"/>
  <c r="AE77"/>
  <c r="AD77"/>
  <c r="AB77"/>
  <c r="AA77"/>
  <c r="Y77"/>
  <c r="X77"/>
  <c r="V77"/>
  <c r="S77"/>
  <c r="P77"/>
  <c r="O77"/>
  <c r="M77"/>
  <c r="L77"/>
  <c r="J77"/>
  <c r="I77"/>
  <c r="G76"/>
  <c r="F76"/>
  <c r="G75"/>
  <c r="F75"/>
  <c r="G74"/>
  <c r="F74"/>
  <c r="F73" s="1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G65" s="1"/>
  <c r="F72"/>
  <c r="AI71"/>
  <c r="AF71"/>
  <c r="AC71"/>
  <c r="AC64" s="1"/>
  <c r="Z71"/>
  <c r="W71"/>
  <c r="T71"/>
  <c r="Q71"/>
  <c r="N71"/>
  <c r="G71"/>
  <c r="G69" s="1"/>
  <c r="G70"/>
  <c r="F70"/>
  <c r="AO69"/>
  <c r="AN69"/>
  <c r="AM69"/>
  <c r="AL69"/>
  <c r="AK69"/>
  <c r="AJ69"/>
  <c r="AH69"/>
  <c r="AG69"/>
  <c r="AE69"/>
  <c r="AD69"/>
  <c r="AB69"/>
  <c r="AA69"/>
  <c r="Y69"/>
  <c r="X69"/>
  <c r="V69"/>
  <c r="U69"/>
  <c r="S69"/>
  <c r="R69"/>
  <c r="P69"/>
  <c r="O69"/>
  <c r="M69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O64"/>
  <c r="AN64"/>
  <c r="AM64"/>
  <c r="AL64"/>
  <c r="AK64"/>
  <c r="AJ64"/>
  <c r="AI64"/>
  <c r="AH64"/>
  <c r="AE64"/>
  <c r="AF64" s="1"/>
  <c r="AD64"/>
  <c r="AB64"/>
  <c r="AA64"/>
  <c r="Z64"/>
  <c r="Y64"/>
  <c r="X64"/>
  <c r="V64"/>
  <c r="S64"/>
  <c r="P64"/>
  <c r="O64"/>
  <c r="M64"/>
  <c r="L64"/>
  <c r="J64"/>
  <c r="I64"/>
  <c r="AR63"/>
  <c r="AQ63"/>
  <c r="AP63"/>
  <c r="AO63"/>
  <c r="AO62" s="1"/>
  <c r="AN63"/>
  <c r="AM63"/>
  <c r="AL63"/>
  <c r="AK63"/>
  <c r="AJ63"/>
  <c r="AI63"/>
  <c r="AH63"/>
  <c r="AG63"/>
  <c r="AF63"/>
  <c r="AE63"/>
  <c r="AD63"/>
  <c r="AC63"/>
  <c r="AC62" s="1"/>
  <c r="AB63"/>
  <c r="AA63"/>
  <c r="Z63"/>
  <c r="Y63"/>
  <c r="X63"/>
  <c r="W63"/>
  <c r="V63"/>
  <c r="U63"/>
  <c r="S63"/>
  <c r="R63"/>
  <c r="P63"/>
  <c r="O63"/>
  <c r="N63"/>
  <c r="M63"/>
  <c r="L63"/>
  <c r="J63"/>
  <c r="J62" s="1"/>
  <c r="I63"/>
  <c r="G63"/>
  <c r="AR62"/>
  <c r="AQ62"/>
  <c r="AJ62"/>
  <c r="X62"/>
  <c r="L62"/>
  <c r="G59"/>
  <c r="F59"/>
  <c r="F51" s="1"/>
  <c r="AI58"/>
  <c r="Z58"/>
  <c r="G58"/>
  <c r="G50" s="1"/>
  <c r="F58"/>
  <c r="F50" s="1"/>
  <c r="G57"/>
  <c r="F57"/>
  <c r="F49" s="1"/>
  <c r="AP56"/>
  <c r="AO56"/>
  <c r="AN56"/>
  <c r="AM56"/>
  <c r="AL56"/>
  <c r="AK56"/>
  <c r="AJ56"/>
  <c r="AH56"/>
  <c r="AG56"/>
  <c r="AF56"/>
  <c r="AE56"/>
  <c r="AD56"/>
  <c r="AC56"/>
  <c r="AB56"/>
  <c r="AA56"/>
  <c r="Z56"/>
  <c r="Y56"/>
  <c r="X56"/>
  <c r="V56"/>
  <c r="U56"/>
  <c r="T56"/>
  <c r="S56"/>
  <c r="R56"/>
  <c r="P56"/>
  <c r="O56"/>
  <c r="M56"/>
  <c r="L56"/>
  <c r="J56"/>
  <c r="I56"/>
  <c r="G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G51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M50"/>
  <c r="L50"/>
  <c r="J50"/>
  <c r="I50"/>
  <c r="AR49"/>
  <c r="AQ49"/>
  <c r="AP49"/>
  <c r="AO49"/>
  <c r="AN49"/>
  <c r="AM49"/>
  <c r="AM48" s="1"/>
  <c r="AL49"/>
  <c r="AK49"/>
  <c r="AJ49"/>
  <c r="AI49"/>
  <c r="AI48" s="1"/>
  <c r="AH49"/>
  <c r="AG49"/>
  <c r="AF49"/>
  <c r="AE49"/>
  <c r="AE48" s="1"/>
  <c r="AD49"/>
  <c r="AC49"/>
  <c r="AB49"/>
  <c r="AA49"/>
  <c r="Z49"/>
  <c r="Y49"/>
  <c r="X49"/>
  <c r="W49"/>
  <c r="W48" s="1"/>
  <c r="V49"/>
  <c r="U49"/>
  <c r="T49"/>
  <c r="S49"/>
  <c r="S48" s="1"/>
  <c r="R49"/>
  <c r="P49"/>
  <c r="P48" s="1"/>
  <c r="O49"/>
  <c r="M49"/>
  <c r="M48" s="1"/>
  <c r="L49"/>
  <c r="J49"/>
  <c r="J48" s="1"/>
  <c r="I49"/>
  <c r="G49"/>
  <c r="AQ48"/>
  <c r="AA48"/>
  <c r="G45"/>
  <c r="G36" s="1"/>
  <c r="F45"/>
  <c r="AI44"/>
  <c r="AI35" s="1"/>
  <c r="AF44"/>
  <c r="AC44"/>
  <c r="Z44"/>
  <c r="Z35" s="1"/>
  <c r="W44"/>
  <c r="W35" s="1"/>
  <c r="T44"/>
  <c r="Q44"/>
  <c r="N44"/>
  <c r="K44"/>
  <c r="G44"/>
  <c r="G35" s="1"/>
  <c r="F44"/>
  <c r="AI43"/>
  <c r="AF43"/>
  <c r="AC43"/>
  <c r="Z43"/>
  <c r="Z34" s="1"/>
  <c r="W43"/>
  <c r="T43"/>
  <c r="Q43"/>
  <c r="N43"/>
  <c r="G43"/>
  <c r="F43"/>
  <c r="F34" s="1"/>
  <c r="AP42"/>
  <c r="AO42"/>
  <c r="AN42"/>
  <c r="AM42"/>
  <c r="AL42"/>
  <c r="AK42"/>
  <c r="AJ42"/>
  <c r="AH42"/>
  <c r="AI42" s="1"/>
  <c r="AG42"/>
  <c r="AE42"/>
  <c r="AF42" s="1"/>
  <c r="AD42"/>
  <c r="AB42"/>
  <c r="AC42" s="1"/>
  <c r="AA42"/>
  <c r="Y42"/>
  <c r="X42"/>
  <c r="V42"/>
  <c r="W42" s="1"/>
  <c r="U42"/>
  <c r="S42"/>
  <c r="T42" s="1"/>
  <c r="R42"/>
  <c r="P42"/>
  <c r="Q42" s="1"/>
  <c r="O42"/>
  <c r="M42"/>
  <c r="N42" s="1"/>
  <c r="L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H35"/>
  <c r="AG35"/>
  <c r="AE35"/>
  <c r="AD35"/>
  <c r="AC35"/>
  <c r="AB35"/>
  <c r="AA35"/>
  <c r="Y35"/>
  <c r="X35"/>
  <c r="V35"/>
  <c r="U35"/>
  <c r="S35"/>
  <c r="R35"/>
  <c r="P35"/>
  <c r="O35"/>
  <c r="M35"/>
  <c r="L35"/>
  <c r="J35"/>
  <c r="I35"/>
  <c r="AR34"/>
  <c r="AQ34"/>
  <c r="AP34"/>
  <c r="AO34"/>
  <c r="AN34"/>
  <c r="AM34"/>
  <c r="AL34"/>
  <c r="AK34"/>
  <c r="AJ34"/>
  <c r="AI34"/>
  <c r="AH34"/>
  <c r="AG34"/>
  <c r="AE34"/>
  <c r="AD34"/>
  <c r="AC34"/>
  <c r="AB34"/>
  <c r="AA34"/>
  <c r="Y34"/>
  <c r="X34"/>
  <c r="W34"/>
  <c r="V34"/>
  <c r="U34"/>
  <c r="S34"/>
  <c r="R34"/>
  <c r="P34"/>
  <c r="O34"/>
  <c r="M34"/>
  <c r="L34"/>
  <c r="J34"/>
  <c r="I34"/>
  <c r="G34"/>
  <c r="AQ33"/>
  <c r="AA33"/>
  <c r="O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I26"/>
  <c r="AI10" s="1"/>
  <c r="AI82" s="1"/>
  <c r="AF26"/>
  <c r="AC26"/>
  <c r="AC25" s="1"/>
  <c r="Z26"/>
  <c r="K26"/>
  <c r="G26"/>
  <c r="F26"/>
  <c r="AR25"/>
  <c r="AQ25"/>
  <c r="AP25"/>
  <c r="AO25"/>
  <c r="AN25"/>
  <c r="AM25"/>
  <c r="AL25"/>
  <c r="AK25"/>
  <c r="AJ25"/>
  <c r="AH25"/>
  <c r="AI25" s="1"/>
  <c r="AG25"/>
  <c r="AE25"/>
  <c r="AD25"/>
  <c r="AB25"/>
  <c r="AA25"/>
  <c r="Z25"/>
  <c r="Y25"/>
  <c r="X25"/>
  <c r="W25"/>
  <c r="V25"/>
  <c r="U25"/>
  <c r="S25"/>
  <c r="R25"/>
  <c r="P25"/>
  <c r="Q25" s="1"/>
  <c r="O25"/>
  <c r="M25"/>
  <c r="N25" s="1"/>
  <c r="L25"/>
  <c r="J25"/>
  <c r="K25" s="1"/>
  <c r="I25"/>
  <c r="K24"/>
  <c r="G24"/>
  <c r="F24"/>
  <c r="G23"/>
  <c r="F23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W22" s="1"/>
  <c r="S22"/>
  <c r="R22"/>
  <c r="P22"/>
  <c r="O22"/>
  <c r="M22"/>
  <c r="L22"/>
  <c r="J22"/>
  <c r="I22"/>
  <c r="K22" s="1"/>
  <c r="G20"/>
  <c r="F20"/>
  <c r="K19"/>
  <c r="G19"/>
  <c r="F19"/>
  <c r="G18"/>
  <c r="F18"/>
  <c r="AR17"/>
  <c r="AQ17"/>
  <c r="AP17"/>
  <c r="AO17"/>
  <c r="AN17"/>
  <c r="AM17"/>
  <c r="AL17"/>
  <c r="AK17"/>
  <c r="AJ17"/>
  <c r="AI17"/>
  <c r="AH17"/>
  <c r="AG17"/>
  <c r="AE17"/>
  <c r="AF17" s="1"/>
  <c r="AD17"/>
  <c r="AC17"/>
  <c r="AB17"/>
  <c r="AA17"/>
  <c r="Y17"/>
  <c r="X17"/>
  <c r="V17"/>
  <c r="U17"/>
  <c r="S17"/>
  <c r="R17"/>
  <c r="P17"/>
  <c r="O17"/>
  <c r="M17"/>
  <c r="L17"/>
  <c r="J17"/>
  <c r="I17"/>
  <c r="AD16"/>
  <c r="AD12" s="1"/>
  <c r="K16"/>
  <c r="G16"/>
  <c r="AM15"/>
  <c r="AM13" s="1"/>
  <c r="AJ15"/>
  <c r="AG11"/>
  <c r="AD15"/>
  <c r="AF15" s="1"/>
  <c r="AA15"/>
  <c r="AA11" s="1"/>
  <c r="AA83" s="1"/>
  <c r="Z15"/>
  <c r="Z11" s="1"/>
  <c r="U15"/>
  <c r="U13" s="1"/>
  <c r="N15"/>
  <c r="K15"/>
  <c r="G15"/>
  <c r="AP10"/>
  <c r="AM14"/>
  <c r="AJ14"/>
  <c r="AJ13" s="1"/>
  <c r="AD10"/>
  <c r="AA14"/>
  <c r="AA13" s="1"/>
  <c r="R14"/>
  <c r="R10" s="1"/>
  <c r="L14"/>
  <c r="N14" s="1"/>
  <c r="I14"/>
  <c r="G14"/>
  <c r="AR13"/>
  <c r="AQ13"/>
  <c r="AO13"/>
  <c r="AN13"/>
  <c r="AL13"/>
  <c r="AK13"/>
  <c r="AH13"/>
  <c r="AE13"/>
  <c r="AD13"/>
  <c r="AB13"/>
  <c r="Z13"/>
  <c r="Y13"/>
  <c r="X13"/>
  <c r="V13"/>
  <c r="S13"/>
  <c r="P13"/>
  <c r="M13"/>
  <c r="J13"/>
  <c r="AR12"/>
  <c r="AQ12"/>
  <c r="AQ84" s="1"/>
  <c r="AP12"/>
  <c r="AO12"/>
  <c r="AO84" s="1"/>
  <c r="AN12"/>
  <c r="AM12"/>
  <c r="AM84" s="1"/>
  <c r="AL12"/>
  <c r="AK12"/>
  <c r="AK84" s="1"/>
  <c r="AJ12"/>
  <c r="AI12"/>
  <c r="AI84" s="1"/>
  <c r="AH12"/>
  <c r="AG12"/>
  <c r="AG84" s="1"/>
  <c r="AE12"/>
  <c r="AC12"/>
  <c r="AC84" s="1"/>
  <c r="AB12"/>
  <c r="AA12"/>
  <c r="AA84" s="1"/>
  <c r="Z12"/>
  <c r="Y12"/>
  <c r="Y84" s="1"/>
  <c r="X12"/>
  <c r="V12"/>
  <c r="W12" s="1"/>
  <c r="W84" s="1"/>
  <c r="U12"/>
  <c r="S12"/>
  <c r="R12"/>
  <c r="P12"/>
  <c r="P84" s="1"/>
  <c r="O12"/>
  <c r="M12"/>
  <c r="M84" s="1"/>
  <c r="L12"/>
  <c r="J12"/>
  <c r="I12"/>
  <c r="AR11"/>
  <c r="AR83" s="1"/>
  <c r="AQ11"/>
  <c r="AO11"/>
  <c r="AN11"/>
  <c r="AM11"/>
  <c r="AM83" s="1"/>
  <c r="AL11"/>
  <c r="AK11"/>
  <c r="AJ11"/>
  <c r="AI11"/>
  <c r="AH11"/>
  <c r="AE11"/>
  <c r="AE83" s="1"/>
  <c r="AD11"/>
  <c r="AB11"/>
  <c r="AB83" s="1"/>
  <c r="Y11"/>
  <c r="X11"/>
  <c r="X83" s="1"/>
  <c r="V11"/>
  <c r="S11"/>
  <c r="S83" s="1"/>
  <c r="P11"/>
  <c r="P83" s="1"/>
  <c r="M11"/>
  <c r="L11"/>
  <c r="J11"/>
  <c r="AR10"/>
  <c r="AQ10"/>
  <c r="AQ82" s="1"/>
  <c r="AO10"/>
  <c r="AN10"/>
  <c r="AM10"/>
  <c r="AL10"/>
  <c r="AL82" s="1"/>
  <c r="AK10"/>
  <c r="AJ10"/>
  <c r="AH10"/>
  <c r="AH82" s="1"/>
  <c r="AG10"/>
  <c r="AE10"/>
  <c r="AB10"/>
  <c r="Z10"/>
  <c r="Z82" s="1"/>
  <c r="Y10"/>
  <c r="X10"/>
  <c r="V10"/>
  <c r="V82" s="1"/>
  <c r="U10"/>
  <c r="S10"/>
  <c r="P10"/>
  <c r="O10"/>
  <c r="M10"/>
  <c r="M82" s="1"/>
  <c r="J10"/>
  <c r="J82" s="1"/>
  <c r="AR9"/>
  <c r="AQ9"/>
  <c r="AH9"/>
  <c r="O26" i="35"/>
  <c r="I14"/>
  <c r="K14" s="1"/>
  <c r="O14"/>
  <c r="K26"/>
  <c r="K24"/>
  <c r="K19"/>
  <c r="K16"/>
  <c r="X15"/>
  <c r="X11" s="1"/>
  <c r="AP15"/>
  <c r="I15"/>
  <c r="K15" s="1"/>
  <c r="AP14"/>
  <c r="G80"/>
  <c r="F80"/>
  <c r="AP79"/>
  <c r="AP77" s="1"/>
  <c r="AM79"/>
  <c r="AM77" s="1"/>
  <c r="AJ79"/>
  <c r="AJ64" s="1"/>
  <c r="AG79"/>
  <c r="AG64" s="1"/>
  <c r="AD79"/>
  <c r="AF79" s="1"/>
  <c r="AA79"/>
  <c r="AA77" s="1"/>
  <c r="X79"/>
  <c r="Z79" s="1"/>
  <c r="U79"/>
  <c r="U64" s="1"/>
  <c r="O77"/>
  <c r="N79"/>
  <c r="G79"/>
  <c r="G78"/>
  <c r="F78"/>
  <c r="AO77"/>
  <c r="AN77"/>
  <c r="AL77"/>
  <c r="AK77"/>
  <c r="AJ77"/>
  <c r="AH77"/>
  <c r="AG77"/>
  <c r="AE77"/>
  <c r="AB77"/>
  <c r="Y77"/>
  <c r="X77"/>
  <c r="V77"/>
  <c r="U77"/>
  <c r="S77"/>
  <c r="P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I71"/>
  <c r="AF71"/>
  <c r="AC71"/>
  <c r="Z71"/>
  <c r="W71"/>
  <c r="T71"/>
  <c r="Q71"/>
  <c r="N71"/>
  <c r="G71"/>
  <c r="F71"/>
  <c r="H71" s="1"/>
  <c r="G70"/>
  <c r="F70"/>
  <c r="F63" s="1"/>
  <c r="AP69"/>
  <c r="AO69"/>
  <c r="AN69"/>
  <c r="AM69"/>
  <c r="AL69"/>
  <c r="AK69"/>
  <c r="AJ69"/>
  <c r="AH69"/>
  <c r="AI69" s="1"/>
  <c r="AG69"/>
  <c r="AE69"/>
  <c r="AF69" s="1"/>
  <c r="AD69"/>
  <c r="AB69"/>
  <c r="AA69"/>
  <c r="Y69"/>
  <c r="Z69" s="1"/>
  <c r="X69"/>
  <c r="V69"/>
  <c r="W69" s="1"/>
  <c r="U69"/>
  <c r="S69"/>
  <c r="T69" s="1"/>
  <c r="R69"/>
  <c r="P69"/>
  <c r="O69"/>
  <c r="M69"/>
  <c r="N69" s="1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L64"/>
  <c r="AK64"/>
  <c r="AH64"/>
  <c r="AE64"/>
  <c r="AD64"/>
  <c r="AB64"/>
  <c r="Y64"/>
  <c r="X64"/>
  <c r="V64"/>
  <c r="S64"/>
  <c r="P64"/>
  <c r="M64"/>
  <c r="J64"/>
  <c r="I64"/>
  <c r="AR63"/>
  <c r="AQ63"/>
  <c r="AP63"/>
  <c r="AP62" s="1"/>
  <c r="AO63"/>
  <c r="AN63"/>
  <c r="AN62" s="1"/>
  <c r="AM63"/>
  <c r="AL63"/>
  <c r="AL62" s="1"/>
  <c r="AK63"/>
  <c r="AJ63"/>
  <c r="AI63"/>
  <c r="AH63"/>
  <c r="AH62" s="1"/>
  <c r="AG63"/>
  <c r="AF63"/>
  <c r="AE63"/>
  <c r="AE62" s="1"/>
  <c r="AD63"/>
  <c r="AD62" s="1"/>
  <c r="AC63"/>
  <c r="AB63"/>
  <c r="AB62" s="1"/>
  <c r="AA63"/>
  <c r="Z63"/>
  <c r="Y63"/>
  <c r="X63"/>
  <c r="X62" s="1"/>
  <c r="W63"/>
  <c r="V63"/>
  <c r="V62" s="1"/>
  <c r="U63"/>
  <c r="S63"/>
  <c r="S62" s="1"/>
  <c r="R63"/>
  <c r="P63"/>
  <c r="P62" s="1"/>
  <c r="O63"/>
  <c r="N63"/>
  <c r="M63"/>
  <c r="L63"/>
  <c r="J63"/>
  <c r="I63"/>
  <c r="I62" s="1"/>
  <c r="AR62"/>
  <c r="AQ62"/>
  <c r="AO62"/>
  <c r="AK62"/>
  <c r="Y62"/>
  <c r="J62"/>
  <c r="G59"/>
  <c r="G51" s="1"/>
  <c r="F59"/>
  <c r="F51" s="1"/>
  <c r="AI58"/>
  <c r="AI50" s="1"/>
  <c r="Z58"/>
  <c r="Z56" s="1"/>
  <c r="Q58"/>
  <c r="G58"/>
  <c r="H58" s="1"/>
  <c r="F58"/>
  <c r="G57"/>
  <c r="G56" s="1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Q50" s="1"/>
  <c r="M50"/>
  <c r="L50"/>
  <c r="J50"/>
  <c r="I50"/>
  <c r="F50"/>
  <c r="AR49"/>
  <c r="AQ49"/>
  <c r="AP49"/>
  <c r="AO49"/>
  <c r="AN49"/>
  <c r="AM49"/>
  <c r="AL49"/>
  <c r="AK49"/>
  <c r="AJ49"/>
  <c r="AI49"/>
  <c r="AH49"/>
  <c r="AG49"/>
  <c r="AF49"/>
  <c r="AF48" s="1"/>
  <c r="AE49"/>
  <c r="AD49"/>
  <c r="AC49"/>
  <c r="AB49"/>
  <c r="AA49"/>
  <c r="Z49"/>
  <c r="Y49"/>
  <c r="X49"/>
  <c r="W49"/>
  <c r="V49"/>
  <c r="U49"/>
  <c r="T49"/>
  <c r="S49"/>
  <c r="R49"/>
  <c r="P49"/>
  <c r="P48" s="1"/>
  <c r="O49"/>
  <c r="M49"/>
  <c r="M48" s="1"/>
  <c r="L49"/>
  <c r="J49"/>
  <c r="I49"/>
  <c r="G49"/>
  <c r="AN48"/>
  <c r="X48"/>
  <c r="J48"/>
  <c r="G45"/>
  <c r="G36" s="1"/>
  <c r="F45"/>
  <c r="AI44"/>
  <c r="AF44"/>
  <c r="AC44"/>
  <c r="AC35" s="1"/>
  <c r="Z44"/>
  <c r="Z35" s="1"/>
  <c r="W44"/>
  <c r="T44"/>
  <c r="Q44"/>
  <c r="N44"/>
  <c r="K44"/>
  <c r="G44"/>
  <c r="F44"/>
  <c r="AI43"/>
  <c r="AI34" s="1"/>
  <c r="AF43"/>
  <c r="AC43"/>
  <c r="AC34" s="1"/>
  <c r="Z43"/>
  <c r="Z34" s="1"/>
  <c r="W43"/>
  <c r="W34" s="1"/>
  <c r="T43"/>
  <c r="Q43"/>
  <c r="N43"/>
  <c r="K43"/>
  <c r="G43"/>
  <c r="F43"/>
  <c r="F34" s="1"/>
  <c r="AP42"/>
  <c r="AO42"/>
  <c r="AN42"/>
  <c r="AM42"/>
  <c r="AL42"/>
  <c r="AK42"/>
  <c r="AJ42"/>
  <c r="AH42"/>
  <c r="AG42"/>
  <c r="AE42"/>
  <c r="AF42" s="1"/>
  <c r="AD42"/>
  <c r="AB42"/>
  <c r="AA42"/>
  <c r="Y42"/>
  <c r="Z42" s="1"/>
  <c r="X42"/>
  <c r="V42"/>
  <c r="W42" s="1"/>
  <c r="U42"/>
  <c r="S42"/>
  <c r="T42" s="1"/>
  <c r="R42"/>
  <c r="P42"/>
  <c r="O42"/>
  <c r="M42"/>
  <c r="N42" s="1"/>
  <c r="L42"/>
  <c r="J42"/>
  <c r="I42"/>
  <c r="F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I35"/>
  <c r="AH35"/>
  <c r="AG35"/>
  <c r="AE35"/>
  <c r="AD35"/>
  <c r="AB35"/>
  <c r="AA35"/>
  <c r="Y35"/>
  <c r="X35"/>
  <c r="W35"/>
  <c r="V35"/>
  <c r="U35"/>
  <c r="S35"/>
  <c r="R35"/>
  <c r="P35"/>
  <c r="O35"/>
  <c r="M35"/>
  <c r="L35"/>
  <c r="J35"/>
  <c r="I35"/>
  <c r="F35"/>
  <c r="AR34"/>
  <c r="AR33" s="1"/>
  <c r="AQ34"/>
  <c r="AP34"/>
  <c r="AP33" s="1"/>
  <c r="AO34"/>
  <c r="AN34"/>
  <c r="AN33" s="1"/>
  <c r="AM34"/>
  <c r="AL34"/>
  <c r="AL33" s="1"/>
  <c r="AK34"/>
  <c r="AJ34"/>
  <c r="AJ33" s="1"/>
  <c r="AH34"/>
  <c r="AG34"/>
  <c r="AE34"/>
  <c r="AD34"/>
  <c r="AF34" s="1"/>
  <c r="AB34"/>
  <c r="AB33" s="1"/>
  <c r="AA34"/>
  <c r="Y34"/>
  <c r="Y33" s="1"/>
  <c r="X34"/>
  <c r="X33" s="1"/>
  <c r="V34"/>
  <c r="U34"/>
  <c r="S34"/>
  <c r="S33" s="1"/>
  <c r="R34"/>
  <c r="P34"/>
  <c r="P33" s="1"/>
  <c r="O34"/>
  <c r="M34"/>
  <c r="M33" s="1"/>
  <c r="L34"/>
  <c r="J34"/>
  <c r="I34"/>
  <c r="AQ33"/>
  <c r="AM33"/>
  <c r="AH33"/>
  <c r="V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G26"/>
  <c r="AG25" s="1"/>
  <c r="AF26"/>
  <c r="AC26"/>
  <c r="AC25" s="1"/>
  <c r="Z26"/>
  <c r="G26"/>
  <c r="AR25"/>
  <c r="AQ25"/>
  <c r="AP25"/>
  <c r="AO25"/>
  <c r="AN25"/>
  <c r="AM25"/>
  <c r="AL25"/>
  <c r="AK25"/>
  <c r="AJ25"/>
  <c r="AH25"/>
  <c r="AE25"/>
  <c r="AD25"/>
  <c r="AB25"/>
  <c r="AA25"/>
  <c r="Z25"/>
  <c r="Y25"/>
  <c r="X25"/>
  <c r="W25"/>
  <c r="V25"/>
  <c r="U25"/>
  <c r="S25"/>
  <c r="R25"/>
  <c r="P25"/>
  <c r="M25"/>
  <c r="L25"/>
  <c r="J25"/>
  <c r="I25"/>
  <c r="G24"/>
  <c r="F24"/>
  <c r="G23"/>
  <c r="F23"/>
  <c r="F22" s="1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S22"/>
  <c r="R22"/>
  <c r="T22" s="1"/>
  <c r="P22"/>
  <c r="O22"/>
  <c r="M22"/>
  <c r="L22"/>
  <c r="J22"/>
  <c r="I22"/>
  <c r="G20"/>
  <c r="F20"/>
  <c r="G19"/>
  <c r="F19"/>
  <c r="G18"/>
  <c r="G17" s="1"/>
  <c r="F18"/>
  <c r="F17" s="1"/>
  <c r="AR17"/>
  <c r="AQ17"/>
  <c r="AP17"/>
  <c r="AO17"/>
  <c r="AN17"/>
  <c r="AM17"/>
  <c r="AL17"/>
  <c r="AK17"/>
  <c r="AJ17"/>
  <c r="AI17"/>
  <c r="AH17"/>
  <c r="AG17"/>
  <c r="AE17"/>
  <c r="AD17"/>
  <c r="AF17" s="1"/>
  <c r="AC17"/>
  <c r="AB17"/>
  <c r="AA17"/>
  <c r="Y17"/>
  <c r="Z17" s="1"/>
  <c r="X17"/>
  <c r="V17"/>
  <c r="W17" s="1"/>
  <c r="U17"/>
  <c r="S17"/>
  <c r="R17"/>
  <c r="P17"/>
  <c r="Q17" s="1"/>
  <c r="O17"/>
  <c r="M17"/>
  <c r="N17" s="1"/>
  <c r="L17"/>
  <c r="J17"/>
  <c r="I17"/>
  <c r="AD16"/>
  <c r="F16" s="1"/>
  <c r="F12" s="1"/>
  <c r="G16"/>
  <c r="AM15"/>
  <c r="AJ15"/>
  <c r="AG15"/>
  <c r="AD15"/>
  <c r="AF15" s="1"/>
  <c r="AC15"/>
  <c r="AC13" s="1"/>
  <c r="AA15"/>
  <c r="Z15"/>
  <c r="U15"/>
  <c r="W15" s="1"/>
  <c r="R15"/>
  <c r="T15" s="1"/>
  <c r="O15"/>
  <c r="O13" s="1"/>
  <c r="L15"/>
  <c r="N15" s="1"/>
  <c r="G15"/>
  <c r="AM14"/>
  <c r="AJ14"/>
  <c r="AJ13" s="1"/>
  <c r="AG14"/>
  <c r="AD14"/>
  <c r="AA14"/>
  <c r="X14"/>
  <c r="U14"/>
  <c r="U13" s="1"/>
  <c r="R14"/>
  <c r="R13" s="1"/>
  <c r="L14"/>
  <c r="L13" s="1"/>
  <c r="G14"/>
  <c r="G13" s="1"/>
  <c r="AR13"/>
  <c r="AQ13"/>
  <c r="AO13"/>
  <c r="AN13"/>
  <c r="AL13"/>
  <c r="AK13"/>
  <c r="AH13"/>
  <c r="AE13"/>
  <c r="AB13"/>
  <c r="Y13"/>
  <c r="X13"/>
  <c r="V13"/>
  <c r="S13"/>
  <c r="P13"/>
  <c r="M13"/>
  <c r="J13"/>
  <c r="AR12"/>
  <c r="AR84" s="1"/>
  <c r="AQ12"/>
  <c r="AP12"/>
  <c r="AP84" s="1"/>
  <c r="AO12"/>
  <c r="AN12"/>
  <c r="AN84" s="1"/>
  <c r="AM12"/>
  <c r="AL12"/>
  <c r="AL84" s="1"/>
  <c r="AK12"/>
  <c r="AJ12"/>
  <c r="AJ84" s="1"/>
  <c r="AI12"/>
  <c r="AH12"/>
  <c r="AH84" s="1"/>
  <c r="AG12"/>
  <c r="AE12"/>
  <c r="AE84" s="1"/>
  <c r="AC12"/>
  <c r="AC84" s="1"/>
  <c r="AB12"/>
  <c r="AA12"/>
  <c r="AA84" s="1"/>
  <c r="Z12"/>
  <c r="Y12"/>
  <c r="Y84" s="1"/>
  <c r="X12"/>
  <c r="V12"/>
  <c r="V84" s="1"/>
  <c r="U12"/>
  <c r="S12"/>
  <c r="S84" s="1"/>
  <c r="R12"/>
  <c r="P12"/>
  <c r="P84" s="1"/>
  <c r="O12"/>
  <c r="O84" s="1"/>
  <c r="M12"/>
  <c r="M84" s="1"/>
  <c r="L12"/>
  <c r="J12"/>
  <c r="J84" s="1"/>
  <c r="I12"/>
  <c r="G12"/>
  <c r="AR11"/>
  <c r="AQ11"/>
  <c r="AQ83" s="1"/>
  <c r="AP11"/>
  <c r="AO11"/>
  <c r="AO83" s="1"/>
  <c r="AN11"/>
  <c r="AM11"/>
  <c r="AL11"/>
  <c r="AL83" s="1"/>
  <c r="AK11"/>
  <c r="AK83" s="1"/>
  <c r="AJ11"/>
  <c r="AI11"/>
  <c r="AH11"/>
  <c r="AG11"/>
  <c r="AE11"/>
  <c r="AE83" s="1"/>
  <c r="AD11"/>
  <c r="AD83" s="1"/>
  <c r="AB11"/>
  <c r="AB83" s="1"/>
  <c r="AA11"/>
  <c r="Y11"/>
  <c r="Y83" s="1"/>
  <c r="V11"/>
  <c r="U11"/>
  <c r="U83" s="1"/>
  <c r="S11"/>
  <c r="R11"/>
  <c r="P11"/>
  <c r="P83" s="1"/>
  <c r="O11"/>
  <c r="M11"/>
  <c r="L11"/>
  <c r="J11"/>
  <c r="AR10"/>
  <c r="AR82" s="1"/>
  <c r="AR81" s="1"/>
  <c r="AQ10"/>
  <c r="AP10"/>
  <c r="AP82" s="1"/>
  <c r="AO10"/>
  <c r="AN10"/>
  <c r="AN82" s="1"/>
  <c r="AM10"/>
  <c r="AL10"/>
  <c r="AL82" s="1"/>
  <c r="AK10"/>
  <c r="AJ10"/>
  <c r="AJ82" s="1"/>
  <c r="AH10"/>
  <c r="AG10"/>
  <c r="AG82" s="1"/>
  <c r="AE10"/>
  <c r="AD10"/>
  <c r="AD82" s="1"/>
  <c r="AC10"/>
  <c r="AB10"/>
  <c r="AB82" s="1"/>
  <c r="AA10"/>
  <c r="Z10"/>
  <c r="Z82" s="1"/>
  <c r="Y10"/>
  <c r="X10"/>
  <c r="X82" s="1"/>
  <c r="V10"/>
  <c r="U10"/>
  <c r="U82" s="1"/>
  <c r="S10"/>
  <c r="R10"/>
  <c r="R82" s="1"/>
  <c r="P10"/>
  <c r="O10"/>
  <c r="O82" s="1"/>
  <c r="M10"/>
  <c r="L10"/>
  <c r="L82" s="1"/>
  <c r="J10"/>
  <c r="G10"/>
  <c r="AR9"/>
  <c r="AQ9"/>
  <c r="AH9"/>
  <c r="V9"/>
  <c r="AP79" i="34"/>
  <c r="AJ15"/>
  <c r="AG15"/>
  <c r="X15"/>
  <c r="O15"/>
  <c r="AP14"/>
  <c r="AG14"/>
  <c r="X14"/>
  <c r="O14"/>
  <c r="AJ14"/>
  <c r="AD14"/>
  <c r="AA14"/>
  <c r="U14"/>
  <c r="R14"/>
  <c r="L14"/>
  <c r="AM14"/>
  <c r="I14"/>
  <c r="Z77" i="35" l="1"/>
  <c r="Z64"/>
  <c r="AG13"/>
  <c r="AM13"/>
  <c r="K25"/>
  <c r="O33"/>
  <c r="AB48"/>
  <c r="AJ48"/>
  <c r="AR48"/>
  <c r="Z62"/>
  <c r="S33" i="37"/>
  <c r="L48"/>
  <c r="R48"/>
  <c r="Z62"/>
  <c r="AB62"/>
  <c r="Q84" i="35"/>
  <c r="K34"/>
  <c r="AA33"/>
  <c r="R33"/>
  <c r="AE33"/>
  <c r="AI42"/>
  <c r="H44"/>
  <c r="M62"/>
  <c r="G65"/>
  <c r="W10" i="37"/>
  <c r="W82" s="1"/>
  <c r="K34"/>
  <c r="AF34"/>
  <c r="T35"/>
  <c r="AE33"/>
  <c r="AI56"/>
  <c r="P62"/>
  <c r="AN62"/>
  <c r="W69"/>
  <c r="Z69"/>
  <c r="AI69"/>
  <c r="G10"/>
  <c r="AJ62" i="35"/>
  <c r="AK33" i="37"/>
  <c r="AM33"/>
  <c r="AO33"/>
  <c r="R9" i="35"/>
  <c r="AL9"/>
  <c r="J82"/>
  <c r="M82"/>
  <c r="P82"/>
  <c r="S82"/>
  <c r="V82"/>
  <c r="Y82"/>
  <c r="Y81" s="1"/>
  <c r="AA82"/>
  <c r="AC82"/>
  <c r="AE82"/>
  <c r="AH82"/>
  <c r="AK82"/>
  <c r="AM82"/>
  <c r="AO82"/>
  <c r="AQ82"/>
  <c r="M83"/>
  <c r="S83"/>
  <c r="V83"/>
  <c r="AC11"/>
  <c r="AF83"/>
  <c r="AH83"/>
  <c r="AJ83"/>
  <c r="AN83"/>
  <c r="AP83"/>
  <c r="AR83"/>
  <c r="I84"/>
  <c r="L84"/>
  <c r="R84"/>
  <c r="U84"/>
  <c r="X84"/>
  <c r="Z84"/>
  <c r="AB84"/>
  <c r="AD12"/>
  <c r="AD84" s="1"/>
  <c r="AD81" s="1"/>
  <c r="AG84"/>
  <c r="AI84"/>
  <c r="AK84"/>
  <c r="AM84"/>
  <c r="AO84"/>
  <c r="AQ84"/>
  <c r="Q15"/>
  <c r="T17"/>
  <c r="K22"/>
  <c r="N22"/>
  <c r="Q22"/>
  <c r="W22"/>
  <c r="AF22"/>
  <c r="H29"/>
  <c r="AD33"/>
  <c r="AF33" s="1"/>
  <c r="I33"/>
  <c r="L33"/>
  <c r="N33" s="1"/>
  <c r="T34"/>
  <c r="AK33"/>
  <c r="AO33"/>
  <c r="N35"/>
  <c r="Q42"/>
  <c r="AC42"/>
  <c r="L48"/>
  <c r="O48"/>
  <c r="R48"/>
  <c r="V48"/>
  <c r="Z48"/>
  <c r="AD48"/>
  <c r="AH48"/>
  <c r="AL48"/>
  <c r="AP48"/>
  <c r="G50"/>
  <c r="H50" s="1"/>
  <c r="U48"/>
  <c r="Y48"/>
  <c r="AC48"/>
  <c r="AG48"/>
  <c r="AK48"/>
  <c r="AO48"/>
  <c r="Q56"/>
  <c r="F56"/>
  <c r="H56" s="1"/>
  <c r="Q69"/>
  <c r="AC69"/>
  <c r="H75"/>
  <c r="V9" i="37"/>
  <c r="AL9"/>
  <c r="L10"/>
  <c r="N10" s="1"/>
  <c r="O82"/>
  <c r="S82"/>
  <c r="AA10"/>
  <c r="AA82" s="1"/>
  <c r="AE82"/>
  <c r="AM82"/>
  <c r="V83"/>
  <c r="AD83"/>
  <c r="AH83"/>
  <c r="AJ83"/>
  <c r="AL83"/>
  <c r="AN83"/>
  <c r="AQ83"/>
  <c r="I84"/>
  <c r="L84"/>
  <c r="O84"/>
  <c r="T12"/>
  <c r="U84"/>
  <c r="X84"/>
  <c r="AB84"/>
  <c r="AE84"/>
  <c r="AJ84"/>
  <c r="AN84"/>
  <c r="AR84"/>
  <c r="L13"/>
  <c r="F14"/>
  <c r="H14" s="1"/>
  <c r="K17"/>
  <c r="Q17"/>
  <c r="T17"/>
  <c r="W17"/>
  <c r="Z17"/>
  <c r="Q22"/>
  <c r="T22"/>
  <c r="AF22"/>
  <c r="H26"/>
  <c r="N34"/>
  <c r="T34"/>
  <c r="AN33"/>
  <c r="K35"/>
  <c r="Q35"/>
  <c r="AF35"/>
  <c r="K42"/>
  <c r="Z42"/>
  <c r="H43"/>
  <c r="AC69"/>
  <c r="AP69"/>
  <c r="N77"/>
  <c r="AF77"/>
  <c r="AJ81" i="35"/>
  <c r="AN81"/>
  <c r="K84"/>
  <c r="H19" i="37"/>
  <c r="N10" i="35"/>
  <c r="T11"/>
  <c r="AF11"/>
  <c r="Q12"/>
  <c r="T84"/>
  <c r="AF12"/>
  <c r="T13"/>
  <c r="AD13"/>
  <c r="AF13" s="1"/>
  <c r="Q13"/>
  <c r="AA13"/>
  <c r="AF25"/>
  <c r="T33"/>
  <c r="Q34"/>
  <c r="U33"/>
  <c r="AG33"/>
  <c r="Q35"/>
  <c r="T35"/>
  <c r="AF35"/>
  <c r="H43"/>
  <c r="Z33"/>
  <c r="S48"/>
  <c r="W48"/>
  <c r="AA48"/>
  <c r="AE48"/>
  <c r="AM48"/>
  <c r="AQ48"/>
  <c r="I48"/>
  <c r="AI56"/>
  <c r="AF62"/>
  <c r="L62"/>
  <c r="AF64"/>
  <c r="G69"/>
  <c r="G64"/>
  <c r="F65"/>
  <c r="F73"/>
  <c r="W77"/>
  <c r="AD77"/>
  <c r="AF77" s="1"/>
  <c r="AI77"/>
  <c r="G77"/>
  <c r="Q77"/>
  <c r="AC77"/>
  <c r="X83"/>
  <c r="AF11" i="37"/>
  <c r="K12"/>
  <c r="W13"/>
  <c r="AF13"/>
  <c r="F16"/>
  <c r="F12" s="1"/>
  <c r="F17"/>
  <c r="N22"/>
  <c r="G22"/>
  <c r="G12"/>
  <c r="J33"/>
  <c r="R33"/>
  <c r="L33"/>
  <c r="X33"/>
  <c r="I33"/>
  <c r="K33" s="1"/>
  <c r="U33"/>
  <c r="AC33"/>
  <c r="AG33"/>
  <c r="J84"/>
  <c r="G42"/>
  <c r="W33"/>
  <c r="AI33"/>
  <c r="I48"/>
  <c r="X48"/>
  <c r="AB48"/>
  <c r="AF48"/>
  <c r="AJ48"/>
  <c r="AN48"/>
  <c r="AR48"/>
  <c r="R84"/>
  <c r="V48"/>
  <c r="Z48"/>
  <c r="AD48"/>
  <c r="AH48"/>
  <c r="AL48"/>
  <c r="AP48"/>
  <c r="Q56"/>
  <c r="I62"/>
  <c r="J83"/>
  <c r="V62"/>
  <c r="AA62"/>
  <c r="AD62"/>
  <c r="AH62"/>
  <c r="AL62"/>
  <c r="N69"/>
  <c r="T69"/>
  <c r="AF69"/>
  <c r="H75"/>
  <c r="AC77"/>
  <c r="F63"/>
  <c r="G77"/>
  <c r="W77"/>
  <c r="AI77"/>
  <c r="W10" i="35"/>
  <c r="W11"/>
  <c r="T12"/>
  <c r="W13"/>
  <c r="AI25"/>
  <c r="Q33"/>
  <c r="F33"/>
  <c r="W33"/>
  <c r="AI33"/>
  <c r="Q48"/>
  <c r="H73"/>
  <c r="N64"/>
  <c r="N62" s="1"/>
  <c r="U62"/>
  <c r="AG62"/>
  <c r="AQ81" i="37"/>
  <c r="AF83"/>
  <c r="F22"/>
  <c r="H29"/>
  <c r="T33"/>
  <c r="AB82"/>
  <c r="AJ82"/>
  <c r="AR82"/>
  <c r="AR81" s="1"/>
  <c r="Y33"/>
  <c r="V84"/>
  <c r="V81" s="1"/>
  <c r="Z84"/>
  <c r="AD33"/>
  <c r="AH84"/>
  <c r="AL84"/>
  <c r="AP33"/>
  <c r="U48"/>
  <c r="Y48"/>
  <c r="AC48"/>
  <c r="AG48"/>
  <c r="AK48"/>
  <c r="AO48"/>
  <c r="F48"/>
  <c r="Y82"/>
  <c r="AK82"/>
  <c r="AI62"/>
  <c r="AM62"/>
  <c r="S84"/>
  <c r="W64"/>
  <c r="W62" s="1"/>
  <c r="F65"/>
  <c r="F69"/>
  <c r="H69" s="1"/>
  <c r="M62"/>
  <c r="Q77"/>
  <c r="Q64"/>
  <c r="L83"/>
  <c r="Q69"/>
  <c r="N64"/>
  <c r="N62" s="1"/>
  <c r="M33"/>
  <c r="N33" s="1"/>
  <c r="G33"/>
  <c r="H44"/>
  <c r="G82"/>
  <c r="AF25"/>
  <c r="G25"/>
  <c r="F25"/>
  <c r="J9"/>
  <c r="N17"/>
  <c r="G17"/>
  <c r="H17" s="1"/>
  <c r="N11"/>
  <c r="N13"/>
  <c r="AM81"/>
  <c r="Q84"/>
  <c r="P82"/>
  <c r="P81" s="1"/>
  <c r="Q12"/>
  <c r="Q10"/>
  <c r="G13"/>
  <c r="O13"/>
  <c r="Q13" s="1"/>
  <c r="R11"/>
  <c r="T11" s="1"/>
  <c r="R13"/>
  <c r="T13" s="1"/>
  <c r="O62"/>
  <c r="Q62" s="1"/>
  <c r="AP64"/>
  <c r="AP62" s="1"/>
  <c r="O48"/>
  <c r="Q48" s="1"/>
  <c r="Q50"/>
  <c r="F56"/>
  <c r="H56" s="1"/>
  <c r="R64"/>
  <c r="T79"/>
  <c r="F79"/>
  <c r="F77" s="1"/>
  <c r="H77" s="1"/>
  <c r="T77"/>
  <c r="T64"/>
  <c r="R64" i="35"/>
  <c r="R62" s="1"/>
  <c r="T62" s="1"/>
  <c r="L83"/>
  <c r="L81" s="1"/>
  <c r="R77"/>
  <c r="T77" s="1"/>
  <c r="J81" i="37"/>
  <c r="AE81"/>
  <c r="Z9"/>
  <c r="Z83"/>
  <c r="Z81" s="1"/>
  <c r="AG9"/>
  <c r="G84"/>
  <c r="S81"/>
  <c r="F10"/>
  <c r="H10" s="1"/>
  <c r="AD84"/>
  <c r="AF12"/>
  <c r="H34"/>
  <c r="AF33"/>
  <c r="AB81"/>
  <c r="AJ81"/>
  <c r="K84"/>
  <c r="T84"/>
  <c r="AI83"/>
  <c r="AI81" s="1"/>
  <c r="N84"/>
  <c r="R82"/>
  <c r="AD82"/>
  <c r="AF82" s="1"/>
  <c r="AD9"/>
  <c r="AP82"/>
  <c r="AP9"/>
  <c r="H50"/>
  <c r="G48"/>
  <c r="H48" s="1"/>
  <c r="AA81"/>
  <c r="AH81"/>
  <c r="AL81"/>
  <c r="Z33"/>
  <c r="AF84"/>
  <c r="U82"/>
  <c r="AG82"/>
  <c r="AO82"/>
  <c r="AK9"/>
  <c r="G11"/>
  <c r="G9" s="1"/>
  <c r="O11"/>
  <c r="O83" s="1"/>
  <c r="Q83" s="1"/>
  <c r="I13"/>
  <c r="K13" s="1"/>
  <c r="AG13"/>
  <c r="AP13"/>
  <c r="V33"/>
  <c r="AH33"/>
  <c r="S62"/>
  <c r="AE62"/>
  <c r="AF62" s="1"/>
  <c r="L82"/>
  <c r="X82"/>
  <c r="X81" s="1"/>
  <c r="AN82"/>
  <c r="AN81" s="1"/>
  <c r="M83"/>
  <c r="N83" s="1"/>
  <c r="AO83"/>
  <c r="AP84"/>
  <c r="S9"/>
  <c r="AA9"/>
  <c r="AE9"/>
  <c r="AI9"/>
  <c r="AM9"/>
  <c r="T10"/>
  <c r="AF10"/>
  <c r="I11"/>
  <c r="U11"/>
  <c r="N12"/>
  <c r="K14"/>
  <c r="F15"/>
  <c r="F13" s="1"/>
  <c r="W15"/>
  <c r="AC15"/>
  <c r="P33"/>
  <c r="Q33" s="1"/>
  <c r="AB33"/>
  <c r="AJ33"/>
  <c r="AR33"/>
  <c r="Q34"/>
  <c r="F35"/>
  <c r="H35" s="1"/>
  <c r="N35"/>
  <c r="H58"/>
  <c r="Y62"/>
  <c r="AK62"/>
  <c r="G64"/>
  <c r="H71"/>
  <c r="G73"/>
  <c r="H73" s="1"/>
  <c r="M9"/>
  <c r="Y9"/>
  <c r="AO9"/>
  <c r="AL33"/>
  <c r="F42"/>
  <c r="H42" s="1"/>
  <c r="Y83"/>
  <c r="Y81" s="1"/>
  <c r="AK83"/>
  <c r="AK81" s="1"/>
  <c r="L9"/>
  <c r="P9"/>
  <c r="X9"/>
  <c r="AB9"/>
  <c r="AJ9"/>
  <c r="AN9"/>
  <c r="I10"/>
  <c r="AC10"/>
  <c r="U64"/>
  <c r="U62" s="1"/>
  <c r="AG64"/>
  <c r="AG83" s="1"/>
  <c r="I10" i="35"/>
  <c r="I82" s="1"/>
  <c r="F14"/>
  <c r="G35"/>
  <c r="H35" s="1"/>
  <c r="J83"/>
  <c r="K35"/>
  <c r="J33"/>
  <c r="G25"/>
  <c r="G22"/>
  <c r="H22" s="1"/>
  <c r="G11"/>
  <c r="G83" s="1"/>
  <c r="J9"/>
  <c r="X81"/>
  <c r="I11"/>
  <c r="F15"/>
  <c r="F11" s="1"/>
  <c r="I13"/>
  <c r="K13" s="1"/>
  <c r="AP9"/>
  <c r="AP13"/>
  <c r="Q82"/>
  <c r="P81"/>
  <c r="F84"/>
  <c r="H12"/>
  <c r="K82"/>
  <c r="J81"/>
  <c r="T82"/>
  <c r="S81"/>
  <c r="N82"/>
  <c r="M81"/>
  <c r="AF82"/>
  <c r="AE81"/>
  <c r="Z13"/>
  <c r="Z11"/>
  <c r="AH81"/>
  <c r="AB81"/>
  <c r="AL81"/>
  <c r="W82"/>
  <c r="AK81"/>
  <c r="AO81"/>
  <c r="AG83"/>
  <c r="AG81" s="1"/>
  <c r="G84"/>
  <c r="N84"/>
  <c r="AF84"/>
  <c r="H17"/>
  <c r="AC33"/>
  <c r="G48"/>
  <c r="AI48"/>
  <c r="K33"/>
  <c r="F13"/>
  <c r="H13" s="1"/>
  <c r="U81"/>
  <c r="AP81"/>
  <c r="U9"/>
  <c r="W9" s="1"/>
  <c r="Y9"/>
  <c r="AG9"/>
  <c r="AO9"/>
  <c r="L9"/>
  <c r="P9"/>
  <c r="X9"/>
  <c r="AB9"/>
  <c r="AJ9"/>
  <c r="AN9"/>
  <c r="Q10"/>
  <c r="N11"/>
  <c r="K12"/>
  <c r="W12"/>
  <c r="W84" s="1"/>
  <c r="O9"/>
  <c r="S9"/>
  <c r="T9" s="1"/>
  <c r="AA9"/>
  <c r="AE9"/>
  <c r="AM9"/>
  <c r="T10"/>
  <c r="AF10"/>
  <c r="Q11"/>
  <c r="N12"/>
  <c r="K17"/>
  <c r="F26"/>
  <c r="AI26"/>
  <c r="AI10" s="1"/>
  <c r="N34"/>
  <c r="G42"/>
  <c r="H42" s="1"/>
  <c r="K42"/>
  <c r="O64"/>
  <c r="AA64"/>
  <c r="AA83" s="1"/>
  <c r="AA81" s="1"/>
  <c r="AM64"/>
  <c r="AM83" s="1"/>
  <c r="AM81" s="1"/>
  <c r="F69"/>
  <c r="H69" s="1"/>
  <c r="N77"/>
  <c r="Q79"/>
  <c r="W79"/>
  <c r="W64" s="1"/>
  <c r="AC79"/>
  <c r="AC64" s="1"/>
  <c r="AC62" s="1"/>
  <c r="AI79"/>
  <c r="AI64" s="1"/>
  <c r="N13"/>
  <c r="M9"/>
  <c r="AC9"/>
  <c r="AK9"/>
  <c r="F49"/>
  <c r="F48" s="1"/>
  <c r="G63"/>
  <c r="G62" s="1"/>
  <c r="F79"/>
  <c r="F64" s="1"/>
  <c r="H64" s="1"/>
  <c r="O25"/>
  <c r="G34"/>
  <c r="AD16" i="34"/>
  <c r="AD12" s="1"/>
  <c r="AQ12"/>
  <c r="AP12"/>
  <c r="AN12"/>
  <c r="AM12"/>
  <c r="AK12"/>
  <c r="AJ12"/>
  <c r="AH12"/>
  <c r="AG12"/>
  <c r="AE12"/>
  <c r="AB12"/>
  <c r="AA12"/>
  <c r="Y12"/>
  <c r="X12"/>
  <c r="V12"/>
  <c r="U12"/>
  <c r="S12"/>
  <c r="R12"/>
  <c r="P12"/>
  <c r="O12"/>
  <c r="M12"/>
  <c r="L12"/>
  <c r="J12"/>
  <c r="I12"/>
  <c r="AQ11"/>
  <c r="AN11"/>
  <c r="AK11"/>
  <c r="AH11"/>
  <c r="AE11"/>
  <c r="AB11"/>
  <c r="Y11"/>
  <c r="V11"/>
  <c r="S11"/>
  <c r="P11"/>
  <c r="M11"/>
  <c r="J11"/>
  <c r="AQ10"/>
  <c r="AN10"/>
  <c r="AK10"/>
  <c r="AH10"/>
  <c r="AE10"/>
  <c r="AB10"/>
  <c r="Y10"/>
  <c r="V10"/>
  <c r="S10"/>
  <c r="P10"/>
  <c r="M10"/>
  <c r="J10"/>
  <c r="AP10"/>
  <c r="AM10"/>
  <c r="AJ10"/>
  <c r="AD10"/>
  <c r="AA10"/>
  <c r="X10"/>
  <c r="U10"/>
  <c r="R10"/>
  <c r="I10"/>
  <c r="H79" i="37" l="1"/>
  <c r="G82" i="35"/>
  <c r="H12" i="37"/>
  <c r="AQ81" i="35"/>
  <c r="AF81"/>
  <c r="AP83" i="37"/>
  <c r="H16"/>
  <c r="V81" i="35"/>
  <c r="AD9"/>
  <c r="AF9" s="1"/>
  <c r="AF9" i="37"/>
  <c r="AI83" i="35"/>
  <c r="AI62"/>
  <c r="AC83"/>
  <c r="AC81" s="1"/>
  <c r="AA62"/>
  <c r="R83"/>
  <c r="T83" s="1"/>
  <c r="N83"/>
  <c r="H25" i="37"/>
  <c r="F84"/>
  <c r="H84" s="1"/>
  <c r="H22"/>
  <c r="L81"/>
  <c r="Q82"/>
  <c r="O9"/>
  <c r="Q9" s="1"/>
  <c r="N9"/>
  <c r="H13"/>
  <c r="R9"/>
  <c r="T9" s="1"/>
  <c r="AP81"/>
  <c r="L86" s="1"/>
  <c r="R62"/>
  <c r="T62" s="1"/>
  <c r="R83"/>
  <c r="T83" s="1"/>
  <c r="F64"/>
  <c r="F62" s="1"/>
  <c r="O81"/>
  <c r="T64" i="35"/>
  <c r="N81"/>
  <c r="G62" i="37"/>
  <c r="U83"/>
  <c r="U81" s="1"/>
  <c r="W11"/>
  <c r="W83" s="1"/>
  <c r="W81" s="1"/>
  <c r="U9"/>
  <c r="W9" s="1"/>
  <c r="I82"/>
  <c r="K10"/>
  <c r="I9"/>
  <c r="K9" s="1"/>
  <c r="AC13"/>
  <c r="AC11"/>
  <c r="AC83" s="1"/>
  <c r="G83"/>
  <c r="AC82"/>
  <c r="I83"/>
  <c r="K83" s="1"/>
  <c r="K11"/>
  <c r="F11"/>
  <c r="H15"/>
  <c r="F82"/>
  <c r="AG62"/>
  <c r="AG81"/>
  <c r="AD81"/>
  <c r="AF81" s="1"/>
  <c r="T82"/>
  <c r="M81"/>
  <c r="N81" s="1"/>
  <c r="Q11"/>
  <c r="AO81"/>
  <c r="N82"/>
  <c r="F33"/>
  <c r="H33" s="1"/>
  <c r="K10" i="35"/>
  <c r="H11"/>
  <c r="G9"/>
  <c r="H15"/>
  <c r="I83"/>
  <c r="K11"/>
  <c r="I9"/>
  <c r="K9" s="1"/>
  <c r="W83"/>
  <c r="W62"/>
  <c r="F25"/>
  <c r="H25" s="1"/>
  <c r="H26"/>
  <c r="Z83"/>
  <c r="Z81" s="1"/>
  <c r="Z9"/>
  <c r="AI82"/>
  <c r="AI81" s="1"/>
  <c r="AI9"/>
  <c r="G81"/>
  <c r="H34"/>
  <c r="G33"/>
  <c r="H33" s="1"/>
  <c r="Q64"/>
  <c r="O62"/>
  <c r="F77"/>
  <c r="H77" s="1"/>
  <c r="AM62"/>
  <c r="F83"/>
  <c r="H83" s="1"/>
  <c r="W81"/>
  <c r="F62"/>
  <c r="H62" s="1"/>
  <c r="Q9"/>
  <c r="H84"/>
  <c r="N9"/>
  <c r="H79"/>
  <c r="F10"/>
  <c r="H48"/>
  <c r="O83"/>
  <c r="O11" i="34"/>
  <c r="U15"/>
  <c r="U11" s="1"/>
  <c r="K86" i="37" l="1"/>
  <c r="Q81"/>
  <c r="AC9"/>
  <c r="R81" i="35"/>
  <c r="T81" s="1"/>
  <c r="H62" i="37"/>
  <c r="F83"/>
  <c r="H83" s="1"/>
  <c r="H64"/>
  <c r="F9"/>
  <c r="H9" s="1"/>
  <c r="H11"/>
  <c r="R81"/>
  <c r="T81" s="1"/>
  <c r="I81"/>
  <c r="K81" s="1"/>
  <c r="K82"/>
  <c r="G81"/>
  <c r="H82"/>
  <c r="AC81"/>
  <c r="K83" i="35"/>
  <c r="I81"/>
  <c r="K81" s="1"/>
  <c r="F9"/>
  <c r="H9" s="1"/>
  <c r="F82"/>
  <c r="H10"/>
  <c r="Q62"/>
  <c r="Q83"/>
  <c r="O81"/>
  <c r="Q81" s="1"/>
  <c r="AP15" i="34"/>
  <c r="AP11" s="1"/>
  <c r="AM15"/>
  <c r="AM11" s="1"/>
  <c r="AJ11"/>
  <c r="AG11"/>
  <c r="AD15"/>
  <c r="AD11" s="1"/>
  <c r="AA15"/>
  <c r="AA11" s="1"/>
  <c r="X11"/>
  <c r="R15"/>
  <c r="R11" s="1"/>
  <c r="L15"/>
  <c r="L11" s="1"/>
  <c r="I15"/>
  <c r="I11" s="1"/>
  <c r="L10"/>
  <c r="AG26"/>
  <c r="AG10" s="1"/>
  <c r="O26"/>
  <c r="J86" i="37" l="1"/>
  <c r="I86"/>
  <c r="F81"/>
  <c r="H81" s="1"/>
  <c r="F81" i="35"/>
  <c r="H81" s="1"/>
  <c r="H82"/>
  <c r="O10" i="34"/>
  <c r="I25"/>
  <c r="L25"/>
  <c r="O25"/>
  <c r="R25"/>
  <c r="U25"/>
  <c r="X25"/>
  <c r="Y25"/>
  <c r="AA25"/>
  <c r="AD25"/>
  <c r="AE25"/>
  <c r="AG25"/>
  <c r="AH25"/>
  <c r="AJ25"/>
  <c r="AM25"/>
  <c r="AP25"/>
  <c r="AG79" l="1"/>
  <c r="X79"/>
  <c r="Z79" s="1"/>
  <c r="O79"/>
  <c r="AM79"/>
  <c r="AJ79"/>
  <c r="AD79"/>
  <c r="AA79"/>
  <c r="U79"/>
  <c r="R79"/>
  <c r="L79"/>
  <c r="AV21"/>
  <c r="AU21"/>
  <c r="AW21" l="1"/>
  <c r="AI26"/>
  <c r="AP22"/>
  <c r="AI22"/>
  <c r="AG17"/>
  <c r="AP13"/>
  <c r="AG13"/>
  <c r="AV79"/>
  <c r="AV71"/>
  <c r="AV58"/>
  <c r="AV43"/>
  <c r="AV26"/>
  <c r="AV23"/>
  <c r="AV20"/>
  <c r="AU58"/>
  <c r="AI79"/>
  <c r="AI71"/>
  <c r="AI58"/>
  <c r="AI50" s="1"/>
  <c r="AI44"/>
  <c r="AI35" s="1"/>
  <c r="AI43"/>
  <c r="AI34" s="1"/>
  <c r="AG42"/>
  <c r="G80"/>
  <c r="F80"/>
  <c r="AU79"/>
  <c r="AC79"/>
  <c r="Z77"/>
  <c r="W79"/>
  <c r="T79"/>
  <c r="Q79"/>
  <c r="N79"/>
  <c r="G79"/>
  <c r="G78"/>
  <c r="F78"/>
  <c r="AO77"/>
  <c r="AN77"/>
  <c r="AM77"/>
  <c r="AL77"/>
  <c r="AK77"/>
  <c r="AJ77"/>
  <c r="AH77"/>
  <c r="AG77"/>
  <c r="AE77"/>
  <c r="AB77"/>
  <c r="AA77"/>
  <c r="Y77"/>
  <c r="X77"/>
  <c r="V77"/>
  <c r="U77"/>
  <c r="S77"/>
  <c r="R77"/>
  <c r="P77"/>
  <c r="O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F71"/>
  <c r="AC71"/>
  <c r="Z71"/>
  <c r="W71"/>
  <c r="T71"/>
  <c r="Q71"/>
  <c r="N71"/>
  <c r="G71"/>
  <c r="G70"/>
  <c r="F70"/>
  <c r="AP69"/>
  <c r="AO69"/>
  <c r="AN69"/>
  <c r="AM69"/>
  <c r="AL69"/>
  <c r="AK69"/>
  <c r="AH69"/>
  <c r="AG69"/>
  <c r="AE69"/>
  <c r="AD69"/>
  <c r="AB69"/>
  <c r="AA69"/>
  <c r="Y69"/>
  <c r="X69"/>
  <c r="V69"/>
  <c r="U69"/>
  <c r="S69"/>
  <c r="R69"/>
  <c r="P69"/>
  <c r="O69"/>
  <c r="M69"/>
  <c r="L69"/>
  <c r="J69"/>
  <c r="AV69" s="1"/>
  <c r="I69"/>
  <c r="AU69" s="1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M64"/>
  <c r="AL64"/>
  <c r="AK64"/>
  <c r="AH64"/>
  <c r="AG64"/>
  <c r="AE64"/>
  <c r="AB64"/>
  <c r="AA64"/>
  <c r="Y64"/>
  <c r="X64"/>
  <c r="V64"/>
  <c r="U64"/>
  <c r="S64"/>
  <c r="R64"/>
  <c r="P64"/>
  <c r="O64"/>
  <c r="M64"/>
  <c r="J64"/>
  <c r="I64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S63"/>
  <c r="R63"/>
  <c r="P63"/>
  <c r="O63"/>
  <c r="N63"/>
  <c r="M63"/>
  <c r="L63"/>
  <c r="J63"/>
  <c r="I63"/>
  <c r="AR62"/>
  <c r="AQ62"/>
  <c r="G59"/>
  <c r="G51" s="1"/>
  <c r="F59"/>
  <c r="F51" s="1"/>
  <c r="Z58"/>
  <c r="Z50" s="1"/>
  <c r="W50"/>
  <c r="Q58"/>
  <c r="G58"/>
  <c r="F58"/>
  <c r="F50" s="1"/>
  <c r="G57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Y50"/>
  <c r="X50"/>
  <c r="V50"/>
  <c r="U50"/>
  <c r="T50"/>
  <c r="S50"/>
  <c r="R50"/>
  <c r="P50"/>
  <c r="O50"/>
  <c r="M50"/>
  <c r="L50"/>
  <c r="J50"/>
  <c r="I50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P49"/>
  <c r="O49"/>
  <c r="M49"/>
  <c r="L49"/>
  <c r="J49"/>
  <c r="I49"/>
  <c r="G49"/>
  <c r="G45"/>
  <c r="G36" s="1"/>
  <c r="F45"/>
  <c r="F36" s="1"/>
  <c r="AF44"/>
  <c r="AC44"/>
  <c r="AC35" s="1"/>
  <c r="Z44"/>
  <c r="Z35" s="1"/>
  <c r="W44"/>
  <c r="W35" s="1"/>
  <c r="AV44"/>
  <c r="Q44"/>
  <c r="N44"/>
  <c r="K44"/>
  <c r="AF43"/>
  <c r="AC43"/>
  <c r="AC34" s="1"/>
  <c r="Z43"/>
  <c r="Z34" s="1"/>
  <c r="W43"/>
  <c r="W34" s="1"/>
  <c r="T43"/>
  <c r="O42"/>
  <c r="N43"/>
  <c r="K43"/>
  <c r="G43"/>
  <c r="G34" s="1"/>
  <c r="AP42"/>
  <c r="AO42"/>
  <c r="AN42"/>
  <c r="AM42"/>
  <c r="AL42"/>
  <c r="AK42"/>
  <c r="AJ42"/>
  <c r="AH42"/>
  <c r="AE42"/>
  <c r="AD42"/>
  <c r="AB42"/>
  <c r="AA42"/>
  <c r="Y42"/>
  <c r="V42"/>
  <c r="U42"/>
  <c r="P42"/>
  <c r="M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AR35"/>
  <c r="AQ35"/>
  <c r="AP35"/>
  <c r="AO35"/>
  <c r="AN35"/>
  <c r="AM35"/>
  <c r="AL35"/>
  <c r="AK35"/>
  <c r="AJ35"/>
  <c r="AH35"/>
  <c r="AG35"/>
  <c r="AE35"/>
  <c r="AD35"/>
  <c r="AB35"/>
  <c r="AA35"/>
  <c r="Y35"/>
  <c r="V35"/>
  <c r="U35"/>
  <c r="P35"/>
  <c r="M35"/>
  <c r="J35"/>
  <c r="I35"/>
  <c r="AR34"/>
  <c r="AQ34"/>
  <c r="AP34"/>
  <c r="AO34"/>
  <c r="AN34"/>
  <c r="AM34"/>
  <c r="AL34"/>
  <c r="AK34"/>
  <c r="AJ34"/>
  <c r="AH34"/>
  <c r="AG34"/>
  <c r="AE34"/>
  <c r="AD34"/>
  <c r="AB34"/>
  <c r="AA34"/>
  <c r="Y34"/>
  <c r="V34"/>
  <c r="U34"/>
  <c r="S34"/>
  <c r="R34"/>
  <c r="P34"/>
  <c r="M34"/>
  <c r="L34"/>
  <c r="J34"/>
  <c r="I34"/>
  <c r="AO12"/>
  <c r="AL12"/>
  <c r="AR11"/>
  <c r="AR10"/>
  <c r="AO10"/>
  <c r="AL10"/>
  <c r="G31"/>
  <c r="F31"/>
  <c r="G30"/>
  <c r="G29" s="1"/>
  <c r="F30"/>
  <c r="AR29"/>
  <c r="AQ29"/>
  <c r="AP29"/>
  <c r="AO29"/>
  <c r="AN29"/>
  <c r="AM29"/>
  <c r="AL29"/>
  <c r="AK29"/>
  <c r="AJ29"/>
  <c r="AH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F26"/>
  <c r="AC26"/>
  <c r="AC25" s="1"/>
  <c r="Z26"/>
  <c r="Z25" s="1"/>
  <c r="G26"/>
  <c r="AR25"/>
  <c r="AQ25"/>
  <c r="AO25"/>
  <c r="AN25"/>
  <c r="AL25"/>
  <c r="AK25"/>
  <c r="AB25"/>
  <c r="W25"/>
  <c r="V25"/>
  <c r="S25"/>
  <c r="P25"/>
  <c r="M25"/>
  <c r="K25"/>
  <c r="J25"/>
  <c r="G24"/>
  <c r="F24"/>
  <c r="AM22"/>
  <c r="AJ22"/>
  <c r="Z22"/>
  <c r="U22"/>
  <c r="G23"/>
  <c r="AR22"/>
  <c r="AQ22"/>
  <c r="AO22"/>
  <c r="AN22"/>
  <c r="AL22"/>
  <c r="AK22"/>
  <c r="AH22"/>
  <c r="AE22"/>
  <c r="AB22"/>
  <c r="Y22"/>
  <c r="V22"/>
  <c r="S22"/>
  <c r="P22"/>
  <c r="M22"/>
  <c r="J22"/>
  <c r="G20"/>
  <c r="G19"/>
  <c r="F19"/>
  <c r="AM17"/>
  <c r="AV18"/>
  <c r="R17"/>
  <c r="AR17"/>
  <c r="AQ17"/>
  <c r="AO17"/>
  <c r="AN17"/>
  <c r="AL17"/>
  <c r="AK17"/>
  <c r="AH17"/>
  <c r="AE17"/>
  <c r="AB17"/>
  <c r="Y17"/>
  <c r="S17"/>
  <c r="P17"/>
  <c r="M17"/>
  <c r="J17"/>
  <c r="I17"/>
  <c r="G16"/>
  <c r="F16"/>
  <c r="AM13"/>
  <c r="AJ13"/>
  <c r="AF15"/>
  <c r="AA13"/>
  <c r="Z15"/>
  <c r="Z13" s="1"/>
  <c r="T15"/>
  <c r="O13"/>
  <c r="M13"/>
  <c r="L13"/>
  <c r="J13"/>
  <c r="I13"/>
  <c r="G14"/>
  <c r="F14"/>
  <c r="AR13"/>
  <c r="AQ13"/>
  <c r="AO13"/>
  <c r="AN13"/>
  <c r="AL13"/>
  <c r="AK13"/>
  <c r="AH13"/>
  <c r="AE13"/>
  <c r="AB13"/>
  <c r="Y13"/>
  <c r="V13"/>
  <c r="S13"/>
  <c r="P13"/>
  <c r="AR12"/>
  <c r="AO11"/>
  <c r="AL11"/>
  <c r="H75" l="1"/>
  <c r="G12"/>
  <c r="F29"/>
  <c r="H29" s="1"/>
  <c r="G65"/>
  <c r="F73"/>
  <c r="G25"/>
  <c r="J82"/>
  <c r="V33"/>
  <c r="AN62"/>
  <c r="M83"/>
  <c r="G63"/>
  <c r="U17"/>
  <c r="AG22"/>
  <c r="AI25"/>
  <c r="X34"/>
  <c r="X82" s="1"/>
  <c r="L35"/>
  <c r="N35" s="1"/>
  <c r="L17"/>
  <c r="N17" s="1"/>
  <c r="AQ82"/>
  <c r="K17"/>
  <c r="W33"/>
  <c r="I84"/>
  <c r="AA22"/>
  <c r="Y82"/>
  <c r="AO82"/>
  <c r="AG84"/>
  <c r="O34"/>
  <c r="AU34" s="1"/>
  <c r="AL33"/>
  <c r="AE48"/>
  <c r="AK9"/>
  <c r="AW58"/>
  <c r="J83"/>
  <c r="U84"/>
  <c r="AD13"/>
  <c r="AF13" s="1"/>
  <c r="U83"/>
  <c r="O22"/>
  <c r="Q22" s="1"/>
  <c r="AG82"/>
  <c r="AR82"/>
  <c r="P84"/>
  <c r="S84"/>
  <c r="AH84"/>
  <c r="AL84"/>
  <c r="AA33"/>
  <c r="AM33"/>
  <c r="AQ33"/>
  <c r="W42"/>
  <c r="AC42"/>
  <c r="AF42"/>
  <c r="J48"/>
  <c r="S48"/>
  <c r="U48"/>
  <c r="AC48"/>
  <c r="AG48"/>
  <c r="AU50"/>
  <c r="AB62"/>
  <c r="AD64"/>
  <c r="AF64" s="1"/>
  <c r="Q69"/>
  <c r="AC69"/>
  <c r="N64"/>
  <c r="N62" s="1"/>
  <c r="Z64"/>
  <c r="Z62" s="1"/>
  <c r="AV77"/>
  <c r="Q77"/>
  <c r="AC77"/>
  <c r="W64"/>
  <c r="W62" s="1"/>
  <c r="AJ17"/>
  <c r="M48"/>
  <c r="S82"/>
  <c r="AB82"/>
  <c r="K11"/>
  <c r="AL83"/>
  <c r="AQ83"/>
  <c r="O84"/>
  <c r="N13"/>
  <c r="AU20"/>
  <c r="AW20" s="1"/>
  <c r="AV29"/>
  <c r="AR9"/>
  <c r="AK82"/>
  <c r="AN83"/>
  <c r="AP83"/>
  <c r="J33"/>
  <c r="AU43"/>
  <c r="AW43" s="1"/>
  <c r="G44"/>
  <c r="G42" s="1"/>
  <c r="I48"/>
  <c r="R48"/>
  <c r="Z48"/>
  <c r="AD48"/>
  <c r="AU56"/>
  <c r="AI56"/>
  <c r="F56"/>
  <c r="AC64"/>
  <c r="AC62" s="1"/>
  <c r="AI77"/>
  <c r="AW79"/>
  <c r="W22"/>
  <c r="AP33"/>
  <c r="R13"/>
  <c r="T13" s="1"/>
  <c r="X17"/>
  <c r="Z17" s="1"/>
  <c r="AV22"/>
  <c r="AF25"/>
  <c r="AV34"/>
  <c r="AD33"/>
  <c r="O35"/>
  <c r="AF35"/>
  <c r="F43"/>
  <c r="F34" s="1"/>
  <c r="H34" s="1"/>
  <c r="F49"/>
  <c r="F48" s="1"/>
  <c r="P48"/>
  <c r="Y48"/>
  <c r="AK48"/>
  <c r="AM48"/>
  <c r="AO48"/>
  <c r="Q50"/>
  <c r="X48"/>
  <c r="AV56"/>
  <c r="Q56"/>
  <c r="J62"/>
  <c r="I62"/>
  <c r="AV64"/>
  <c r="S62"/>
  <c r="X62"/>
  <c r="Z69"/>
  <c r="F65"/>
  <c r="T77"/>
  <c r="AD77"/>
  <c r="AU77" s="1"/>
  <c r="AF79"/>
  <c r="AI17"/>
  <c r="AW69"/>
  <c r="Q13"/>
  <c r="AM83"/>
  <c r="Z12"/>
  <c r="Z84" s="1"/>
  <c r="AD84"/>
  <c r="U33"/>
  <c r="AC33"/>
  <c r="AA48"/>
  <c r="H58"/>
  <c r="V83"/>
  <c r="P62"/>
  <c r="F63"/>
  <c r="AI12"/>
  <c r="AI84" s="1"/>
  <c r="AI42"/>
  <c r="AI48"/>
  <c r="AV13"/>
  <c r="AU18"/>
  <c r="AW18" s="1"/>
  <c r="AU23"/>
  <c r="AW23" s="1"/>
  <c r="AU44"/>
  <c r="AW44" s="1"/>
  <c r="AU71"/>
  <c r="AW71" s="1"/>
  <c r="AV25"/>
  <c r="L82"/>
  <c r="V82"/>
  <c r="AA82"/>
  <c r="AM82"/>
  <c r="AO9"/>
  <c r="X13"/>
  <c r="G15"/>
  <c r="K15"/>
  <c r="K13" s="1"/>
  <c r="V17"/>
  <c r="AV17" s="1"/>
  <c r="G18"/>
  <c r="G10" s="1"/>
  <c r="T17"/>
  <c r="F26"/>
  <c r="F25" s="1"/>
  <c r="H25" s="1"/>
  <c r="AG29"/>
  <c r="AU29" s="1"/>
  <c r="AM84"/>
  <c r="K34"/>
  <c r="T34"/>
  <c r="AF34"/>
  <c r="AH33"/>
  <c r="AJ33"/>
  <c r="AN33"/>
  <c r="AR33"/>
  <c r="K42"/>
  <c r="Q42"/>
  <c r="Q43"/>
  <c r="Z33"/>
  <c r="AP48"/>
  <c r="O48"/>
  <c r="AQ48"/>
  <c r="AF48"/>
  <c r="W48"/>
  <c r="Q64"/>
  <c r="AA62"/>
  <c r="T69"/>
  <c r="AF69"/>
  <c r="AI69"/>
  <c r="W77"/>
  <c r="AU26"/>
  <c r="AW26" s="1"/>
  <c r="AV15"/>
  <c r="AV50"/>
  <c r="AU15"/>
  <c r="X84"/>
  <c r="AB84"/>
  <c r="AJ84"/>
  <c r="AN84"/>
  <c r="AR84"/>
  <c r="AB83"/>
  <c r="AH83"/>
  <c r="AR83"/>
  <c r="AP84"/>
  <c r="AQ84"/>
  <c r="H73"/>
  <c r="M62"/>
  <c r="R62"/>
  <c r="AE62"/>
  <c r="AM62"/>
  <c r="AI10"/>
  <c r="AI82" s="1"/>
  <c r="G64"/>
  <c r="AI64"/>
  <c r="AI62" s="1"/>
  <c r="AI33"/>
  <c r="G84"/>
  <c r="AH9"/>
  <c r="AN82"/>
  <c r="AN9"/>
  <c r="AE83"/>
  <c r="O17"/>
  <c r="Q17" s="1"/>
  <c r="AC22"/>
  <c r="P33"/>
  <c r="K35"/>
  <c r="I33"/>
  <c r="Y33"/>
  <c r="Y83"/>
  <c r="AJ64"/>
  <c r="AJ62" s="1"/>
  <c r="AJ69"/>
  <c r="N15"/>
  <c r="AP17"/>
  <c r="F20"/>
  <c r="F12" s="1"/>
  <c r="L84"/>
  <c r="AA84"/>
  <c r="AA17"/>
  <c r="R22"/>
  <c r="T22" s="1"/>
  <c r="M33"/>
  <c r="AK33"/>
  <c r="AK83"/>
  <c r="AO33"/>
  <c r="AO83"/>
  <c r="H43"/>
  <c r="T44"/>
  <c r="S42"/>
  <c r="AV42" s="1"/>
  <c r="S35"/>
  <c r="AV35" s="1"/>
  <c r="AP77"/>
  <c r="F79"/>
  <c r="F77" s="1"/>
  <c r="W11"/>
  <c r="U13"/>
  <c r="W13" s="1"/>
  <c r="AE33"/>
  <c r="AB48"/>
  <c r="AJ48"/>
  <c r="AR48"/>
  <c r="AE82"/>
  <c r="M84"/>
  <c r="AE9"/>
  <c r="AA83"/>
  <c r="AI11"/>
  <c r="Y84"/>
  <c r="AK84"/>
  <c r="L22"/>
  <c r="N22" s="1"/>
  <c r="X22"/>
  <c r="AQ9"/>
  <c r="AB33"/>
  <c r="X35"/>
  <c r="AG33"/>
  <c r="L42"/>
  <c r="X42"/>
  <c r="Z42" s="1"/>
  <c r="G50"/>
  <c r="H50" s="1"/>
  <c r="Z56"/>
  <c r="O62"/>
  <c r="V62"/>
  <c r="AH62"/>
  <c r="AL62"/>
  <c r="AP62"/>
  <c r="T64"/>
  <c r="N69"/>
  <c r="F71"/>
  <c r="H71" s="1"/>
  <c r="J84"/>
  <c r="K12"/>
  <c r="V84"/>
  <c r="AD22"/>
  <c r="AF22" s="1"/>
  <c r="N34"/>
  <c r="G22"/>
  <c r="R84"/>
  <c r="T12"/>
  <c r="AD17"/>
  <c r="AF17" s="1"/>
  <c r="AE84"/>
  <c r="F44"/>
  <c r="R42"/>
  <c r="R35"/>
  <c r="R33" s="1"/>
  <c r="L48"/>
  <c r="V48"/>
  <c r="AH48"/>
  <c r="AH82"/>
  <c r="AL82"/>
  <c r="AL48"/>
  <c r="AL9"/>
  <c r="F15"/>
  <c r="F11" s="1"/>
  <c r="Y9"/>
  <c r="Z11"/>
  <c r="AO84"/>
  <c r="Q15"/>
  <c r="W15"/>
  <c r="AC15"/>
  <c r="F18"/>
  <c r="F23"/>
  <c r="F22" s="1"/>
  <c r="AN48"/>
  <c r="G56"/>
  <c r="U62"/>
  <c r="Y62"/>
  <c r="AG62"/>
  <c r="AK62"/>
  <c r="AO62"/>
  <c r="W69"/>
  <c r="G69"/>
  <c r="N77"/>
  <c r="G77"/>
  <c r="I22"/>
  <c r="L64"/>
  <c r="AH81" l="1"/>
  <c r="X33"/>
  <c r="G62"/>
  <c r="AQ81"/>
  <c r="G13"/>
  <c r="G11"/>
  <c r="F10"/>
  <c r="H26"/>
  <c r="L33"/>
  <c r="N33" s="1"/>
  <c r="AN81"/>
  <c r="AF84"/>
  <c r="G17"/>
  <c r="Q34"/>
  <c r="AL81"/>
  <c r="AB9"/>
  <c r="AW29"/>
  <c r="O33"/>
  <c r="AU33" s="1"/>
  <c r="V9"/>
  <c r="O83"/>
  <c r="AU48"/>
  <c r="AD62"/>
  <c r="W83"/>
  <c r="G35"/>
  <c r="G33" s="1"/>
  <c r="Q12"/>
  <c r="Q35"/>
  <c r="X9"/>
  <c r="AU25"/>
  <c r="Q48"/>
  <c r="Q84"/>
  <c r="AW34"/>
  <c r="G48"/>
  <c r="H48" s="1"/>
  <c r="X83"/>
  <c r="X81" s="1"/>
  <c r="Q62"/>
  <c r="AK81"/>
  <c r="J9"/>
  <c r="L9"/>
  <c r="I83"/>
  <c r="K83" s="1"/>
  <c r="T62"/>
  <c r="AW77"/>
  <c r="AW56"/>
  <c r="AU22"/>
  <c r="AW22" s="1"/>
  <c r="H56"/>
  <c r="Z83"/>
  <c r="AM9"/>
  <c r="AF12"/>
  <c r="W12"/>
  <c r="W84" s="1"/>
  <c r="N84"/>
  <c r="AF33"/>
  <c r="K33"/>
  <c r="AG9"/>
  <c r="AW50"/>
  <c r="AW15"/>
  <c r="AF77"/>
  <c r="AV48"/>
  <c r="AW48" s="1"/>
  <c r="Q33"/>
  <c r="AC10"/>
  <c r="AC82" s="1"/>
  <c r="AU13"/>
  <c r="AW13" s="1"/>
  <c r="AU17"/>
  <c r="AW17" s="1"/>
  <c r="AU35"/>
  <c r="AW35" s="1"/>
  <c r="AU42"/>
  <c r="AW42" s="1"/>
  <c r="AW25"/>
  <c r="W17"/>
  <c r="H79"/>
  <c r="H22"/>
  <c r="F84"/>
  <c r="H84" s="1"/>
  <c r="AO81"/>
  <c r="AR81"/>
  <c r="J81"/>
  <c r="AB81"/>
  <c r="N12"/>
  <c r="L62"/>
  <c r="AU64"/>
  <c r="AW64" s="1"/>
  <c r="AV62"/>
  <c r="AM81"/>
  <c r="V81"/>
  <c r="Y81"/>
  <c r="AF62"/>
  <c r="AG83"/>
  <c r="AG81" s="1"/>
  <c r="AI83"/>
  <c r="AI81" s="1"/>
  <c r="F17"/>
  <c r="AC11"/>
  <c r="AC83" s="1"/>
  <c r="AC13"/>
  <c r="F35"/>
  <c r="F33" s="1"/>
  <c r="F42"/>
  <c r="H42" s="1"/>
  <c r="G9"/>
  <c r="G82"/>
  <c r="P82"/>
  <c r="Q10"/>
  <c r="P9"/>
  <c r="K22"/>
  <c r="F13"/>
  <c r="H15"/>
  <c r="S83"/>
  <c r="T11"/>
  <c r="I82"/>
  <c r="I9"/>
  <c r="K10"/>
  <c r="F64"/>
  <c r="F69"/>
  <c r="H69" s="1"/>
  <c r="L83"/>
  <c r="L81" s="1"/>
  <c r="N11"/>
  <c r="M82"/>
  <c r="N10"/>
  <c r="M9"/>
  <c r="N9" s="1"/>
  <c r="U82"/>
  <c r="U81" s="1"/>
  <c r="U9"/>
  <c r="W10"/>
  <c r="W82" s="1"/>
  <c r="R83"/>
  <c r="AJ83"/>
  <c r="AI9"/>
  <c r="T84"/>
  <c r="N42"/>
  <c r="H77"/>
  <c r="S9"/>
  <c r="AA81"/>
  <c r="AA9"/>
  <c r="T42"/>
  <c r="O9"/>
  <c r="O82"/>
  <c r="K84"/>
  <c r="AE81"/>
  <c r="S33"/>
  <c r="T33" s="1"/>
  <c r="T35"/>
  <c r="P83"/>
  <c r="Q83" s="1"/>
  <c r="Q11"/>
  <c r="AC12"/>
  <c r="AC84" s="1"/>
  <c r="AC17"/>
  <c r="AP9"/>
  <c r="AP82"/>
  <c r="AP81" s="1"/>
  <c r="H44"/>
  <c r="O81" l="1"/>
  <c r="H13"/>
  <c r="W9"/>
  <c r="K9"/>
  <c r="H17"/>
  <c r="AU62"/>
  <c r="AW62" s="1"/>
  <c r="H33"/>
  <c r="H35"/>
  <c r="W81"/>
  <c r="AV33"/>
  <c r="AW33" s="1"/>
  <c r="Q9"/>
  <c r="H12"/>
  <c r="N83"/>
  <c r="I81"/>
  <c r="K82"/>
  <c r="R9"/>
  <c r="R82"/>
  <c r="T10"/>
  <c r="Q82"/>
  <c r="P81"/>
  <c r="Z10"/>
  <c r="M81"/>
  <c r="N82"/>
  <c r="AC81"/>
  <c r="F83"/>
  <c r="AD83"/>
  <c r="AF83" s="1"/>
  <c r="AF11"/>
  <c r="AJ82"/>
  <c r="AJ81" s="1"/>
  <c r="AJ9"/>
  <c r="AD9"/>
  <c r="AF9" s="1"/>
  <c r="AD82"/>
  <c r="AF10"/>
  <c r="T83"/>
  <c r="S81"/>
  <c r="H11"/>
  <c r="G83"/>
  <c r="H64"/>
  <c r="F62"/>
  <c r="H62" s="1"/>
  <c r="AC9"/>
  <c r="Q81" l="1"/>
  <c r="H83"/>
  <c r="G81"/>
  <c r="R81"/>
  <c r="T82"/>
  <c r="K81"/>
  <c r="Z9"/>
  <c r="Z82"/>
  <c r="Z81" s="1"/>
  <c r="T9"/>
  <c r="F82"/>
  <c r="F9"/>
  <c r="H9" s="1"/>
  <c r="H10"/>
  <c r="AD81"/>
  <c r="AF81" s="1"/>
  <c r="AF82"/>
  <c r="N81"/>
  <c r="T81" l="1"/>
  <c r="F81"/>
  <c r="H81" s="1"/>
  <c r="H82"/>
  <c r="D7" i="2" l="1"/>
  <c r="D6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9" i="8" l="1"/>
  <c r="D19" s="1"/>
  <c r="C5"/>
  <c r="C8"/>
  <c r="D8" s="1"/>
  <c r="C11"/>
  <c r="D11" s="1"/>
  <c r="C14"/>
  <c r="D14" s="1"/>
  <c r="D5"/>
  <c r="D24" l="1"/>
  <c r="C24"/>
  <c r="D3" i="2"/>
</calcChain>
</file>

<file path=xl/sharedStrings.xml><?xml version="1.0" encoding="utf-8"?>
<sst xmlns="http://schemas.openxmlformats.org/spreadsheetml/2006/main" count="3139" uniqueCount="516">
  <si>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</si>
  <si>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</si>
  <si>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</si>
  <si>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</si>
  <si>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</si>
  <si>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</si>
  <si>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</si>
  <si>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</si>
  <si>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</si>
  <si>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</si>
  <si>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</si>
  <si>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</si>
  <si>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</si>
  <si>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</si>
  <si>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</si>
  <si>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</si>
  <si>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</si>
  <si>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</si>
  <si>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</si>
  <si>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</si>
  <si>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</si>
  <si>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</si>
  <si>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</si>
  <si>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</si>
  <si>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</si>
  <si>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</si>
  <si>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</si>
  <si>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</si>
  <si>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</si>
  <si>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</si>
  <si>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</si>
  <si>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</si>
  <si>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</si>
  <si>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</si>
  <si>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</si>
  <si>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</si>
  <si>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</si>
  <si>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</si>
  <si>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</si>
  <si>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</si>
  <si>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</si>
  <si>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</si>
  <si>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</si>
  <si>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</si>
  <si>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</si>
  <si>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</si>
  <si>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</si>
  <si>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</si>
  <si>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</si>
  <si>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</si>
  <si>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</si>
  <si>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</si>
  <si>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</si>
  <si>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</si>
  <si>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</si>
  <si>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</si>
  <si>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</si>
  <si>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</si>
  <si>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</si>
  <si>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</si>
  <si>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</si>
  <si>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</si>
  <si>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</si>
  <si>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</si>
  <si>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</si>
  <si>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</si>
  <si>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</si>
  <si>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</si>
  <si>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</si>
  <si>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</si>
  <si>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</si>
  <si>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</si>
  <si>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</si>
  <si>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</si>
  <si>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</si>
  <si>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</si>
  <si>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</si>
  <si>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</si>
  <si>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</si>
  <si>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</si>
  <si>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</si>
  <si>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</si>
  <si>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</si>
  <si>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</si>
  <si>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</si>
  <si>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</si>
  <si>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</si>
  <si>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</si>
  <si>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</si>
  <si>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</si>
  <si>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</si>
  <si>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</si>
  <si>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</si>
  <si>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</si>
  <si>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</si>
  <si>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</si>
  <si>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</si>
  <si>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</si>
  <si>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</si>
  <si>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</si>
  <si>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</si>
  <si>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</si>
  <si>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</si>
  <si>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</si>
  <si>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</si>
  <si>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</si>
  <si>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</si>
  <si>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</si>
  <si>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</si>
  <si>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</si>
  <si>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</si>
  <si>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</si>
  <si>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</si>
  <si>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</si>
  <si>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</si>
  <si>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</si>
  <si>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</si>
  <si>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</si>
  <si>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</si>
  <si>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</si>
  <si>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</si>
  <si>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</si>
  <si>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</si>
  <si>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</si>
  <si>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</si>
  <si>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</si>
  <si>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</si>
  <si>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</si>
  <si>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</si>
  <si>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</si>
  <si>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</si>
  <si>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</si>
  <si>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</si>
  <si>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</si>
  <si>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</si>
  <si>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</si>
  <si>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</si>
  <si>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</si>
  <si>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</si>
  <si>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</si>
  <si>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</si>
  <si>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</si>
  <si>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</si>
  <si>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</si>
  <si>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</si>
  <si>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</si>
  <si>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</si>
  <si>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</si>
  <si>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</si>
  <si>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</si>
  <si>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</si>
  <si>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</si>
  <si>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</si>
  <si>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</si>
  <si>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</si>
  <si>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</si>
  <si>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</si>
  <si>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</si>
  <si>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</si>
  <si>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</si>
  <si>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</si>
  <si>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</si>
  <si>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</si>
  <si>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</si>
  <si>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</si>
  <si>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</si>
  <si>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</si>
  <si>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</si>
  <si>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</si>
  <si>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</si>
  <si>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</si>
  <si>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</si>
  <si>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</si>
  <si>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</si>
  <si>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</si>
  <si>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</si>
  <si>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</si>
  <si>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</si>
  <si>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</si>
  <si>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</si>
  <si>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</si>
  <si>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</si>
  <si>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</si>
  <si>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</si>
  <si>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</si>
  <si>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</si>
  <si>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</si>
  <si>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</si>
  <si>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</si>
  <si>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</si>
  <si>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</si>
  <si>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</si>
  <si>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</si>
  <si>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</si>
  <si>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</si>
  <si>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</si>
  <si>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</si>
  <si>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</si>
  <si>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</si>
  <si>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</si>
  <si>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</si>
  <si>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</si>
  <si>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</si>
  <si>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</si>
  <si>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</si>
  <si>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</si>
  <si>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</si>
  <si>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</si>
  <si>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</si>
  <si>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</si>
  <si>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</si>
  <si>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</si>
  <si>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</si>
  <si>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</si>
  <si>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</si>
  <si>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</si>
  <si>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</si>
  <si>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</si>
  <si>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</si>
  <si>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</si>
  <si>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</si>
  <si>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</si>
  <si>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</si>
  <si>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</si>
  <si>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</si>
  <si>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</si>
  <si>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</si>
  <si>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</si>
  <si>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</si>
  <si>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</si>
  <si>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</si>
  <si>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</si>
  <si>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</si>
  <si>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</si>
  <si>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</si>
  <si>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</si>
  <si>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</si>
  <si>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</si>
  <si>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</si>
  <si>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</si>
  <si>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</si>
  <si>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</si>
  <si>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</si>
  <si>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</si>
  <si>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</si>
  <si>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</si>
  <si>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</si>
  <si>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</si>
  <si>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</si>
  <si>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</si>
  <si>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</si>
  <si>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</si>
  <si>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</si>
  <si>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</si>
  <si>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</si>
  <si>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</si>
  <si>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 программе:</t>
  </si>
  <si>
    <t>Федеральный бюджет</t>
  </si>
  <si>
    <t>Организация обеспечения сохранности муниципального имущества (страхование муниципального имущества)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</si>
  <si>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</t>
  </si>
  <si>
    <t>И.Н.Назарова</t>
  </si>
  <si>
    <t>Наименование программных мероприятий</t>
  </si>
  <si>
    <t>Целевой показатель, №</t>
  </si>
  <si>
    <t>Объем финансирования всего на год, тыс.руб.</t>
  </si>
  <si>
    <t>План</t>
  </si>
  <si>
    <t>Факт</t>
  </si>
  <si>
    <t>Исполнение, %</t>
  </si>
  <si>
    <t>Подпрограмма I «Создание условий для совершенствования системы муниципального управления»</t>
  </si>
  <si>
    <t>сводно-аналитический отдел администрации города Урай, отдел по учету и отчетности администрации города Урай</t>
  </si>
  <si>
    <t>МАУ МФЦ</t>
  </si>
  <si>
    <t>Подпрограмма III «Развитие муниципальной службы и резерва управленческих кадров»</t>
  </si>
  <si>
    <t>управление по организационным вопросам и кадрам администрации города Урай,
сводно-аналитический отдел администрации города Урай, отдел по учету и отчетности администрации города Урай, Комитет по финансам администрации города Урай</t>
  </si>
  <si>
    <t xml:space="preserve"> Подпрограмма IV «Управление и распоряжение муниципальным имуществом муниципального образования город Урай»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</si>
  <si>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</si>
  <si>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</si>
  <si>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не требует финансирования</t>
  </si>
  <si>
    <t>управление по организационным вопросам и кадрам администрации города Урай</t>
  </si>
  <si>
    <t xml:space="preserve">комитет по управлению муниципальным имуществом
администрации города Урай
</t>
  </si>
  <si>
    <t>Проведение конкурса «Лучший работник органов местного самоуправления»</t>
  </si>
  <si>
    <t>-</t>
  </si>
  <si>
    <t>Обеспечение государственной регистрации права собственности муниципального образования городской округ город Урай</t>
  </si>
  <si>
    <t>За отчетный период внесено изменение в перечень объектов, подлежащих  страхованию. Перечень утвержден постановлением администрации города Урай от 05.05.2017 №1199. В перечень вошли  объекты от застройщика ООО «Шаимский ПК5»</t>
  </si>
  <si>
    <t xml:space="preserve">Ответственный исполнитель (соисполнитель) </t>
  </si>
  <si>
    <t>муниципальной программы:</t>
  </si>
  <si>
    <r>
      <t>Согласовано:</t>
    </r>
    <r>
      <rPr>
        <sz val="10"/>
        <color rgb="FF000000"/>
        <rFont val="Arial"/>
        <family val="2"/>
        <charset val="204"/>
      </rPr>
      <t xml:space="preserve"> </t>
    </r>
  </si>
  <si>
    <r>
      <t>Комитет по финансам  администрации города Урай</t>
    </r>
    <r>
      <rPr>
        <sz val="10"/>
        <color rgb="FF000000"/>
        <rFont val="Arial"/>
        <family val="2"/>
        <charset val="204"/>
      </rPr>
      <t xml:space="preserve"> </t>
    </r>
  </si>
  <si>
    <r>
      <t>_________________________</t>
    </r>
    <r>
      <rPr>
        <sz val="10"/>
        <color rgb="FF000000"/>
        <rFont val="Arial"/>
        <family val="2"/>
        <charset val="204"/>
      </rPr>
      <t xml:space="preserve"> </t>
    </r>
  </si>
  <si>
    <t>«___» _____________20__ г.</t>
  </si>
  <si>
    <t>Начальник сводно-аналитического отдела администрации города Урай</t>
  </si>
  <si>
    <t>Начальник  отдела по учету и отчетности администрации города Урай</t>
  </si>
  <si>
    <t>Исполнитель: Назарова Ирина Николаевна</t>
  </si>
  <si>
    <t>тел.:8 (34676) 2-33-30</t>
  </si>
  <si>
    <t>(подпись)</t>
  </si>
  <si>
    <t>Е.М.Погадаева</t>
  </si>
  <si>
    <t>Задача 1. Совершенствование решения вопросов местного самоуправления</t>
  </si>
  <si>
    <t>Организация содержания муниципального жилищного фонда</t>
  </si>
  <si>
    <t xml:space="preserve">Освоение средств за отчетный период не в полном объеме обусловлено наличием вакансий, а также с поздним заключением договора на перевод записей актов гражданского состояния в электронный вид
</t>
  </si>
  <si>
    <t>Освоение средств за отчетный период не в полном объеме обусловлено отказом от участия в семинаре, а также оплата осуществляется в соответствии с фактически сложившимися расходами</t>
  </si>
  <si>
    <t xml:space="preserve">      В рамках контрактов от 15.08.2017 №252/17, от 29.08.2017 №270/17 приобретены ГЗПО, марки, конверты для рассылки присяжным заседателям</t>
  </si>
  <si>
    <t xml:space="preserve">        За 9 месяцев 2017 года  отделом ЗАГС зарегистрировано 1213 записей актов гражданского состояния. Составлено 404 актовых записей о рождении (мальчиков родилось 203 человек, девочек -201 человек, двойни и более 5 человек). Зарегистрировано 240  записей актов о заключении брака, 287 записей о смерти, 182 записи о расторжении брака, 66 записей  об установлении отцовства, 32 записи актов  о перемене имени и 2 записи об усыновлении
      За 9 месяцев 2017 отделом ЗАГС города оказано государственных услуг населению 3792, в электронном виде – 338, оформлено 6244 юридически значимых действий
</t>
  </si>
  <si>
    <t>Освоение средств предусмотрено в 4 квартале 2017 года</t>
  </si>
  <si>
    <t xml:space="preserve">     Количество муниципальных услуг на 01.10.2017 года составляет 43. Предоставление государственных и муниципальных услуг осуществляется в строгом соответствии с административными регламентами. Для  42 муниципальных услуг разработаны и утверждены административные регламенты. 
За 9 месяцев 2017 разработано и утверждено 3 административных регламента. 1 административный регламент  (КУМИ) находится  на стадии разработки.
</t>
  </si>
  <si>
    <t xml:space="preserve">    На территории города Урай постановлением администрации города Урай от 19.08.2011 №2355 утвержден Реестр муниципальных услуг муниципального образования городской округ город Урай (далее – Реестр). Общее количество услуг на 01.10.2017 года составляет 54, в том числе 43 муниципальных  услуги и 11 услуг, предоставляемых муниципальными учреждениями и другими организациями, в которых размещается муниципальное задание (заказ). 
Решением Думы города Урай от 27.09.2012 №79 утвержден перечень услуг, которые являются необходимыми и обязательными для предоставления администрацией города Урай муниципальных  услуг (24 услуги).
Обновление Реестра осуществляется по мере необходимости, с учетом изменения законодательства. За  9 месяцев 2017 года проведено 3 обновления: 15.02.2017, 23.03.2017 и 31.07.2017. Данный Реестр актуализирован и размещен на официальном сайте органов местного самоуправления города Урай.
</t>
  </si>
  <si>
    <t xml:space="preserve">      Сведения об услугах размещены в информационной системе «Реестр государственных и муниципальных услуг (функций) ХМАО-Югры» (далее-РРГУ) и отражены на Едином портале государственных и муниципальных услуг (http://www.gosuslugi.ru/)</t>
  </si>
  <si>
    <t xml:space="preserve">    Обновление информации в РРГУ осуществляется по мере необходимости, с учетом изменения законодательства и утверждения новых муниципальных услуг. За 9 месяцев 2017  актуализация информации в РРГУ была проведена в январе, марте-июне, сентябре-октябре 2017 года ответственными лицами органов администрации  и МКУ по 54 муниципальным услугам</t>
  </si>
  <si>
    <t>Общее количество услуг на 01.10.2017 года составляет 54. Обеспечена возможность предоставления услуг в электронном виде через ЕПГУ по 19 услугам: 14 муниципальным услугам и 5  услугам учреждений</t>
  </si>
  <si>
    <t xml:space="preserve">     Деятельность органов местного самоуправления регулярно освещается в эфире ТРК «Спектр+» и МБУ «Газета «Знамя». Информирование о деятельности органов власти ведется и посредством радиовыпусков на темы городской жизни. На волнах радиостанции «Европа+» радиовыпуски продолжают выходить согласно сетки вещания ТРК «Спектр+» (пять выпусков ежедневно по будням).  
          В эфире ТРК «Спектр+» деятельность органов местного самоуправления  регулярно освещается в информационной программе: «Время Урая», «Время Урая о главном», «Из первых уст» в ходе прямых эфиров и пресс-конференций с участием главы города Урай, его заместителей, начальников отделов и управлений, специалистов администрации, Думы города.
         В средствах массовой информации и в сети Интернет размещена информация о проведении конкурсов на замещение вакантной должности муниципальной службы, положение о порядке проведения конкурса «Лучший работник органов местного самоуправления города Урай». На сайте www.uray.ru представлена полная структура органов власти, официальная информация о главе города Урай, исторические материалы о городе, созданы разделы по всем направлениям деятельности органов власти, разделы «Новости», «Объявления», «Обращения граждан», «Бюджет для граждан», «Госуслуги».     На официальном сайте размещены прямые ссылки на сайты Президента РФ, Правительства Югры, Губернатора и Думы Ханты-Мансийского автономного округа – Югры и территориальной избирательной комиссии, Общероссийского народного фронта и другие полезные ссылки.
В целях повышения информированности населения ежедневно специалистами пресс-службы направляются информационные и новостные материалы о городе Урае в адрес более 20 электронных изданий, таких как: «Накануне.ру», «Ньюспром.Ру», РИЦ «Югра Информ»,  «АиФЮгра», ООО «Югра ТV,  «Радио – Югра», Газета «Новости Югры», «Mangazia», «ЮграТрэвэл», «Ньюсфедпресс», и др. В России и городе Урае 2017 год объявлен  Годом экологии, в Югре - Годом здоровья. Мероприятия в рамках объявленных лет,  находят отражение в информационной картине урайских СМИ</t>
  </si>
  <si>
    <t xml:space="preserve">    Актуализация информационного ресурса (базы данных) содержащего информацию об объектах муниципальной собственности, а также сведений по технической инвентаризации объектов муниципального имущества муниципального образования проводится на постоянной основе в течение года по мере поступления информации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</si>
  <si>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</t>
  </si>
  <si>
    <t>В отчетном периоде в действующие муниципальные нормативные правовые акты администрации города Урай внесено 220 изменений и дополнений, принято 52 новых муниципальных нормативных правовых актов администрации города Урай, 34 муниципальных нормативных правовых актов администрации города Урай о признании утратившим силу ранее принятого акта, 26 муниципальных нормативных правовых актов администрации города Урай взамен отмененных
О деятельности органов власти подготовлено 278 информационных сообщения в эфире ТРК «Спектр+». 
В газете «Знамя» опубликовано 235  материала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199  пресс-релизов о деятельности органов власти</t>
  </si>
  <si>
    <t>Через МАУ "МФЦ" в настоящее время оказывается 217 услуг, в том числе 63 федеральные услуги, 111 региональных и 43 муниципальных. За девять месяцев 2017 года оказано услуг по приему, выдаче документов 32543 (в том числе: федеральные - 18057, региональные - 13558 и муниципальные - 928 (в том числе услуги полного цикла - 286)</t>
  </si>
  <si>
    <t>За 9 месяцев 2017 года в сфере муниципальной службы утверждено 5 нормативно-правовых актов, изменено 7 нормативно-правовых актов</t>
  </si>
  <si>
    <t xml:space="preserve">   Критерии оценки эффективности установлены решением Думы города Урай от 28.02.2008 №5. 
    В отчетном периоде изменений в данный документ не вносились
</t>
  </si>
  <si>
    <t>Во II квартале 2017 года специалистами кадровой службы управления по организационным вопросам и кадрам проводились консультации муниципальных служащих по заполнению справок о доходах за 2016 год.   Принято справок о доходах за 2016 год у 169 муниципальных служащих. Аттестовано 14 муниципальных служащих администрации города Урай и органов администрации города Урай</t>
  </si>
  <si>
    <t>За 9 месяцев 2017 года обучено 27 муниципальных служащих органов местного самоуправления города Урай, в т.ч. при проведении семинара по теме «Изменения законодательства в сфере контрактной системы в сфере закупок товаров, работ и услуг для обеспечения государственных и муниципальных нужд с 2017 года»</t>
  </si>
  <si>
    <t xml:space="preserve">     Постановлением  администрации города Урай от 22.12.2016 №3980 утвержден график сдачи документов для государственной  регистрации прав на недвижимое имущество (в отношении объектов коммунальной инфраструктуры, в том числе бесхозяйных объектов в городе Урай).                                                                                                                         Кроме этого  комитетом по управлению муниципальным имуществом администрации города Урай производится регистрация права собственности на  новые объекты, переданные от МКУ «Управление капитального строительства города Урай», прочие  незарегистрированные объекты и др.
За отчетный период зарегистрировано 57 объектов недвижимости</t>
  </si>
  <si>
    <t xml:space="preserve">     В соответствии с постановлением администрации города Урай от 29.12.2016 №4119 «О создании комиссии»                                                                                                                                       
проверено муниципальное имущество по договорам оперативного управления :
 1 кв. 2017 – 2 учреждения (Управление образования города Урай, МБУ «Молодежный центр»), 
 2 кв. 2017 – 2 учреждения (МКУ «Управление капитального строительства города Урай», МБОУ СОШ  №2), 
 3 кв. 2017 – 1 учреждение «МБУ ДО «ДЮСШ «Старт» -инвентаризация объектов освещения
</t>
  </si>
  <si>
    <t xml:space="preserve">В отчетном периоде были заключены договоры на:
- содержание нежилых помещений, находящихся в муниципальной собственности, которые расположены в многоквартирных жилых домах; 
- оплату за обработку лицевых счетов ООО «ПиП»;                                                                                                                                                                                                                                            - оценку объектов оценки;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выполнение кадастровых работ;
- услуги аудита
</t>
  </si>
  <si>
    <t xml:space="preserve">     В отчетном периоде оцифровано 126 дел постоянного хранения на 25 735 листах; подготовлено 966 архивных справок на социально-правовые, тематические запросы; изготовлено 245 копий с архивных документов на 560 листах  </t>
  </si>
  <si>
    <t xml:space="preserve">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9 месяцев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2017 году в органах местного самоуправления и муниципальных учреждениях города Урай 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9 месяцев 2017 года.
9)Информация о состоянии пожарной безопасности в бюджетных организациях города Урай за 9 месяцев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1.2.2 Обеспечение деятельности в сфере трудовых отношений и государственного управления охраной труда   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3 квартала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2016 году в органах местного самоуправления и муниципальных учреждениях города Урай.
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1 квартал 2017 года.
9)Информация о состоянии пожарной безопасности в бюджетных организациях города Урай за 1 полугодие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</t>
  </si>
  <si>
    <t xml:space="preserve">     За отчетный период заключены 25 муниципальных контрактов на содержание муниципального жилого фонда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</si>
  <si>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2018 год</t>
  </si>
  <si>
    <t xml:space="preserve">Цель 1. Совершенствование муниципального управления,  повышение его эффективности </t>
  </si>
  <si>
    <t>1.1.1.1</t>
  </si>
  <si>
    <t>Обеспечение деятельности 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</t>
  </si>
  <si>
    <t xml:space="preserve">сводно-аналитический отдел администрации города Урай, отдел по учету и отчетности администрации города Урай,  отдел опеки и попечительства администрации города Урай,
МКУ «УЖКХ города Урай»
</t>
  </si>
  <si>
    <t xml:space="preserve">1.1.1, 1.1.2,
1.1.4, 1.1.5
</t>
  </si>
  <si>
    <t>1.1.1.2.</t>
  </si>
  <si>
    <t>Обеспечение деятельности МКУ «УМТО города Урай»</t>
  </si>
  <si>
    <t>МКУ «УМТО города Урай»</t>
  </si>
  <si>
    <t>1.1.1</t>
  </si>
  <si>
    <t>1.1.1.3</t>
  </si>
  <si>
    <t>Внедрение проектной деятельности в органах местного самоуправления города Урай</t>
  </si>
  <si>
    <t>управление экономики, анализа и прогнозирования администрации города Урай, органы местного самоуправления</t>
  </si>
  <si>
    <t>1.1.1.4</t>
  </si>
  <si>
    <t>Обеспечение исполнения гарантий, предоставляемых  муниципальным служащим по выплате муниципальной пенсии</t>
  </si>
  <si>
    <t>1.1.7</t>
  </si>
  <si>
    <t>1.1.1.5.</t>
  </si>
  <si>
    <t>Организация общественных работ для временного трудоустройства незанятых трудовой деятельностью и безработных граждан</t>
  </si>
  <si>
    <t>сводно-аналитический отдел администрации города Урай, МКУ «УМТО города Урай», отдел по учету и отчетности администрации города Урай, муниципальное бюджетное учреждение «Молодежный центр»</t>
  </si>
  <si>
    <t>1.1.6</t>
  </si>
  <si>
    <t>1.1.1.6.</t>
  </si>
  <si>
    <t>Осуществление выплат согласно Положению о порядке предоставления  мер социальной поддержки и размерах возмещения расходов гражданам, удостоенным звания «Почетный гражданин города Урай»</t>
  </si>
  <si>
    <t>1.1.8</t>
  </si>
  <si>
    <t>Задача 2. Совершенствование предоставления государственных и муниципальных услуг</t>
  </si>
  <si>
    <t>Подпрограмма II «Предоставление государственных и муниципальных услуг»</t>
  </si>
  <si>
    <t>1.1.3</t>
  </si>
  <si>
    <t>1.2.1.1</t>
  </si>
  <si>
    <t>Разработка (актуализация) административных регламентов предоставления муниципальных услуг в муниципальном образовании городской округ город Урай и размещение (актуализация) сведений о муниципальных услугах в Реестре государственных и муниципальных услуг (функций) Ханты-Мансийского автономного округа – Югры</t>
  </si>
  <si>
    <t>органы администрации города Урай, предоставляющие муниципальные услуги, МКУ «УГЗиП города Урай»,  МАУ МФЦ</t>
  </si>
  <si>
    <t>1.2.2</t>
  </si>
  <si>
    <t>1.2.1.2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</si>
  <si>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</t>
  </si>
  <si>
    <t>органы администрации города Урай, предоставляющие муниципальные услуги, МКУ «УГЗиП  города Урай», МАУ МФЦ</t>
  </si>
  <si>
    <t>1.2.1, 1.2.4</t>
  </si>
  <si>
    <t>1.2.1.3</t>
  </si>
  <si>
    <t>Увеличение  количества услуг, получаемых гражданами в электронной форме</t>
  </si>
  <si>
    <t>органы администрации города Урай, предоставляющие муниципальные услуги, МКУ «УГЗиП города Урай», МАУ МФЦ</t>
  </si>
  <si>
    <t>1.2.3</t>
  </si>
  <si>
    <t>1.2.1.4</t>
  </si>
  <si>
    <t>Привлечение заявителей к получению услуг в электронной форме через Единый портал государственных и муниципальных услуг</t>
  </si>
  <si>
    <t>1.2.1.5</t>
  </si>
  <si>
    <t>Проведение социологического опроса по удовлетворенности граждан предоставлением муниципальных услуг</t>
  </si>
  <si>
    <t>отдел по работе с обращениями граждан администрации города Урай, управление экономики, анализа и прогнозирования</t>
  </si>
  <si>
    <t>1.2.1</t>
  </si>
  <si>
    <t>1.2.1.6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</si>
  <si>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</si>
  <si>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1.2.5, 1.2.6, 1.2.7</t>
  </si>
  <si>
    <t>Цель 2. Совершенствование организации муниципальной службы,  повышение ее эффективности</t>
  </si>
  <si>
    <t>Задача 3. Совершенствование профессиональных возможностей и способностей работников органов местного самоуправления</t>
  </si>
  <si>
    <t>2.1.1.1</t>
  </si>
  <si>
    <t>Анализ соответствия принятых муниципальных правовых актов действующему законодательству о муниципальной службе и противодействии коррупции</t>
  </si>
  <si>
    <t>2.1.4</t>
  </si>
  <si>
    <t>2.1.1.2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</si>
  <si>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</t>
  </si>
  <si>
    <t xml:space="preserve">управление по организационным вопросам и кадрам администрации города Урай </t>
  </si>
  <si>
    <t>2.1.2</t>
  </si>
  <si>
    <t>2.1.1.3</t>
  </si>
  <si>
    <t>Назначение из резерва кадров на  должности муниципальной службы высшей, главной и ведущей группы, учрежденных для выполнения функции «руководитель»</t>
  </si>
  <si>
    <t>2.1.3</t>
  </si>
  <si>
    <t>2.1.1.4</t>
  </si>
  <si>
    <t>2.1.5</t>
  </si>
  <si>
    <t>2.1.1.5</t>
  </si>
  <si>
    <t>2.1.1</t>
  </si>
  <si>
    <t>Цель 3.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</t>
  </si>
  <si>
    <t>Задача 4. Совершенствование управления и распоряжения муниципальным имуществом</t>
  </si>
  <si>
    <t>3.1.1.1</t>
  </si>
  <si>
    <t xml:space="preserve">комитет по управлению муниципальным имуществом
администрации города Урай
</t>
  </si>
  <si>
    <t>3.1.1</t>
  </si>
  <si>
    <t>3.1.1.2</t>
  </si>
  <si>
    <t>Вовлечение земельных участков в хозяйственный оборот</t>
  </si>
  <si>
    <t>3.1.6</t>
  </si>
  <si>
    <t>3.1.1.3</t>
  </si>
  <si>
    <t>Повышение результативности финансово-хозяйственной деятельности хозяйствующих субъектов с долей участия муниципального образования городской округ город Урай</t>
  </si>
  <si>
    <t>3.1.2, 3.1.3</t>
  </si>
  <si>
    <t>3.1.1.4</t>
  </si>
  <si>
    <t>Организация обеспечения формирования состава и структуры муниципального имущества  (содержание имущества казны (за исключением объектов муниципального жилищного фонда)</t>
  </si>
  <si>
    <t>3.1.4</t>
  </si>
  <si>
    <t>3.1.1.5</t>
  </si>
  <si>
    <t>3.1.1.6</t>
  </si>
  <si>
    <t>3.1.5</t>
  </si>
  <si>
    <t>управление по учету и распределению муниципального жилого фонда администрации города Урай, МКУ «УГЗиП города Урай»</t>
  </si>
  <si>
    <t>3.1.7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</si>
  <si>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01.02.2018</t>
  </si>
  <si>
    <t>Исполнитель: Кучина Ирина Вениаминовна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</si>
  <si>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01.04.2018</t>
  </si>
  <si>
    <t>Отклонение произошло в связи с  уменьшением                               количества командировок; оплата за коммунальные услуги произведена по факту потребления энергоресурсов</t>
  </si>
  <si>
    <t>В рамках реализации мероприятий целевой программы Ханты-Мансийского автономного округа - Югры «Содействие занятости населения в Ханты-Мансийском автономном округе-Югре на 2014-2020 годы» заключены следующие договоры:
- №38 от 20.12.2017г. «О совместной деятельности по организации временного трудоустройства граждан» на 60 человек. За 1 квартал 2018 года были трудоустроены 27 человек.
- №3 от 11.01.2018г. «О совместной деятельности по организации временного трудоустройства незанятых трудовой деятельностью и безработных граждан испытывающих трудности в поиске работы» на 10 человек. За 1 квартал 2018 года были трудоустроены 2 человека</t>
  </si>
  <si>
    <t xml:space="preserve">За отчетный период заключены муниципальные контракты и договоры в количестве 72 штук на содержание объектов муниципальной казны, из них 57 на  техническое обслуживание и содержание объектов  (содержание нежилых помещений в многоквартирных домах, приобретение материалов, поставка огнетушителей, оказание услуг связи и т.д.), 15 на содержание и ремонт транспортных средств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</t>
  </si>
  <si>
    <t>По Управлению образования и молодежной политики администрации города Урай неисполнение мероприятий произошло в связи с приведением в соответствие нормативно-правовой базы; по МКУ "УМТО" отклонение произошло из-за того, что оплата производится исходя из количества принятых сотрудников, а также наличием листов нетрудоспособности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</si>
  <si>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39 пенсионерам</t>
  </si>
  <si>
    <r>
      <t>Выплаты гражданам, удостоенным звания "Почетный гражданин города Урай</t>
    </r>
    <r>
      <rPr>
        <b/>
        <sz val="10"/>
        <rFont val="Times New Roman"/>
        <family val="1"/>
        <charset val="204"/>
      </rPr>
      <t xml:space="preserve">" </t>
    </r>
    <r>
      <rPr>
        <sz val="10"/>
        <rFont val="Times New Roman"/>
        <family val="1"/>
        <charset val="204"/>
      </rPr>
      <t>будут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производиться во 2 квартале 2018</t>
    </r>
  </si>
  <si>
    <t>Отклонение произошло из-за наличия листов нетрудоспособности</t>
  </si>
  <si>
    <t>Общее количество услуг на 01.04.2018 года составляет 54, в том числе 43 муниципальных и 11 услуг, предоставляемых муниципальными учреждениями. Предоставление государственных и муниципальных услуг осуществляется в строгом соответствии с административными регламентами. Для  всех 43 муниципальных услуг разработаны и утверждены административные регламенты. Актуальные редакции административных регламентов  размещены на сайте ОМСУ и в информационной системе «Реестр государственных и муниципальных услуг (функций) ХМАО-Югры» (далее – РРГУ). Обновление информации в РРГУ осуществляется по мере необходимости, с учетом изменения законодательства и утверждения новых муниципальных услуг. В 1 квартале 2018 года  актуализация информации в РРГУ была проведена в январе и марте ответственными лицами органов администрации  и МКУ по 31 муниципальной услуге</t>
  </si>
  <si>
    <t>Органами администрации города Урай оказываются 14 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содействия малому и среднему предпринимательству, отдел опеки и попечительства ,  управление по учету и распределению муниципального жилого фонда, ЗАГС)</t>
  </si>
  <si>
    <t xml:space="preserve">Обеспечена возможность предоставления услуг в электронном виде через ЕПГУ по 19 услугам: 14 муниципальным и 5 – услугам учреждений.  Заявителям доступны формы заявлений  и   иных   документов, необходимых для получения соответствующих услуг, обеспечен доступ к ним для копирования и заполнения в электронном виде. В 2017 году в  Департамент информационных технологий Ханты-Мансийского  автономного округа – Югры направлен перечень из 17 муниципальных услуг на перевод в электронную форму. За 1 квартал 2018 года всего оказано муниципальных услуг 153202, из них  в электронном виде 151016 (98,57%), в том числе:
оказанных ОМСУ в электронном виде  - 141, что составляет 25,7%,
оказанных учреждениями – 150875,  что составляет 98,83%
</t>
  </si>
  <si>
    <t xml:space="preserve">С целью популяризации получения государственных и муниципальных услуг в электронном виде:
- утвержден Координационный совет по  информатизации при администрации города Урай;
- в рамках исполнения Указа Президента Российской Федерации от 07.05.2012  №601 «Об основных направлениях совершенствования системы государственного управления» для увеличения доли граждан, использующих механизм получения государственных и муниципальных услуг в электронной  форме 
организованы Центры обслуживания единой системы идентификации и аутентификации (далее ЕСИА) для доступа к единому порталу государственных и муниципальных услуг: в МФЦ -1, в администрации города Урай (архив, отдел по обращениям  граждан, отдел СМП, управление образования, УИТиС) – 5, отделе ЗАГС - 1, МКУ «Управление градостроительства, землепользования и природопользования» -1. За  1 квартал 2018 года на Едином портале зарегистрировано   – 2547 человек
</t>
  </si>
  <si>
    <t>Социологический опрос по удовлетворенности граждан предоставлением муниципальных услуг  планируется провести в октябре 2018 года</t>
  </si>
  <si>
    <t xml:space="preserve">В соответствии с Федеральным законом от 27.07.2010 №210-ФЗ «Об организации предоставления государственных и муниципальных услуг» в рамках договоров о взаимодействии через  МФЦ предоставляются 225 услуг, в том числе 63 федеральных, 104 региональных, 15 прочих услуг  и 43 муниципальных. На 01.04.2018 года МАУ «МФЦ» оказано услуг 15410 (в том числе 1501 консультация), в том числе:
- федеральных 8910 (в том числе 724 консультации);
- региональных 4608 (в том числе 729 консультаций) - прочих 248 (в том числе 2 консультации);
- муниципальных 308 ( в том числе 46 консультаций);
- регистрация на портале 1336 услуг
</t>
  </si>
  <si>
    <t>За отчетный период комитетом по управлению муниципальным имуществом администрации города Урай зарегистрировано 59 объектов недвижимости, из них:                                                                                                                                         3 вновь построенных объектов недвижимости: магистральные сети горячего водоснабжения, теплоснабжения микрорайона Шаимский; 56 объектов  инженерных сетей (старые сети)</t>
  </si>
  <si>
    <t>За отчетный период в хозяйственный оборот вовлечено 8 земельных участков, переданных от  МКУ "Управление градостроительства, землепользования и природопользования города Урай" согласно постановлениям администрации города Урай "О заключении соглашения о перераспределении земельных участков": от 28.12.2017 №3941, от 28.12.2017 №3943, от 22.01.2018 №93,от 22.01.2018 №103, от 31.01.2018 №169, от 02.02.2018 №207</t>
  </si>
  <si>
    <t xml:space="preserve"> В соответствии с Федеральным законом от 26.12.1995 №208-ФЗ «Об акционерных обществах» органами управления акционерных обществ с участием муниципального образования являются: общее собрание акционеров и Совет директоров. Органом, осуществляющим контроль за  финансово-хозяйственной деятельностью акционерных обществ, является ревизионная комиссия, которая избирается общим собранием акционеров.
Деятельность ревизионной комиссии осуществляется в соответствии с Положениями о ревизионной комиссии, утвержденными Советом директоров каждого акционерного общества, постановлением админситрации города Урай (для МУП ритуальных услуг)  и графиком проверок, утвержденным главой города Урай.
В отчетном периоде   утверждены графики  проведения проверок 
ревизионными комиссиями  муниципального унитарного предприятия  ритуальных услуг и  акционерных обществ, доля акций которых в муниципальном образовании городской округ город Урай составляет  25%  и более. По результатам ревизионных проверок  за 2017 год будет произведена оценка состояния финансово-хозяйственной деятельности хозяйствующих субъектов и   выработаны    рекомендаций, направленные на повышение эффективности их деятельности</t>
  </si>
  <si>
    <t xml:space="preserve">За отчетный период в рамках реализации мероприятия программы производились расходы на содержание нежилых помещений, находящихся в муниципальной собственности, которые расположены в многоквартирных жилых домах; услуги аудита ООО "Омская дочерняя аудиторская фирма "Аудитинформ"; внесение записи о переходе прав собственности на ценные бумаги АО "Индустрия-РЕЕСТР"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</si>
  <si>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Отклонение произошло из-за сложившейся экономии по торгам: ООО "Омская дочерняя аудиторская фирма "Аудитинформ"  за услуги аудита бухгалтерской (финансовой) отчетности муниципального унитарного предприятия ритуальных услуг за 2017 год. </t>
  </si>
  <si>
    <t>Заключение муниципального контракта на услугу страхования и оплата по нему запланированы на 4 квартал 2018 года</t>
  </si>
  <si>
    <t xml:space="preserve">Перечень объектов подлежащих страхованию  утвержден постановлением администрации города Урай от 05.05.2017 №1199
</t>
  </si>
  <si>
    <t>Отклонение произошло в связи с тем, что оплата работ по договорам осуществляется по "факту" на основании актов выполненных работ и фактическим заселением жильцов</t>
  </si>
  <si>
    <t>В 1 квартале 2018 года заключены муниципальные контракты и договоры  на оказание услуг с ООО "Капитал", ООО "Эксперт", АО "Тюменская энергосбытовая компания", АО "Шаимгаз", АО "Урайтеплоэнергия"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</si>
  <si>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процедур; в соответствии с сетевым графиком реализации финансовых средств муниципальной программы. Администрирование по ТКО предусмотрено в 4 квартале 2018 года</t>
  </si>
  <si>
    <t xml:space="preserve">Освоение средств предусмотрено во 2-4 кварталах 2018 года. </t>
  </si>
  <si>
    <t xml:space="preserve">  В отчетном периоде в действующие муниципальные нормативные правовые акты администрации города Урай внесено 69 изменений и дополнений, принято 12 новых муниципальных нормативных правовых актов администрации города Урай, 6 муниципальных нормативных правовых актов администрации города Урай о признании утратившим силу ранее принятого акта, 8 муниципальных нормативных правовых актов администрации города Урай взамен отмененных.
О деятельности органов власти подготовлено 196 информационных сообщения в эфире ТРК «Спектр+». 
В газете «Знамя» опубликован 141  материал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95 пресс-релизов о деятельности органов власти. В городе Урай 2018 объявлен Годом гражданских инициатив. Мероприятия в рамках объявленного года находят отражение в информационной картине урайских СМИ. Проведен мониторинг состояний и условий охраны труда в 67 организациях муниципального образования город Урай. Общая численность работников организаций предоставивших информацию составила 13 464 человека. Для руководителей и специалистов организаций, учреждений города проведено 2 семинара по вопросам охраны труда. Принято участие в расследовании 2 несчастных случаев, из них 1 несчастный случай квалифицирован, как несчастный случай, связанный с производством, 1 несчастный случай, по результатам расследования квалифицирован  как несчастный случай не связанный с производством. Отделом ЗАГС зарегистрировано 393 записи актов гражданского состояния, из них 133 о рождении, 56 о заключении брака, 109 о смерти, 62 о расторжении брака, 19   об установлении отцовства, 11 о перемене имени и 3 записи об усыновлении. За 1 квартал 2018 года отделом ЗАГС оказано государственных услуг населению 816, из них в электронном виде  55, оформлено 1586 юридически значимых действий, выдано справок и извещений-504.  В отчетном периоде Архивной службой  оцифровано 20 дел постоянного хранения на 4336 листах; подготовлено 570 архивных справок на социально-правовые, тематические запросы; поступило в службу 656 запросов; изготовлено 118 копий с архивных документов на 249 листах.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 Произведены ежемесячные выплаты вознаграждения 127 приемным родителям (среднегодовая численность) за воспитание ребенка. </t>
  </si>
  <si>
    <t>За 1 квартал 2018 года в сфере муниципальной службы изменено 2 нормативно-правовых акта</t>
  </si>
  <si>
    <t>В 1 квартале 2018 года проведён 1 конкурс в кадровый резерв на 4 должности</t>
  </si>
  <si>
    <t>В 1 квартале 2018 года назначения из резерва кадров на  должности муниципальной службы высшей, главной и ведущей группы, учрежденных для выполнения функции «руководитель» не осуществлялись</t>
  </si>
  <si>
    <t>В 1 квартале 2018 года конкурс «Лучший работник органов местного самоуправления» не проводился</t>
  </si>
  <si>
    <t>В 1 квартале 2018 года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 не проводилось</t>
  </si>
  <si>
    <t>Ответственный исполнитель (соисполнитель)</t>
  </si>
  <si>
    <t>Согласовано:</t>
  </si>
  <si>
    <t xml:space="preserve">муниципальной программы </t>
  </si>
  <si>
    <t>Комитет по финансам администрации города Урай</t>
  </si>
  <si>
    <t>Начальник сводно-аналитического отдела администрации города Урай Назарова Ирина Николаевна</t>
  </si>
  <si>
    <t xml:space="preserve">Бюджет Ханты-Мансийского автономного округа - Югры </t>
  </si>
  <si>
    <t>Без финансирования</t>
  </si>
  <si>
    <t>Всего:</t>
  </si>
  <si>
    <t>ИТОГО по  программе:</t>
  </si>
  <si>
    <t>Подпрограмма 1 «Создание условий для совершенствования системы муниципального управления»</t>
  </si>
  <si>
    <t>Подпрограмма 2 «Предоставление государственных и муниципальных услуг»</t>
  </si>
  <si>
    <t>Подпрограмма 3 «Развитие муниципальной службы и резерва управленческих кадров»</t>
  </si>
  <si>
    <t>ОТЧЕТ</t>
  </si>
  <si>
    <t>Таблица 1</t>
  </si>
  <si>
    <t>Приложение к Порядку принятия решения о разработке муниципальных</t>
  </si>
  <si>
    <t>программ муниципального образования городской округ город Урай, их</t>
  </si>
  <si>
    <t>формирования, утверждения, корректировки и реализации</t>
  </si>
  <si>
    <t xml:space="preserve">Местный бюджет </t>
  </si>
  <si>
    <t>Местный бюджет</t>
  </si>
  <si>
    <t>1.</t>
  </si>
  <si>
    <t>1.3</t>
  </si>
  <si>
    <t>1.7.</t>
  </si>
  <si>
    <t>2.</t>
  </si>
  <si>
    <t>Иные источники финансирования</t>
  </si>
  <si>
    <t>Реализация полномочий 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 (1, 2)</t>
  </si>
  <si>
    <t>Обеспечение исполнения гарантий, предоставляемых  муниципальным служащим по выплате пенсии за выслугу лет (4)</t>
  </si>
  <si>
    <t xml:space="preserve">Содействие улучшению положения на рынке труда не занятых трудовой деятельностью и безработных граждан (3)
</t>
  </si>
  <si>
    <t>Управление и распоряжение муниципальным имуществом (5)</t>
  </si>
  <si>
    <t xml:space="preserve">Реализация Федерального проекта «Содействие занятости женщин - создание условий дошкольного образования для детей в возрасте до трех лет» (1)
</t>
  </si>
  <si>
    <t>Информирование и консультирование в сфере защиты прав потребителей (1)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</si>
  <si>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(6, 7, 8)</t>
  </si>
  <si>
    <t>Организация предоставления государственных и муниципальных услуг в МАУ МФЦ (9)</t>
  </si>
  <si>
    <t>3.</t>
  </si>
  <si>
    <t>3.3.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</si>
  <si>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 (10)</t>
  </si>
  <si>
    <t>Инвестиции в объекты муниципальной собственности</t>
  </si>
  <si>
    <t>Прочие расходы</t>
  </si>
  <si>
    <t>Соисполнитель 1 (Муниципальное казенное учреждение  «Управление материально-технического обеспечения города Урай»)</t>
  </si>
  <si>
    <t>Соисполнитель 4 (Муниципальное казенное учреждение «Управление градостроительства, землепользования и природопользования города Урай»)</t>
  </si>
  <si>
    <t>Соисполнитель 5 (Муниципальное казенное учреждение «Управление капитального строительства города Урай»)</t>
  </si>
  <si>
    <t>Соисполнитель 6 (Муниципальное казенное учреждение «Управление жилищно-коммунального хозяйства города Урай»)</t>
  </si>
  <si>
    <t>МКУ «УМТО города Урай», МКУ «ЦБУгорода Урай»</t>
  </si>
  <si>
    <t>сводно-аналитический отдел администрации города Урай</t>
  </si>
  <si>
    <t>Соисполнитель 7 (Муниципальное казенное учреждение «Центр бухгалтерского учета города Урай»)</t>
  </si>
  <si>
    <t>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  (1)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</si>
  <si>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</si>
  <si>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</si>
  <si>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</si>
  <si>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 xml:space="preserve">№ </t>
  </si>
  <si>
    <t>Ответственный исполнитель - сводно-аналитический отдел администрации города Урай</t>
  </si>
  <si>
    <t xml:space="preserve">сводно-аналитический отдел администрации города Урай, МКУ «УЖКХ города Урай»,  МКУ «УМТО города Урай»,  органы администрации города Урай: отдел опеки и попечительства администрации города Урай
</t>
  </si>
  <si>
    <t>МКУ «УКС города Урай», МКУ «УГЗиП города Урай»,  МКУ «УЖКХ города Урай», органы администрации города Урай:   управление по учету и распределению муниципального жилого фонда администрации города Урай, комитет по управлению муниципальным имуществом администрации города Урай</t>
  </si>
  <si>
    <t>органы администрации города Урай: правовое управление администрации города Урай</t>
  </si>
  <si>
    <t>органы администрации города Урай, предоставляющие муниципальные услуги, МКУ «УГЗиП  города Урай»</t>
  </si>
  <si>
    <t>сводно-аналитический отдел администрации города Урай,  органы администрации города Урай: управление экономического развития администрации города Урай</t>
  </si>
  <si>
    <t>органы администрации города Урай: управление по развитию местного самоуправления администрации города Урай</t>
  </si>
  <si>
    <t xml:space="preserve">сводно-аналитический отдел администрации города Урай, Комитет по финансам администрации города Урай, органы администрации города Урай: управление по развитию местного самоуправления администрации города Урай
</t>
  </si>
  <si>
    <t>Соисполнитель 2 (Органы администрации города Урай - комитет по управлению муниципальным имуществом администрации города Урай,  управление по развитию местного самоуправления администрации города Урай, управление по учету и распределению муниципального жилого фонда администрации города Урай, управление экономического развития администрации города Урай, отдел опеки и попечительства администрации города Урай, правовое управление администрации города Урай, 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 управление внутренней  политики администрации города Урай,  пресс-служба администрации города Урай)</t>
  </si>
  <si>
    <t>Соисполнитель 8 (Муниципальное казенное учреждение «Единая дежурно-диспетчерская служба города Урай»)</t>
  </si>
  <si>
    <t>кроме того, местный бюджет, за счёт остатков прошлых лет</t>
  </si>
  <si>
    <t>Организация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 (12)</t>
  </si>
  <si>
    <t>Соисполнитель 3   (Управление образования  администрации города Урай)</t>
  </si>
  <si>
    <t>сводно-аналитический отдел администрации города Урай, Управление образования администрации города Урай,  МКУ «УМТО города Урай», МКУ «ЕДДС города Урай», МКУ «УЖКХ города Урай», МКУ «УКС города Урай», МКУ «УГЗиП города Урай»</t>
  </si>
  <si>
    <t>Управление образования  администрации города Урай</t>
  </si>
  <si>
    <r>
      <t xml:space="preserve">"______"_________________2023 </t>
    </r>
    <r>
      <rPr>
        <sz val="9"/>
        <rFont val="Times New Roman"/>
        <family val="1"/>
        <charset val="204"/>
      </rPr>
      <t>подпись</t>
    </r>
    <r>
      <rPr>
        <sz val="12"/>
        <rFont val="Times New Roman"/>
        <family val="1"/>
        <charset val="204"/>
      </rPr>
      <t xml:space="preserve"> _____________________________</t>
    </r>
  </si>
  <si>
    <t>о ходе исполнения комплексного плана (сетевого графика) реализации  муниципальной программы "Совершенствование и развитие муниципального управления в г.Урай" на 2018-2030 годы       на 01.04.2023 года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</si>
  <si>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53 пенсионерам</t>
  </si>
  <si>
    <t>Исполнение мероприятия в 2023 году не предусмотрено</t>
  </si>
  <si>
    <t xml:space="preserve">В отчетном периоде в отдел по защите прав потребителей поступило 52 обращения (28 обратившихся лично и 24 - по электронной почте и телефону).  В основном граждане обращались по вопросам  торговли (всего 36 человек) - в основном это: купля – продажа  технически сложных товаров бытового назначения,  самое большое количество обращений - это жалобы на качество сотовых телефонов –  9 обращений, далее бытовая радиоэлектронная аппаратура  – 4 обращений,  электробытовые машины, приборы и инструменты - 4 обращения, одежда, обувь и головные уборы  - 7 обращений, мебель и мебельные гарнитуры - 2 обращения и др. Ведется и индивидуальная работа с предпринимателями, консультации частных предпринимателей  представителей хозяйствующих субъектов, работающих на территории города (7 консультаций), по  вопросам законодательства РФ о защите прав потребителей.    
Содействие потребителям в реализации их права на судебную защиту, установленную в ст. 17 Закона РФ «О защите прав потребителей». За 1 квартал 20222 год составлено и направлено в суд 4 исковых заявления от имени потребителей. Сумма исковых требований составила - 148,6 тыс.рублей. Кроме составления искового заявления потребителю оказывается помощь в сборе различных документов, доказательств, необходимых для судебного разбирательства. Также дается полная юридическая консультация по вопросам процессуального характера, разъяснение нормативных актов по защите прав потребителей.
Уделяется внимание в работе службы профилактической и информационно – разъяснительной работе среди населения города основных положений законодательства о защите прав потребителей, посредством:  опубликования в городской газете «Знамя» и на официальном сайте администрации г.Урай материалов, где затрагиваются различные аспекты законодательства РФ о защите прав потребителей. Материал дается в доступной форме, понятной читателю. 
 На официальном сайте органов местного самоуправления города Урай в информационно-телекоммуникационной сети «Интернет» в разделе «Информация для граждан» - «Защита прав потребителей» размещено 2 материала. </t>
  </si>
  <si>
    <t xml:space="preserve">Органами администрации оказываются 56 муниципальных услуг, 11 услуг, предоставляемых муниципальными учреждениями и 2 государственные услуги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ЗАГС).
За 1 квартал  2023 года всего оказано услуг – 85 458, из них: 
муниципальных услуг –498,
услуг учреждений – 84 237,                                                                                                                                                                                                                                                                                                                                                                                                                                                                                                                     государственных услуг – 723.
За  отчетный период всего оказано услуг в электронном виде  82 472 (96%),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числе:
оказанных ОМСУ   в электронном виде -142, что составляет 28%,
оказанных учреждениями –  81 940,  что составляет 28%,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переданным государственным полномочиям - 723,  что составляет 53%. </t>
  </si>
  <si>
    <t>В отчетном периоде проводилось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Урай.  Обучено 7 муниципальных служащих администрации и органов администрации города Урай</t>
  </si>
  <si>
    <t xml:space="preserve">В отчетном периоде по итогам конкурсных отборов был сформирован кадровый резев для замещения вакантных должностей муниципальной службы  высшей, главной и ведущей групп, учрежденных для выполнения функции «руководитель» на 2 должности муниципальной службы. В кадровый резерв включено 2 человека. Назначено на вакантные должности из кадрового резерва 2 человека. </t>
  </si>
  <si>
    <t xml:space="preserve">За отчетный период комитетом по управлению муниципальным имуществом администрации города Урай  зарегистрирован  1 объект - сети водоснабжения мкр.А,Г, переданные от ООО СК "НОЙ".                                                                                                                                                                                                                                                                                За  1 квартал 2023 года  в хозяйственный оборот вовлечено 39 земельных участка: 1)15 земельных участков переданных в аренду без проведения торгов; 2)5 земельных участков переданных с аукциона на право заключения договора аренды; 3) реализовано 19 земельных участка, переданных переданных муниципальным казенным учреждением "Управление градостроительства, землепользования и природопользования города Урай".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 1 апреля  2023 года городской округ Урай  ХМАО-Югры  является учредителем 4 хозяйственных обществ. Во всех хозяйственных обществах единственным акционером, имеющим в собственности 100% акций является городской округ Урай.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состоялось 3 заседания Совета директоров, проведены 2 ревезионные проверки финансово-хозяйственной деятельности в хозяйственных обществах ООО "Ритуальных услуг", АО "Центр красоты и здоровья". Результаты проверок направлены в органы управления Обществ.                                                                                                                                                                                                                                                  </t>
  </si>
  <si>
    <t>В рамках данного мероприятия заключаются договора на трудоустройство граждан, в том числе подростков в целях реализации  государственной программы Ханты-Мансийского автономного округа - Югры "Поддержка занятости населения".</t>
  </si>
  <si>
    <t>В рамках данного мероприятия осуществляется финансирование содержания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В рамках данной деятельности за 1 квартал 2023 года заключены муниципальные контракты и договора в количестве 44 единиц, в том числе на содержание объектов муниципальной казны:  техническое обслуживание и содержание объектов – 27 муниципальных контрактов и договоров (содержание нежилых помещений в многоквартирных домах, приобретение строй., хоз. материалов, поставка огнетушителей, оказание услуг связи и т.д.); на содержание и ремонт транспортных средств – 17 муниципальных контрактов и договоров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                                                                                                                          Осуществлено ведение бухгалтерского (бюджетного), налогового и статистического учета органов местного самоуправления и муниципальных учреждений города Урай. Сформированы и направлены отчеты (в том числе консолидированные отчеты) по результатам работы за 2022 год по главному распорядителю бюджетных средств, в ПФР, в ФСС, в ИФНС, в Росстат</t>
  </si>
  <si>
    <t>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и заключенными договорами. Оплата производится за фактически отработанное время.</t>
  </si>
  <si>
    <t>Финансирование мероприятия осуществляется по фактически произведенным затратам</t>
  </si>
  <si>
    <t>Неисполнение обусловлено наличием вакансий, листов нетрудоспособности, непредоставлением документов для оплаты льготного проезда, для оплаты услуг за проживание сотрудников в гостиницах, в связи с задержкой поставок автозапчастей для ремонта и обслуживания автомобилей, а также экономией энергоресурсов на электроэнергию</t>
  </si>
  <si>
    <t>Неисполнение связано  с оплатой услуг по фактически произведенным затратам; выплатой премии по итогам работы за год за фактически отработанное время, длительными больничными листами, переносом сроков ежегодного отпуска, длительностью проведения конкурсных процедур по поставке картириджей и модулей архивного хранения.</t>
  </si>
  <si>
    <t xml:space="preserve">В отчетном периоде в действующие муниципальные нормативные правовые акты администрации города Урай внесено 93 изменений и дополнений, принято 6 новых муниципальных нормативных правовых актов администрации города Урай, 2 муниципальных нормативных правовых актов администрации города Урай о признании утратившим силу ранее принятого акта, 7 муниципальных нормативных правовых актов администрации города Урай взамен отмененных.
За  1 квартал 2023 года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 в эфире ТРК «Спектр+» было подготовлен 157 материала. Официальная информация о ходе социально-экономических преобразований и политических событий в городе Урай размещается в газете «Знамя».  За отчетный период в печатной газете «Знамя» было опубликовано 131 материала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муниципалитете, дополнительно аналогичные публикации выходили в электронной версии газеты - на сайте www.infoflag.ru. В разделе «Новости» на официальном сайте органов местного самоуправления  размещено 114 пресс-релиза о деятельности органов местного самоуправления и 27 о важнейших событиях в жизни муниципалитета. Продолжено активное ведение официальных страниц муниципалитета в социальных сетях.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 мониторинг состояний и условий охраны труда в 102 организациях города. Общая численность работников организаций предоставивших информацию составила 10 399 человек. Подготовлено 3 правовых акта по охране труда, разработано 4 методическое пособие по охране труда.  Организовано и проведено 4 семинаров (вебинаров) по охране труда, 1 заседание Межведомственной комиссии по охране труда города Урай, на котором рассмотрено 3 вопроса. На сайте органов местного самоуправления города Урай, на информационной площадке профессионального сообщества по охране труда в мессенждере "Viber" опубликовано 43 информационных, справочных материала. Рассмотрено 43 устных обращений. Распространено 985 экземпляра методической, справочной литературы, нормативно-правовых актов. 
Отделом ЗАГС зарегистрировано 303 записb актов гражданского состояния, из них 87 о рождении, 45 о заключении брака, 90 о смерти, 50 о расторжении брака, 17 об установлении отцовства, 12 о перемене имени и 2 записи об усыновлении.  За отчетный период оказано населению 713 государственных услуг, из них 390 в электронном виде. За 1 квартал 2023 года было вручено 87 подарка "Расту в Югре".  19 марта 1963 года, 60 лет назад, была оформлена первая запись акта. Запись оформлена о рождении ребенка.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Архивной службой  подготовлено 307 архивных справок на социально-правовые, тематические запросы; поступило в службу 368 запросов; изготовлено 112 единицы копий с архивных документов на 318 листах, оцифровано 20 единиц хранения на 3 677 листах.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</si>
</sst>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164" fontId="13" fillId="0" borderId="0" applyFont="0" applyFill="0" applyBorder="0" applyAlignment="0" applyProtection="0"/>
    <xf numFmtId="0" fontId="31" fillId="0" borderId="0"/>
  </cellStyleXfs>
  <cellXfs count="512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7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7" fontId="19" fillId="4" borderId="1" xfId="2" applyNumberFormat="1" applyFont="1" applyFill="1" applyBorder="1" applyAlignment="1">
      <alignment horizontal="center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165" fontId="19" fillId="0" borderId="1" xfId="2" applyNumberFormat="1" applyFont="1" applyFill="1" applyBorder="1" applyAlignment="1">
      <alignment horizontal="center" vertical="center" wrapText="1"/>
    </xf>
    <xf numFmtId="167" fontId="21" fillId="4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left" vertical="center" wrapText="1"/>
      <protection locked="0"/>
    </xf>
    <xf numFmtId="165" fontId="21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16" fillId="0" borderId="0" xfId="2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165" fontId="19" fillId="5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0" fillId="0" borderId="0" xfId="0" applyFill="1"/>
    <xf numFmtId="167" fontId="19" fillId="5" borderId="1" xfId="2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7" fontId="24" fillId="0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5" fillId="0" borderId="0" xfId="0" applyFont="1"/>
    <xf numFmtId="0" fontId="26" fillId="0" borderId="0" xfId="0" applyFont="1"/>
    <xf numFmtId="167" fontId="19" fillId="5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165" fontId="19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167" fontId="3" fillId="5" borderId="1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vertical="center" wrapText="1"/>
    </xf>
    <xf numFmtId="167" fontId="3" fillId="0" borderId="0" xfId="0" applyNumberFormat="1" applyFont="1" applyFill="1" applyAlignment="1">
      <alignment horizontal="right" vertical="center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24" fillId="5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readingOrder="1"/>
    </xf>
    <xf numFmtId="0" fontId="26" fillId="0" borderId="0" xfId="0" applyFont="1" applyAlignment="1"/>
    <xf numFmtId="165" fontId="3" fillId="0" borderId="7" xfId="0" applyNumberFormat="1" applyFont="1" applyFill="1" applyBorder="1" applyAlignment="1">
      <alignment horizontal="left" vertical="center" wrapText="1"/>
    </xf>
    <xf numFmtId="167" fontId="21" fillId="5" borderId="1" xfId="2" applyNumberFormat="1" applyFont="1" applyFill="1" applyBorder="1" applyAlignment="1">
      <alignment horizontal="center" vertical="center" wrapText="1"/>
    </xf>
    <xf numFmtId="167" fontId="24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0" fontId="24" fillId="5" borderId="8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" fontId="19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67" fontId="1" fillId="0" borderId="14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167" fontId="21" fillId="0" borderId="1" xfId="2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 wrapText="1"/>
    </xf>
    <xf numFmtId="165" fontId="21" fillId="5" borderId="1" xfId="0" applyNumberFormat="1" applyFont="1" applyFill="1" applyBorder="1" applyAlignment="1">
      <alignment horizontal="left" vertical="center" wrapText="1"/>
    </xf>
    <xf numFmtId="0" fontId="21" fillId="5" borderId="1" xfId="0" applyFont="1" applyFill="1" applyBorder="1" applyAlignment="1" applyProtection="1">
      <alignment horizontal="left" vertical="center" wrapText="1"/>
      <protection locked="0"/>
    </xf>
    <xf numFmtId="165" fontId="19" fillId="5" borderId="1" xfId="0" applyNumberFormat="1" applyFont="1" applyFill="1" applyBorder="1" applyAlignment="1">
      <alignment horizontal="left" vertical="center" wrapText="1"/>
    </xf>
    <xf numFmtId="166" fontId="19" fillId="5" borderId="1" xfId="2" applyNumberFormat="1" applyFont="1" applyFill="1" applyBorder="1" applyAlignment="1">
      <alignment horizontal="center" vertical="center" wrapText="1"/>
    </xf>
    <xf numFmtId="4" fontId="19" fillId="5" borderId="1" xfId="2" applyNumberFormat="1" applyFont="1" applyFill="1" applyBorder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/>
    </xf>
    <xf numFmtId="165" fontId="21" fillId="5" borderId="1" xfId="2" applyNumberFormat="1" applyFont="1" applyFill="1" applyBorder="1" applyAlignment="1">
      <alignment horizontal="center" vertical="center" wrapText="1"/>
    </xf>
    <xf numFmtId="167" fontId="21" fillId="5" borderId="4" xfId="2" applyNumberFormat="1" applyFont="1" applyFill="1" applyBorder="1" applyAlignment="1">
      <alignment horizontal="center" vertical="center" wrapText="1"/>
    </xf>
    <xf numFmtId="167" fontId="19" fillId="5" borderId="4" xfId="2" applyNumberFormat="1" applyFont="1" applyFill="1" applyBorder="1" applyAlignment="1">
      <alignment horizontal="center" vertical="center" wrapText="1"/>
    </xf>
    <xf numFmtId="167" fontId="3" fillId="5" borderId="0" xfId="0" applyNumberFormat="1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vertical="center" wrapText="1"/>
    </xf>
    <xf numFmtId="167" fontId="1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right" vertical="center"/>
    </xf>
    <xf numFmtId="166" fontId="3" fillId="5" borderId="0" xfId="0" applyNumberFormat="1" applyFont="1" applyFill="1" applyAlignment="1">
      <alignment vertical="center"/>
    </xf>
    <xf numFmtId="0" fontId="6" fillId="5" borderId="0" xfId="0" applyFont="1" applyFill="1"/>
    <xf numFmtId="0" fontId="6" fillId="5" borderId="0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167" fontId="21" fillId="5" borderId="1" xfId="0" applyNumberFormat="1" applyFont="1" applyFill="1" applyBorder="1" applyAlignment="1">
      <alignment horizontal="center" vertical="center"/>
    </xf>
    <xf numFmtId="0" fontId="33" fillId="5" borderId="0" xfId="0" applyFont="1" applyFill="1"/>
    <xf numFmtId="0" fontId="33" fillId="5" borderId="0" xfId="0" applyFont="1" applyFill="1" applyBorder="1"/>
    <xf numFmtId="0" fontId="20" fillId="5" borderId="0" xfId="0" applyFont="1" applyFill="1" applyAlignment="1"/>
    <xf numFmtId="0" fontId="20" fillId="5" borderId="0" xfId="0" applyFont="1" applyFill="1" applyAlignment="1">
      <alignment horizontal="left" readingOrder="1"/>
    </xf>
    <xf numFmtId="167" fontId="6" fillId="5" borderId="0" xfId="0" applyNumberFormat="1" applyFont="1" applyFill="1"/>
    <xf numFmtId="166" fontId="6" fillId="5" borderId="0" xfId="0" applyNumberFormat="1" applyFont="1" applyFill="1"/>
    <xf numFmtId="0" fontId="19" fillId="5" borderId="0" xfId="0" applyFont="1" applyFill="1" applyBorder="1" applyAlignment="1" applyProtection="1">
      <alignment horizontal="left" vertical="center" wrapText="1"/>
      <protection locked="0"/>
    </xf>
    <xf numFmtId="167" fontId="19" fillId="5" borderId="0" xfId="2" applyNumberFormat="1" applyFont="1" applyFill="1" applyBorder="1" applyAlignment="1">
      <alignment horizontal="center" vertical="center" wrapText="1"/>
    </xf>
    <xf numFmtId="165" fontId="34" fillId="5" borderId="1" xfId="0" applyNumberFormat="1" applyFont="1" applyFill="1" applyBorder="1" applyAlignment="1">
      <alignment horizontal="left" vertical="center" wrapText="1"/>
    </xf>
    <xf numFmtId="167" fontId="34" fillId="5" borderId="1" xfId="2" applyNumberFormat="1" applyFont="1" applyFill="1" applyBorder="1" applyAlignment="1">
      <alignment horizontal="center" vertical="center" wrapText="1"/>
    </xf>
    <xf numFmtId="166" fontId="34" fillId="5" borderId="1" xfId="2" applyNumberFormat="1" applyFont="1" applyFill="1" applyBorder="1" applyAlignment="1">
      <alignment horizontal="center" vertical="center" wrapText="1"/>
    </xf>
    <xf numFmtId="165" fontId="34" fillId="5" borderId="1" xfId="2" applyNumberFormat="1" applyFont="1" applyFill="1" applyBorder="1" applyAlignment="1">
      <alignment horizontal="center" vertical="center" wrapText="1"/>
    </xf>
    <xf numFmtId="4" fontId="34" fillId="5" borderId="1" xfId="2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19" fillId="5" borderId="6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67" fontId="3" fillId="5" borderId="1" xfId="0" applyNumberFormat="1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9" fillId="0" borderId="10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33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65" fontId="1" fillId="4" borderId="11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1" fillId="4" borderId="14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7" fontId="3" fillId="5" borderId="10" xfId="0" applyNumberFormat="1" applyFont="1" applyFill="1" applyBorder="1" applyAlignment="1">
      <alignment horizontal="center" vertical="center"/>
    </xf>
    <xf numFmtId="167" fontId="3" fillId="5" borderId="8" xfId="0" applyNumberFormat="1" applyFont="1" applyFill="1" applyBorder="1" applyAlignment="1">
      <alignment horizontal="center" vertical="center"/>
    </xf>
    <xf numFmtId="167" fontId="3" fillId="5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8" xfId="0" applyFont="1" applyFill="1" applyBorder="1" applyAlignment="1" applyProtection="1">
      <alignment horizontal="left" vertical="center" wrapText="1"/>
      <protection locked="0"/>
    </xf>
    <xf numFmtId="0" fontId="22" fillId="5" borderId="6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left" vertical="center" wrapText="1"/>
    </xf>
    <xf numFmtId="165" fontId="20" fillId="0" borderId="5" xfId="0" applyNumberFormat="1" applyFont="1" applyFill="1" applyBorder="1" applyAlignment="1">
      <alignment horizontal="left" vertical="center" wrapText="1"/>
    </xf>
    <xf numFmtId="165" fontId="20" fillId="0" borderId="2" xfId="0" applyNumberFormat="1" applyFont="1" applyFill="1" applyBorder="1" applyAlignment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center" wrapText="1"/>
      <protection locked="0"/>
    </xf>
    <xf numFmtId="0" fontId="28" fillId="4" borderId="12" xfId="0" applyFont="1" applyFill="1" applyBorder="1" applyAlignment="1" applyProtection="1">
      <alignment horizontal="left" vertical="center" wrapText="1"/>
      <protection locked="0"/>
    </xf>
    <xf numFmtId="0" fontId="28" fillId="4" borderId="13" xfId="0" applyFont="1" applyFill="1" applyBorder="1" applyAlignment="1" applyProtection="1">
      <alignment horizontal="left" vertical="center" wrapText="1"/>
      <protection locked="0"/>
    </xf>
    <xf numFmtId="0" fontId="28" fillId="4" borderId="9" xfId="0" applyFont="1" applyFill="1" applyBorder="1" applyAlignment="1" applyProtection="1">
      <alignment horizontal="left" vertical="center" wrapText="1"/>
      <protection locked="0"/>
    </xf>
    <xf numFmtId="0" fontId="28" fillId="4" borderId="0" xfId="0" applyFont="1" applyFill="1" applyBorder="1" applyAlignment="1" applyProtection="1">
      <alignment horizontal="left" vertical="center" wrapText="1"/>
      <protection locked="0"/>
    </xf>
    <xf numFmtId="0" fontId="28" fillId="4" borderId="14" xfId="0" applyFont="1" applyFill="1" applyBorder="1" applyAlignment="1" applyProtection="1">
      <alignment horizontal="left" vertical="center" wrapText="1"/>
      <protection locked="0"/>
    </xf>
    <xf numFmtId="0" fontId="28" fillId="4" borderId="15" xfId="0" applyFont="1" applyFill="1" applyBorder="1" applyAlignment="1" applyProtection="1">
      <alignment horizontal="left" vertical="center" wrapText="1"/>
      <protection locked="0"/>
    </xf>
    <xf numFmtId="0" fontId="28" fillId="4" borderId="7" xfId="0" applyFont="1" applyFill="1" applyBorder="1" applyAlignment="1" applyProtection="1">
      <alignment horizontal="left" vertical="center" wrapText="1"/>
      <protection locked="0"/>
    </xf>
    <xf numFmtId="0" fontId="28" fillId="4" borderId="3" xfId="0" applyFont="1" applyFill="1" applyBorder="1" applyAlignment="1" applyProtection="1">
      <alignment horizontal="left" vertical="center" wrapText="1"/>
      <protection locked="0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5" fontId="21" fillId="4" borderId="11" xfId="0" applyNumberFormat="1" applyFont="1" applyFill="1" applyBorder="1" applyAlignment="1">
      <alignment horizontal="left" vertical="center" wrapText="1"/>
    </xf>
    <xf numFmtId="165" fontId="21" fillId="4" borderId="12" xfId="0" applyNumberFormat="1" applyFont="1" applyFill="1" applyBorder="1" applyAlignment="1">
      <alignment horizontal="left" vertical="center" wrapText="1"/>
    </xf>
    <xf numFmtId="165" fontId="21" fillId="4" borderId="13" xfId="0" applyNumberFormat="1" applyFont="1" applyFill="1" applyBorder="1" applyAlignment="1">
      <alignment horizontal="left" vertical="center" wrapText="1"/>
    </xf>
    <xf numFmtId="165" fontId="21" fillId="4" borderId="9" xfId="0" applyNumberFormat="1" applyFont="1" applyFill="1" applyBorder="1" applyAlignment="1">
      <alignment horizontal="left" vertical="center" wrapText="1"/>
    </xf>
    <xf numFmtId="165" fontId="21" fillId="4" borderId="0" xfId="0" applyNumberFormat="1" applyFont="1" applyFill="1" applyBorder="1" applyAlignment="1">
      <alignment horizontal="left" vertical="center" wrapText="1"/>
    </xf>
    <xf numFmtId="165" fontId="21" fillId="4" borderId="14" xfId="0" applyNumberFormat="1" applyFont="1" applyFill="1" applyBorder="1" applyAlignment="1">
      <alignment horizontal="left" vertical="center" wrapText="1"/>
    </xf>
    <xf numFmtId="165" fontId="21" fillId="4" borderId="15" xfId="0" applyNumberFormat="1" applyFont="1" applyFill="1" applyBorder="1" applyAlignment="1">
      <alignment horizontal="left" vertical="center" wrapText="1"/>
    </xf>
    <xf numFmtId="165" fontId="21" fillId="4" borderId="7" xfId="0" applyNumberFormat="1" applyFont="1" applyFill="1" applyBorder="1" applyAlignment="1">
      <alignment horizontal="left" vertical="center" wrapText="1"/>
    </xf>
    <xf numFmtId="165" fontId="21" fillId="4" borderId="3" xfId="0" applyNumberFormat="1" applyFont="1" applyFill="1" applyBorder="1" applyAlignment="1">
      <alignment horizontal="left" vertical="center" wrapText="1"/>
    </xf>
    <xf numFmtId="167" fontId="1" fillId="0" borderId="13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7" xfId="0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165" fontId="20" fillId="4" borderId="4" xfId="0" applyNumberFormat="1" applyFont="1" applyFill="1" applyBorder="1" applyAlignment="1">
      <alignment horizontal="left" vertical="center" wrapText="1"/>
    </xf>
    <xf numFmtId="165" fontId="20" fillId="4" borderId="5" xfId="0" applyNumberFormat="1" applyFont="1" applyFill="1" applyBorder="1" applyAlignment="1">
      <alignment horizontal="left" vertical="center" wrapText="1"/>
    </xf>
    <xf numFmtId="165" fontId="20" fillId="4" borderId="2" xfId="0" applyNumberFormat="1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167" fontId="1" fillId="4" borderId="10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/>
    </xf>
    <xf numFmtId="167" fontId="1" fillId="4" borderId="6" xfId="0" applyNumberFormat="1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left" vertical="center" wrapText="1"/>
    </xf>
    <xf numFmtId="0" fontId="19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20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165" fontId="3" fillId="5" borderId="11" xfId="0" applyNumberFormat="1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>
      <alignment horizontal="center" vertical="center" wrapText="1"/>
    </xf>
    <xf numFmtId="165" fontId="3" fillId="5" borderId="13" xfId="0" applyNumberFormat="1" applyFont="1" applyFill="1" applyBorder="1" applyAlignment="1">
      <alignment horizontal="center" vertical="center" wrapText="1"/>
    </xf>
    <xf numFmtId="165" fontId="3" fillId="5" borderId="9" xfId="0" applyNumberFormat="1" applyFont="1" applyFill="1" applyBorder="1" applyAlignment="1">
      <alignment horizontal="center" vertical="center" wrapText="1"/>
    </xf>
    <xf numFmtId="165" fontId="3" fillId="5" borderId="0" xfId="0" applyNumberFormat="1" applyFont="1" applyFill="1" applyBorder="1" applyAlignment="1">
      <alignment horizontal="center" vertical="center" wrapText="1"/>
    </xf>
    <xf numFmtId="165" fontId="3" fillId="5" borderId="14" xfId="0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49" fontId="21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1" xfId="0" applyFont="1" applyFill="1" applyBorder="1" applyAlignment="1" applyProtection="1">
      <alignment horizontal="center" vertical="center" wrapText="1"/>
      <protection locked="0"/>
    </xf>
    <xf numFmtId="0" fontId="21" fillId="5" borderId="13" xfId="0" applyFont="1" applyFill="1" applyBorder="1" applyAlignment="1" applyProtection="1">
      <alignment horizontal="center" vertical="center" wrapText="1"/>
      <protection locked="0"/>
    </xf>
    <xf numFmtId="0" fontId="21" fillId="5" borderId="9" xfId="0" applyFont="1" applyFill="1" applyBorder="1" applyAlignment="1" applyProtection="1">
      <alignment horizontal="center" vertical="center" wrapText="1"/>
      <protection locked="0"/>
    </xf>
    <xf numFmtId="0" fontId="21" fillId="5" borderId="14" xfId="0" applyFont="1" applyFill="1" applyBorder="1" applyAlignment="1" applyProtection="1">
      <alignment horizontal="center" vertical="center" wrapText="1"/>
      <protection locked="0"/>
    </xf>
    <xf numFmtId="0" fontId="21" fillId="5" borderId="15" xfId="0" applyFont="1" applyFill="1" applyBorder="1" applyAlignment="1" applyProtection="1">
      <alignment horizontal="center" vertical="center" wrapText="1"/>
      <protection locked="0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left" vertical="center" wrapText="1"/>
      <protection locked="0"/>
    </xf>
    <xf numFmtId="0" fontId="19" fillId="5" borderId="8" xfId="0" applyFont="1" applyFill="1" applyBorder="1" applyAlignment="1" applyProtection="1">
      <alignment horizontal="left" vertical="center" wrapText="1"/>
      <protection locked="0"/>
    </xf>
    <xf numFmtId="0" fontId="19" fillId="5" borderId="6" xfId="0" applyFont="1" applyFill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65" fontId="19" fillId="5" borderId="10" xfId="0" applyNumberFormat="1" applyFont="1" applyFill="1" applyBorder="1" applyAlignment="1">
      <alignment horizontal="center" vertical="center" wrapText="1"/>
    </xf>
    <xf numFmtId="165" fontId="19" fillId="5" borderId="8" xfId="0" applyNumberFormat="1" applyFont="1" applyFill="1" applyBorder="1" applyAlignment="1">
      <alignment horizontal="center" vertical="center" wrapText="1"/>
    </xf>
    <xf numFmtId="165" fontId="19" fillId="5" borderId="6" xfId="0" applyNumberFormat="1" applyFont="1" applyFill="1" applyBorder="1" applyAlignment="1">
      <alignment horizontal="center" vertical="center" wrapText="1"/>
    </xf>
    <xf numFmtId="49" fontId="19" fillId="5" borderId="10" xfId="0" applyNumberFormat="1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  <protection locked="0"/>
    </xf>
    <xf numFmtId="0" fontId="19" fillId="5" borderId="8" xfId="0" applyFont="1" applyFill="1" applyBorder="1" applyAlignment="1" applyProtection="1">
      <alignment horizontal="center" vertical="center" wrapText="1"/>
      <protection locked="0"/>
    </xf>
    <xf numFmtId="0" fontId="19" fillId="5" borderId="6" xfId="0" applyFont="1" applyFill="1" applyBorder="1" applyAlignment="1" applyProtection="1">
      <alignment horizontal="center" vertical="center" wrapText="1"/>
      <protection locked="0"/>
    </xf>
    <xf numFmtId="165" fontId="3" fillId="5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left" vertical="center"/>
    </xf>
    <xf numFmtId="0" fontId="32" fillId="5" borderId="0" xfId="0" applyFont="1" applyFill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165" fontId="21" fillId="5" borderId="10" xfId="0" applyNumberFormat="1" applyFont="1" applyFill="1" applyBorder="1" applyAlignment="1">
      <alignment horizontal="center" vertical="center" wrapText="1"/>
    </xf>
    <xf numFmtId="165" fontId="21" fillId="5" borderId="8" xfId="0" applyNumberFormat="1" applyFont="1" applyFill="1" applyBorder="1" applyAlignment="1">
      <alignment horizontal="center" vertical="center" wrapText="1"/>
    </xf>
    <xf numFmtId="165" fontId="21" fillId="5" borderId="6" xfId="0" applyNumberFormat="1" applyFont="1" applyFill="1" applyBorder="1" applyAlignment="1">
      <alignment horizontal="center" vertical="center" wrapText="1"/>
    </xf>
    <xf numFmtId="165" fontId="21" fillId="5" borderId="11" xfId="0" applyNumberFormat="1" applyFont="1" applyFill="1" applyBorder="1" applyAlignment="1">
      <alignment horizontal="center" vertical="center" wrapText="1"/>
    </xf>
    <xf numFmtId="165" fontId="21" fillId="5" borderId="13" xfId="0" applyNumberFormat="1" applyFont="1" applyFill="1" applyBorder="1" applyAlignment="1">
      <alignment horizontal="center" vertical="center" wrapText="1"/>
    </xf>
    <xf numFmtId="165" fontId="21" fillId="5" borderId="9" xfId="0" applyNumberFormat="1" applyFont="1" applyFill="1" applyBorder="1" applyAlignment="1">
      <alignment horizontal="center" vertical="center" wrapText="1"/>
    </xf>
    <xf numFmtId="165" fontId="21" fillId="5" borderId="14" xfId="0" applyNumberFormat="1" applyFont="1" applyFill="1" applyBorder="1" applyAlignment="1">
      <alignment horizontal="center" vertical="center" wrapText="1"/>
    </xf>
    <xf numFmtId="165" fontId="21" fillId="5" borderId="15" xfId="0" applyNumberFormat="1" applyFont="1" applyFill="1" applyBorder="1" applyAlignment="1">
      <alignment horizontal="center" vertical="center" wrapText="1"/>
    </xf>
    <xf numFmtId="165" fontId="21" fillId="5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58150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1757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5653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533775" y="6643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533775" y="6643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533775" y="65665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533775" y="65665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39809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533775" y="57511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184731" cy="239809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533775" y="58912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533775" y="63436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39809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533775" y="65551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533775" y="66503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39809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533775" y="67456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39809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533775" y="57511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184731" cy="239809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533775" y="58912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533775" y="63436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39809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533775" y="65551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33775" y="66503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39809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33775" y="67456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184731" cy="239809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33775" y="70094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184731" cy="239809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33775" y="70094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39809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495800" y="39176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533775" y="59074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533775" y="60474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533775" y="63750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533775" y="65712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533775" y="6666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533775" y="6806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495800" y="39176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533775" y="59074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533775" y="60474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533775" y="63750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533775" y="65712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533775" y="6666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533775" y="6806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533775" y="69599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533775" y="69599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39809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184731" cy="239809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533775" y="4905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533775" y="53540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533775" y="567404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533775" y="58140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533775" y="59540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533775" y="623220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533775" y="63274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533775" y="651033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533775" y="4905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533775" y="53540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533775" y="567404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533775" y="58140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533775" y="59540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533775" y="623220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533775" y="63274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533775" y="651033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533775" y="66341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533775" y="66341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533775" y="67294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533775" y="67294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541568" y="6896965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541568" y="6896965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67" t="s">
        <v>40</v>
      </c>
      <c r="B1" s="268"/>
      <c r="C1" s="269" t="s">
        <v>41</v>
      </c>
      <c r="D1" s="270" t="s">
        <v>45</v>
      </c>
      <c r="E1" s="271"/>
      <c r="F1" s="272"/>
      <c r="G1" s="270" t="s">
        <v>18</v>
      </c>
      <c r="H1" s="271"/>
      <c r="I1" s="272"/>
      <c r="J1" s="270" t="s">
        <v>19</v>
      </c>
      <c r="K1" s="271"/>
      <c r="L1" s="272"/>
      <c r="M1" s="270" t="s">
        <v>23</v>
      </c>
      <c r="N1" s="271"/>
      <c r="O1" s="272"/>
      <c r="P1" s="273" t="s">
        <v>24</v>
      </c>
      <c r="Q1" s="274"/>
      <c r="R1" s="270" t="s">
        <v>25</v>
      </c>
      <c r="S1" s="271"/>
      <c r="T1" s="272"/>
      <c r="U1" s="270" t="s">
        <v>26</v>
      </c>
      <c r="V1" s="271"/>
      <c r="W1" s="272"/>
      <c r="X1" s="273" t="s">
        <v>27</v>
      </c>
      <c r="Y1" s="275"/>
      <c r="Z1" s="274"/>
      <c r="AA1" s="273" t="s">
        <v>28</v>
      </c>
      <c r="AB1" s="274"/>
      <c r="AC1" s="270" t="s">
        <v>29</v>
      </c>
      <c r="AD1" s="271"/>
      <c r="AE1" s="272"/>
      <c r="AF1" s="270" t="s">
        <v>30</v>
      </c>
      <c r="AG1" s="271"/>
      <c r="AH1" s="272"/>
      <c r="AI1" s="270" t="s">
        <v>31</v>
      </c>
      <c r="AJ1" s="271"/>
      <c r="AK1" s="272"/>
      <c r="AL1" s="273" t="s">
        <v>32</v>
      </c>
      <c r="AM1" s="274"/>
      <c r="AN1" s="270" t="s">
        <v>33</v>
      </c>
      <c r="AO1" s="271"/>
      <c r="AP1" s="272"/>
      <c r="AQ1" s="270" t="s">
        <v>34</v>
      </c>
      <c r="AR1" s="271"/>
      <c r="AS1" s="272"/>
      <c r="AT1" s="270" t="s">
        <v>35</v>
      </c>
      <c r="AU1" s="271"/>
      <c r="AV1" s="272"/>
    </row>
    <row r="2" spans="1:48" ht="39" customHeight="1">
      <c r="A2" s="268"/>
      <c r="B2" s="268"/>
      <c r="C2" s="269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269" t="s">
        <v>83</v>
      </c>
      <c r="B3" s="269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69"/>
      <c r="B4" s="269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69"/>
      <c r="B5" s="269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69"/>
      <c r="B6" s="269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69"/>
      <c r="B7" s="269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69"/>
      <c r="B8" s="269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69"/>
      <c r="B9" s="269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77" t="s">
        <v>58</v>
      </c>
      <c r="B1" s="277"/>
      <c r="C1" s="277"/>
      <c r="D1" s="277"/>
      <c r="E1" s="277"/>
    </row>
    <row r="2" spans="1:5">
      <c r="A2" s="12"/>
      <c r="B2" s="12"/>
      <c r="C2" s="12"/>
      <c r="D2" s="12"/>
      <c r="E2" s="12"/>
    </row>
    <row r="3" spans="1:5">
      <c r="A3" s="278" t="s">
        <v>130</v>
      </c>
      <c r="B3" s="278"/>
      <c r="C3" s="278"/>
      <c r="D3" s="278"/>
      <c r="E3" s="278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76" t="s">
        <v>79</v>
      </c>
      <c r="B26" s="276"/>
      <c r="C26" s="276"/>
      <c r="D26" s="276"/>
      <c r="E26" s="276"/>
    </row>
    <row r="27" spans="1:5">
      <c r="A27" s="28"/>
      <c r="B27" s="28"/>
      <c r="C27" s="28"/>
      <c r="D27" s="28"/>
      <c r="E27" s="28"/>
    </row>
    <row r="28" spans="1:5">
      <c r="A28" s="276" t="s">
        <v>80</v>
      </c>
      <c r="B28" s="276"/>
      <c r="C28" s="276"/>
      <c r="D28" s="276"/>
      <c r="E28" s="276"/>
    </row>
    <row r="29" spans="1:5">
      <c r="A29" s="276"/>
      <c r="B29" s="276"/>
      <c r="C29" s="276"/>
      <c r="D29" s="276"/>
      <c r="E29" s="276"/>
    </row>
  </sheetData>
  <mergeCells count="5">
    <mergeCell ref="A29:E29"/>
    <mergeCell ref="A1:E1"/>
    <mergeCell ref="A3:E3"/>
    <mergeCell ref="A26:E26"/>
    <mergeCell ref="A28:E28"/>
  </mergeCells>
  <phoneticPr fontId="17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8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0" t="s">
        <v>0</v>
      </c>
      <c r="B3" s="291" t="s">
        <v>46</v>
      </c>
      <c r="C3" s="291"/>
      <c r="D3" s="40" t="s">
        <v>18</v>
      </c>
      <c r="E3" s="52" t="s">
        <v>19</v>
      </c>
      <c r="F3" s="40" t="s">
        <v>23</v>
      </c>
      <c r="G3" s="52" t="s">
        <v>25</v>
      </c>
      <c r="H3" s="40" t="s">
        <v>26</v>
      </c>
      <c r="I3" s="52" t="s">
        <v>27</v>
      </c>
      <c r="J3" s="40" t="s">
        <v>29</v>
      </c>
      <c r="K3" s="52" t="s">
        <v>30</v>
      </c>
      <c r="L3" s="40" t="s">
        <v>31</v>
      </c>
      <c r="M3" s="52" t="s">
        <v>33</v>
      </c>
      <c r="N3" s="40" t="s">
        <v>34</v>
      </c>
      <c r="O3" s="52" t="s">
        <v>35</v>
      </c>
      <c r="P3" s="40" t="s">
        <v>81</v>
      </c>
      <c r="Q3" s="40" t="s">
        <v>50</v>
      </c>
      <c r="R3" s="39" t="s">
        <v>18</v>
      </c>
      <c r="S3" s="33" t="s">
        <v>19</v>
      </c>
      <c r="T3" s="39" t="s">
        <v>23</v>
      </c>
      <c r="U3" s="33" t="s">
        <v>25</v>
      </c>
      <c r="V3" s="39" t="s">
        <v>26</v>
      </c>
      <c r="W3" s="33" t="s">
        <v>27</v>
      </c>
      <c r="X3" s="39" t="s">
        <v>29</v>
      </c>
      <c r="Y3" s="33" t="s">
        <v>30</v>
      </c>
      <c r="Z3" s="39" t="s">
        <v>31</v>
      </c>
      <c r="AA3" s="33" t="s">
        <v>33</v>
      </c>
      <c r="AB3" s="39" t="s">
        <v>34</v>
      </c>
      <c r="AC3" s="33" t="s">
        <v>35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292" t="s">
        <v>2</v>
      </c>
      <c r="B5" s="285" t="s">
        <v>85</v>
      </c>
      <c r="C5" s="57" t="s">
        <v>21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292"/>
      <c r="B6" s="285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292"/>
      <c r="B7" s="285"/>
      <c r="C7" s="57" t="s">
        <v>22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292" t="s">
        <v>4</v>
      </c>
      <c r="B8" s="285" t="s">
        <v>86</v>
      </c>
      <c r="C8" s="57" t="s">
        <v>21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279" t="s">
        <v>205</v>
      </c>
      <c r="N8" s="280"/>
      <c r="O8" s="281"/>
      <c r="P8" s="60"/>
      <c r="Q8" s="60"/>
    </row>
    <row r="9" spans="1:256" ht="33.75" customHeight="1">
      <c r="A9" s="292"/>
      <c r="B9" s="285"/>
      <c r="C9" s="57" t="s">
        <v>22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292" t="s">
        <v>5</v>
      </c>
      <c r="B10" s="285" t="s">
        <v>87</v>
      </c>
      <c r="C10" s="57" t="s">
        <v>21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292"/>
      <c r="B11" s="285"/>
      <c r="C11" s="57" t="s">
        <v>22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292" t="s">
        <v>6</v>
      </c>
      <c r="B12" s="285" t="s">
        <v>228</v>
      </c>
      <c r="C12" s="57" t="s">
        <v>21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292"/>
      <c r="B13" s="285"/>
      <c r="C13" s="57" t="s">
        <v>22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292" t="s">
        <v>10</v>
      </c>
      <c r="B14" s="285" t="s">
        <v>88</v>
      </c>
      <c r="C14" s="57" t="s">
        <v>21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292"/>
      <c r="B15" s="285"/>
      <c r="C15" s="57" t="s">
        <v>22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5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298"/>
      <c r="AJ16" s="298"/>
      <c r="AK16" s="298"/>
      <c r="AZ16" s="298"/>
      <c r="BA16" s="298"/>
      <c r="BB16" s="298"/>
      <c r="BQ16" s="298"/>
      <c r="BR16" s="298"/>
      <c r="BS16" s="298"/>
      <c r="CH16" s="298"/>
      <c r="CI16" s="298"/>
      <c r="CJ16" s="298"/>
      <c r="CY16" s="298"/>
      <c r="CZ16" s="298"/>
      <c r="DA16" s="298"/>
      <c r="DP16" s="298"/>
      <c r="DQ16" s="298"/>
      <c r="DR16" s="298"/>
      <c r="EG16" s="298"/>
      <c r="EH16" s="298"/>
      <c r="EI16" s="298"/>
      <c r="EX16" s="298"/>
      <c r="EY16" s="298"/>
      <c r="EZ16" s="298"/>
      <c r="FO16" s="298"/>
      <c r="FP16" s="298"/>
      <c r="FQ16" s="298"/>
      <c r="GF16" s="298"/>
      <c r="GG16" s="298"/>
      <c r="GH16" s="298"/>
      <c r="GW16" s="298"/>
      <c r="GX16" s="298"/>
      <c r="GY16" s="298"/>
      <c r="HN16" s="298"/>
      <c r="HO16" s="298"/>
      <c r="HP16" s="298"/>
      <c r="IE16" s="298"/>
      <c r="IF16" s="298"/>
      <c r="IG16" s="298"/>
      <c r="IV16" s="298"/>
    </row>
    <row r="17" spans="1:17" ht="320.25" customHeight="1">
      <c r="A17" s="292" t="s">
        <v>7</v>
      </c>
      <c r="B17" s="285" t="s">
        <v>90</v>
      </c>
      <c r="C17" s="57" t="s">
        <v>21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292"/>
      <c r="B18" s="285"/>
      <c r="C18" s="57" t="s">
        <v>22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292" t="s">
        <v>8</v>
      </c>
      <c r="B19" s="285" t="s">
        <v>226</v>
      </c>
      <c r="C19" s="57" t="s">
        <v>21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292"/>
      <c r="B20" s="285"/>
      <c r="C20" s="57" t="s">
        <v>22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292" t="s">
        <v>9</v>
      </c>
      <c r="B21" s="285" t="s">
        <v>229</v>
      </c>
      <c r="C21" s="57" t="s">
        <v>21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292"/>
      <c r="B22" s="285"/>
      <c r="C22" s="57" t="s">
        <v>22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282" t="s">
        <v>15</v>
      </c>
      <c r="B23" s="299" t="s">
        <v>230</v>
      </c>
      <c r="C23" s="72" t="s">
        <v>21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284"/>
      <c r="B24" s="299"/>
      <c r="C24" s="72" t="s">
        <v>22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295" t="s">
        <v>16</v>
      </c>
      <c r="B25" s="299" t="s">
        <v>231</v>
      </c>
      <c r="C25" s="72" t="s">
        <v>21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295"/>
      <c r="B26" s="299"/>
      <c r="C26" s="72" t="s">
        <v>22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5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17</v>
      </c>
      <c r="B28" s="58" t="s">
        <v>232</v>
      </c>
      <c r="C28" s="57" t="s">
        <v>21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22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6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292" t="s">
        <v>94</v>
      </c>
      <c r="B31" s="285" t="s">
        <v>93</v>
      </c>
      <c r="C31" s="57" t="s">
        <v>21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292"/>
      <c r="B32" s="285"/>
      <c r="C32" s="57" t="s">
        <v>22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5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292" t="s">
        <v>96</v>
      </c>
      <c r="B34" s="285" t="s">
        <v>97</v>
      </c>
      <c r="C34" s="57" t="s">
        <v>21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292"/>
      <c r="B35" s="285"/>
      <c r="C35" s="57" t="s">
        <v>22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296" t="s">
        <v>98</v>
      </c>
      <c r="B36" s="286" t="s">
        <v>129</v>
      </c>
      <c r="C36" s="57" t="s">
        <v>21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297"/>
      <c r="B37" s="287"/>
      <c r="C37" s="57" t="s">
        <v>22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7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292" t="s">
        <v>100</v>
      </c>
      <c r="B39" s="285" t="s">
        <v>227</v>
      </c>
      <c r="C39" s="57" t="s">
        <v>21</v>
      </c>
      <c r="D39" s="96"/>
      <c r="E39" s="96" t="s">
        <v>246</v>
      </c>
      <c r="F39" s="96" t="s">
        <v>245</v>
      </c>
      <c r="G39" s="96" t="s">
        <v>234</v>
      </c>
      <c r="H39" s="288" t="s">
        <v>247</v>
      </c>
      <c r="I39" s="289"/>
      <c r="J39" s="289"/>
      <c r="K39" s="289"/>
      <c r="L39" s="289"/>
      <c r="M39" s="289"/>
      <c r="N39" s="289"/>
      <c r="O39" s="290"/>
      <c r="P39" s="59" t="s">
        <v>189</v>
      </c>
      <c r="Q39" s="60"/>
    </row>
    <row r="40" spans="1:17" ht="39.950000000000003" customHeight="1">
      <c r="A40" s="292" t="s">
        <v>11</v>
      </c>
      <c r="B40" s="285" t="s">
        <v>12</v>
      </c>
      <c r="C40" s="57" t="s">
        <v>22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292" t="s">
        <v>101</v>
      </c>
      <c r="B41" s="285" t="s">
        <v>102</v>
      </c>
      <c r="C41" s="57" t="s">
        <v>21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292"/>
      <c r="B42" s="285"/>
      <c r="C42" s="57" t="s">
        <v>22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292" t="s">
        <v>103</v>
      </c>
      <c r="B43" s="285" t="s">
        <v>104</v>
      </c>
      <c r="C43" s="57" t="s">
        <v>21</v>
      </c>
      <c r="D43" s="61" t="s">
        <v>200</v>
      </c>
      <c r="E43" s="61" t="s">
        <v>201</v>
      </c>
      <c r="F43" s="61" t="s">
        <v>204</v>
      </c>
      <c r="G43" s="302" t="s">
        <v>192</v>
      </c>
      <c r="H43" s="303"/>
      <c r="I43" s="303"/>
      <c r="J43" s="303"/>
      <c r="K43" s="303"/>
      <c r="L43" s="303"/>
      <c r="M43" s="303"/>
      <c r="N43" s="303"/>
      <c r="O43" s="304"/>
      <c r="P43" s="60"/>
      <c r="Q43" s="60"/>
    </row>
    <row r="44" spans="1:17" ht="39.950000000000003" customHeight="1">
      <c r="A44" s="292"/>
      <c r="B44" s="285"/>
      <c r="C44" s="57" t="s">
        <v>22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292" t="s">
        <v>105</v>
      </c>
      <c r="B45" s="285" t="s">
        <v>106</v>
      </c>
      <c r="C45" s="57" t="s">
        <v>21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292" t="s">
        <v>13</v>
      </c>
      <c r="B46" s="285" t="s">
        <v>14</v>
      </c>
      <c r="C46" s="57" t="s">
        <v>22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293" t="s">
        <v>108</v>
      </c>
      <c r="B47" s="286" t="s">
        <v>107</v>
      </c>
      <c r="C47" s="57" t="s">
        <v>21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294"/>
      <c r="B48" s="287"/>
      <c r="C48" s="57" t="s">
        <v>22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293" t="s">
        <v>109</v>
      </c>
      <c r="B49" s="286" t="s">
        <v>110</v>
      </c>
      <c r="C49" s="88" t="s">
        <v>21</v>
      </c>
      <c r="D49" s="34" t="s">
        <v>248</v>
      </c>
      <c r="E49" s="34" t="s">
        <v>248</v>
      </c>
      <c r="F49" s="34" t="s">
        <v>248</v>
      </c>
      <c r="G49" s="34" t="s">
        <v>249</v>
      </c>
      <c r="H49" s="34" t="s">
        <v>250</v>
      </c>
      <c r="I49" s="98" t="s">
        <v>251</v>
      </c>
      <c r="J49" s="34" t="s">
        <v>252</v>
      </c>
      <c r="K49" s="34" t="s">
        <v>248</v>
      </c>
      <c r="L49" s="34" t="s">
        <v>253</v>
      </c>
      <c r="M49" s="34" t="s">
        <v>248</v>
      </c>
      <c r="N49" s="98" t="s">
        <v>254</v>
      </c>
      <c r="O49" s="34" t="s">
        <v>248</v>
      </c>
      <c r="P49" s="89"/>
      <c r="Q49" s="89"/>
    </row>
    <row r="50" spans="1:17" ht="39.950000000000003" customHeight="1">
      <c r="A50" s="294"/>
      <c r="B50" s="287"/>
      <c r="C50" s="57" t="s">
        <v>22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292" t="s">
        <v>111</v>
      </c>
      <c r="B51" s="285" t="s">
        <v>112</v>
      </c>
      <c r="C51" s="72" t="s">
        <v>21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292"/>
      <c r="B52" s="285"/>
      <c r="C52" s="57" t="s">
        <v>22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292" t="s">
        <v>114</v>
      </c>
      <c r="B53" s="285" t="s">
        <v>113</v>
      </c>
      <c r="C53" s="57" t="s">
        <v>21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292"/>
      <c r="B54" s="285"/>
      <c r="C54" s="57" t="s">
        <v>22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292" t="s">
        <v>115</v>
      </c>
      <c r="B55" s="285" t="s">
        <v>116</v>
      </c>
      <c r="C55" s="57" t="s">
        <v>21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292"/>
      <c r="B56" s="285"/>
      <c r="C56" s="57" t="s">
        <v>22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292" t="s">
        <v>117</v>
      </c>
      <c r="B57" s="285" t="s">
        <v>118</v>
      </c>
      <c r="C57" s="57" t="s">
        <v>21</v>
      </c>
      <c r="D57" s="97" t="s">
        <v>235</v>
      </c>
      <c r="E57" s="96"/>
      <c r="F57" s="96" t="s">
        <v>236</v>
      </c>
      <c r="G57" s="305" t="s">
        <v>233</v>
      </c>
      <c r="H57" s="305"/>
      <c r="I57" s="96" t="s">
        <v>237</v>
      </c>
      <c r="J57" s="96" t="s">
        <v>238</v>
      </c>
      <c r="K57" s="279" t="s">
        <v>239</v>
      </c>
      <c r="L57" s="280"/>
      <c r="M57" s="280"/>
      <c r="N57" s="280"/>
      <c r="O57" s="281"/>
      <c r="P57" s="92" t="s">
        <v>199</v>
      </c>
      <c r="Q57" s="60"/>
    </row>
    <row r="58" spans="1:17" ht="39.950000000000003" customHeight="1">
      <c r="A58" s="292"/>
      <c r="B58" s="285"/>
      <c r="C58" s="57" t="s">
        <v>22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282" t="s">
        <v>120</v>
      </c>
      <c r="B59" s="282" t="s">
        <v>119</v>
      </c>
      <c r="C59" s="282" t="s">
        <v>21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283"/>
      <c r="B60" s="283"/>
      <c r="C60" s="283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283"/>
      <c r="B61" s="283"/>
      <c r="C61" s="284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284"/>
      <c r="B62" s="284"/>
      <c r="C62" s="72" t="s">
        <v>22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292" t="s">
        <v>121</v>
      </c>
      <c r="B63" s="285" t="s">
        <v>122</v>
      </c>
      <c r="C63" s="57" t="s">
        <v>21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292"/>
      <c r="B64" s="285"/>
      <c r="C64" s="57" t="s">
        <v>22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295" t="s">
        <v>123</v>
      </c>
      <c r="B65" s="299" t="s">
        <v>124</v>
      </c>
      <c r="C65" s="72" t="s">
        <v>21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295"/>
      <c r="B66" s="299"/>
      <c r="C66" s="72" t="s">
        <v>22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292" t="s">
        <v>125</v>
      </c>
      <c r="B67" s="285" t="s">
        <v>126</v>
      </c>
      <c r="C67" s="57" t="s">
        <v>21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292"/>
      <c r="B68" s="285"/>
      <c r="C68" s="57" t="s">
        <v>22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293" t="s">
        <v>127</v>
      </c>
      <c r="B69" s="286" t="s">
        <v>128</v>
      </c>
      <c r="C69" s="57" t="s">
        <v>21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294"/>
      <c r="B70" s="287"/>
      <c r="C70" s="57" t="s">
        <v>22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300" t="s">
        <v>255</v>
      </c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301" t="s">
        <v>216</v>
      </c>
      <c r="C79" s="301"/>
      <c r="D79" s="301"/>
      <c r="E79" s="301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7" type="noConversion"/>
  <conditionalFormatting sqref="R5:AN6 R7:AC70">
    <cfRule type="expression" dxfId="4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W180"/>
  <sheetViews>
    <sheetView workbookViewId="0">
      <pane xSplit="4" ySplit="8" topLeftCell="E13" activePane="bottomRight" state="frozen"/>
      <selection pane="topRight" activeCell="E1" sqref="E1"/>
      <selection pane="bottomLeft" activeCell="A9" sqref="A9"/>
      <selection pane="bottomRight" activeCell="A13" sqref="A13:A16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hidden="1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hidden="1" customWidth="1"/>
    <col min="46" max="46" width="44.7109375" hidden="1" customWidth="1"/>
    <col min="47" max="50" width="0" hidden="1" customWidth="1"/>
  </cols>
  <sheetData>
    <row r="1" spans="1:49" s="31" customFormat="1" ht="20.25" customHeight="1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40.5" customHeight="1">
      <c r="A2" s="400" t="s">
        <v>321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152"/>
    </row>
    <row r="3" spans="1:49" s="118" customFormat="1" ht="10.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153"/>
    </row>
    <row r="4" spans="1:49" s="31" customFormat="1" ht="30" customHeight="1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41.25" customHeight="1">
      <c r="A5" s="399" t="s">
        <v>0</v>
      </c>
      <c r="B5" s="399" t="s">
        <v>261</v>
      </c>
      <c r="C5" s="402" t="s">
        <v>47</v>
      </c>
      <c r="D5" s="402" t="s">
        <v>262</v>
      </c>
      <c r="E5" s="399" t="s">
        <v>1</v>
      </c>
      <c r="F5" s="399" t="s">
        <v>263</v>
      </c>
      <c r="G5" s="399"/>
      <c r="H5" s="399"/>
      <c r="I5" s="399" t="s">
        <v>18</v>
      </c>
      <c r="J5" s="399"/>
      <c r="K5" s="399"/>
      <c r="L5" s="399" t="s">
        <v>19</v>
      </c>
      <c r="M5" s="399"/>
      <c r="N5" s="399"/>
      <c r="O5" s="399" t="s">
        <v>23</v>
      </c>
      <c r="P5" s="399"/>
      <c r="Q5" s="399"/>
      <c r="R5" s="399" t="s">
        <v>25</v>
      </c>
      <c r="S5" s="399"/>
      <c r="T5" s="399"/>
      <c r="U5" s="399" t="s">
        <v>26</v>
      </c>
      <c r="V5" s="399"/>
      <c r="W5" s="399"/>
      <c r="X5" s="399" t="s">
        <v>27</v>
      </c>
      <c r="Y5" s="399"/>
      <c r="Z5" s="399"/>
      <c r="AA5" s="399" t="s">
        <v>29</v>
      </c>
      <c r="AB5" s="399"/>
      <c r="AC5" s="399"/>
      <c r="AD5" s="399" t="s">
        <v>30</v>
      </c>
      <c r="AE5" s="399"/>
      <c r="AF5" s="399"/>
      <c r="AG5" s="399" t="s">
        <v>31</v>
      </c>
      <c r="AH5" s="399"/>
      <c r="AI5" s="399"/>
      <c r="AJ5" s="399" t="s">
        <v>33</v>
      </c>
      <c r="AK5" s="399"/>
      <c r="AL5" s="399"/>
      <c r="AM5" s="399" t="s">
        <v>34</v>
      </c>
      <c r="AN5" s="399"/>
      <c r="AO5" s="399"/>
      <c r="AP5" s="399" t="s">
        <v>35</v>
      </c>
      <c r="AQ5" s="399"/>
      <c r="AR5" s="399"/>
      <c r="AS5" s="397" t="s">
        <v>273</v>
      </c>
      <c r="AT5" s="398" t="s">
        <v>274</v>
      </c>
      <c r="AU5" s="32"/>
      <c r="AV5" s="32"/>
    </row>
    <row r="6" spans="1:49" s="31" customFormat="1" ht="24.75" customHeight="1">
      <c r="A6" s="399"/>
      <c r="B6" s="399"/>
      <c r="C6" s="403"/>
      <c r="D6" s="403"/>
      <c r="E6" s="399"/>
      <c r="F6" s="154" t="s">
        <v>264</v>
      </c>
      <c r="G6" s="154" t="s">
        <v>265</v>
      </c>
      <c r="H6" s="128" t="s">
        <v>266</v>
      </c>
      <c r="I6" s="154" t="s">
        <v>264</v>
      </c>
      <c r="J6" s="154" t="s">
        <v>265</v>
      </c>
      <c r="K6" s="128" t="s">
        <v>266</v>
      </c>
      <c r="L6" s="154" t="s">
        <v>264</v>
      </c>
      <c r="M6" s="154" t="s">
        <v>265</v>
      </c>
      <c r="N6" s="128" t="s">
        <v>266</v>
      </c>
      <c r="O6" s="154" t="s">
        <v>264</v>
      </c>
      <c r="P6" s="154" t="s">
        <v>265</v>
      </c>
      <c r="Q6" s="128" t="s">
        <v>266</v>
      </c>
      <c r="R6" s="154" t="s">
        <v>264</v>
      </c>
      <c r="S6" s="154" t="s">
        <v>265</v>
      </c>
      <c r="T6" s="128" t="s">
        <v>266</v>
      </c>
      <c r="U6" s="154" t="s">
        <v>264</v>
      </c>
      <c r="V6" s="154" t="s">
        <v>265</v>
      </c>
      <c r="W6" s="128" t="s">
        <v>266</v>
      </c>
      <c r="X6" s="154" t="s">
        <v>264</v>
      </c>
      <c r="Y6" s="154" t="s">
        <v>265</v>
      </c>
      <c r="Z6" s="128" t="s">
        <v>266</v>
      </c>
      <c r="AA6" s="154" t="s">
        <v>264</v>
      </c>
      <c r="AB6" s="154" t="s">
        <v>265</v>
      </c>
      <c r="AC6" s="128" t="s">
        <v>266</v>
      </c>
      <c r="AD6" s="154" t="s">
        <v>264</v>
      </c>
      <c r="AE6" s="154" t="s">
        <v>265</v>
      </c>
      <c r="AF6" s="128" t="s">
        <v>266</v>
      </c>
      <c r="AG6" s="154" t="s">
        <v>264</v>
      </c>
      <c r="AH6" s="154" t="s">
        <v>265</v>
      </c>
      <c r="AI6" s="128" t="s">
        <v>266</v>
      </c>
      <c r="AJ6" s="154" t="s">
        <v>264</v>
      </c>
      <c r="AK6" s="154" t="s">
        <v>265</v>
      </c>
      <c r="AL6" s="128" t="s">
        <v>266</v>
      </c>
      <c r="AM6" s="154" t="s">
        <v>264</v>
      </c>
      <c r="AN6" s="154" t="s">
        <v>265</v>
      </c>
      <c r="AO6" s="128" t="s">
        <v>266</v>
      </c>
      <c r="AP6" s="154" t="s">
        <v>264</v>
      </c>
      <c r="AQ6" s="154" t="s">
        <v>265</v>
      </c>
      <c r="AR6" s="128" t="s">
        <v>266</v>
      </c>
      <c r="AS6" s="397"/>
      <c r="AT6" s="398"/>
    </row>
    <row r="7" spans="1:49" s="31" customFormat="1" ht="24.75" customHeight="1">
      <c r="A7" s="349" t="s">
        <v>322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1"/>
    </row>
    <row r="8" spans="1:49" s="31" customFormat="1" ht="24.75" customHeight="1">
      <c r="A8" s="349" t="s">
        <v>294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1"/>
    </row>
    <row r="9" spans="1:49" s="100" customFormat="1" ht="12.75" customHeight="1">
      <c r="A9" s="385" t="s">
        <v>267</v>
      </c>
      <c r="B9" s="386"/>
      <c r="C9" s="386"/>
      <c r="D9" s="387"/>
      <c r="E9" s="129" t="s">
        <v>42</v>
      </c>
      <c r="F9" s="106">
        <f>F10+F11+F12</f>
        <v>387855.89999999991</v>
      </c>
      <c r="G9" s="106">
        <f t="shared" ref="G9:AP9" si="0">G10+G11+G12</f>
        <v>0</v>
      </c>
      <c r="H9" s="106">
        <f>G9/F9*100</f>
        <v>0</v>
      </c>
      <c r="I9" s="106">
        <f t="shared" si="0"/>
        <v>14263.3</v>
      </c>
      <c r="J9" s="106">
        <f t="shared" si="0"/>
        <v>0</v>
      </c>
      <c r="K9" s="106">
        <f>J9/I9*100</f>
        <v>0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33406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34593.499999999993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43737.299999999996</v>
      </c>
      <c r="AQ9" s="106" t="e">
        <f>#REF!+#REF!</f>
        <v>#REF!</v>
      </c>
      <c r="AR9" s="106" t="e">
        <f>#REF!+#REF!</f>
        <v>#REF!</v>
      </c>
      <c r="AS9" s="316"/>
      <c r="AT9" s="394"/>
      <c r="AU9" s="127"/>
    </row>
    <row r="10" spans="1:49" s="100" customFormat="1" ht="36">
      <c r="A10" s="388"/>
      <c r="B10" s="389"/>
      <c r="C10" s="389"/>
      <c r="D10" s="390"/>
      <c r="E10" s="111" t="s">
        <v>3</v>
      </c>
      <c r="F10" s="106">
        <f>F14+F18+F23+F26+F30</f>
        <v>93990.699999999983</v>
      </c>
      <c r="G10" s="106">
        <f>G14+G18+G23+G26+G30</f>
        <v>0</v>
      </c>
      <c r="H10" s="106">
        <f>G10/F10*100</f>
        <v>0</v>
      </c>
      <c r="I10" s="106">
        <f>I14+I18+I23+I26+I30</f>
        <v>949.6</v>
      </c>
      <c r="J10" s="106">
        <f>J14+J18+J23+J26+J30</f>
        <v>0</v>
      </c>
      <c r="K10" s="106">
        <f t="shared" ref="K10:K12" si="1">J10/I10*100</f>
        <v>0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7360.1999999999989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19745.599999999999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7"/>
      <c r="AT10" s="395"/>
      <c r="AU10" s="127"/>
    </row>
    <row r="11" spans="1:49" s="100" customFormat="1" ht="24">
      <c r="A11" s="388"/>
      <c r="B11" s="389"/>
      <c r="C11" s="389"/>
      <c r="D11" s="390"/>
      <c r="E11" s="111" t="s">
        <v>44</v>
      </c>
      <c r="F11" s="106">
        <f>F15+F19+F24+F27+F31</f>
        <v>288033.09999999998</v>
      </c>
      <c r="G11" s="106">
        <f>G15+G19+G24+G27+G31</f>
        <v>0</v>
      </c>
      <c r="H11" s="106">
        <f>G11/F11*100</f>
        <v>0</v>
      </c>
      <c r="I11" s="106">
        <f>I15+I19+I24+I27+I31</f>
        <v>13051.9</v>
      </c>
      <c r="J11" s="106">
        <f>J15+J19+J24+J27+J31</f>
        <v>0</v>
      </c>
      <c r="K11" s="106">
        <f t="shared" si="1"/>
        <v>0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26640.999999999993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7"/>
      <c r="AT11" s="395"/>
      <c r="AU11" s="127"/>
    </row>
    <row r="12" spans="1:49" s="100" customFormat="1" ht="24">
      <c r="A12" s="391"/>
      <c r="B12" s="392"/>
      <c r="C12" s="392"/>
      <c r="D12" s="393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8"/>
      <c r="AT12" s="396"/>
      <c r="AU12" s="127"/>
    </row>
    <row r="13" spans="1:49" s="31" customFormat="1" ht="31.5" customHeight="1">
      <c r="A13" s="364" t="s">
        <v>323</v>
      </c>
      <c r="B13" s="328" t="s">
        <v>324</v>
      </c>
      <c r="C13" s="331" t="s">
        <v>325</v>
      </c>
      <c r="D13" s="331" t="s">
        <v>326</v>
      </c>
      <c r="E13" s="107" t="s">
        <v>42</v>
      </c>
      <c r="F13" s="123">
        <f>SUM(F14:F16)</f>
        <v>300702.99999999994</v>
      </c>
      <c r="G13" s="123">
        <f t="shared" ref="G13:P13" si="7">SUM(G14:G16)</f>
        <v>0</v>
      </c>
      <c r="H13" s="123">
        <f>G13/F13*100</f>
        <v>0</v>
      </c>
      <c r="I13" s="123">
        <f t="shared" si="7"/>
        <v>6636.9000000000005</v>
      </c>
      <c r="J13" s="123">
        <f t="shared" si="7"/>
        <v>0</v>
      </c>
      <c r="K13" s="123">
        <f t="shared" si="7"/>
        <v>0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25852.799999999999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26660.099999999995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36679.599999999999</v>
      </c>
      <c r="AQ13" s="123">
        <f t="shared" si="8"/>
        <v>0</v>
      </c>
      <c r="AR13" s="123">
        <f t="shared" si="8"/>
        <v>0</v>
      </c>
      <c r="AS13" s="337" t="s">
        <v>309</v>
      </c>
      <c r="AT13" s="382" t="s">
        <v>308</v>
      </c>
      <c r="AU13" s="121">
        <f>I13+L13+O13+R13+U13+X13+AA13+AD13+AG13</f>
        <v>232355.5</v>
      </c>
      <c r="AV13" s="121">
        <f>J13+M13+P13+S13+V13+Y13+AB13+AE13+AH13</f>
        <v>0</v>
      </c>
      <c r="AW13" s="155">
        <f>AV13/AU13*100</f>
        <v>0</v>
      </c>
    </row>
    <row r="14" spans="1:49" s="31" customFormat="1" ht="53.25" customHeight="1">
      <c r="A14" s="365"/>
      <c r="B14" s="329"/>
      <c r="C14" s="332"/>
      <c r="D14" s="332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0</v>
      </c>
      <c r="H14" s="123">
        <v>0</v>
      </c>
      <c r="I14" s="123">
        <f>47.4+15+887.2</f>
        <v>949.6</v>
      </c>
      <c r="J14" s="123">
        <v>0</v>
      </c>
      <c r="K14" s="123">
        <v>0</v>
      </c>
      <c r="L14" s="123">
        <f>5300+92.5+1181.4</f>
        <v>6573.9</v>
      </c>
      <c r="M14" s="123">
        <v>0</v>
      </c>
      <c r="N14" s="123">
        <v>0</v>
      </c>
      <c r="O14" s="123">
        <f>5300+79.4+1165.4-6.3</f>
        <v>6538.4999999999991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</f>
        <v>19525.599999999999</v>
      </c>
      <c r="AQ14" s="123"/>
      <c r="AR14" s="123"/>
      <c r="AS14" s="338"/>
      <c r="AT14" s="383"/>
      <c r="AU14" s="121"/>
      <c r="AV14" s="121"/>
      <c r="AW14" s="155"/>
    </row>
    <row r="15" spans="1:49" s="31" customFormat="1" ht="46.5" customHeight="1">
      <c r="A15" s="365"/>
      <c r="B15" s="329"/>
      <c r="C15" s="332"/>
      <c r="D15" s="332"/>
      <c r="E15" s="108" t="s">
        <v>44</v>
      </c>
      <c r="F15" s="123">
        <f t="shared" ref="F15:F16" si="9">I15+L15+O15+R15+U15+X15+AA15+AD15+AG15+AJ15+AM15+AP15</f>
        <v>203427.59999999998</v>
      </c>
      <c r="G15" s="123">
        <f t="shared" ref="G15:G16" si="10">J15+M15+P15+S15+V15+Y15+AB15+AE15+AH15+AK15+AN15+AQ15</f>
        <v>0</v>
      </c>
      <c r="H15" s="123">
        <f>G15/F15*100</f>
        <v>0</v>
      </c>
      <c r="I15" s="123">
        <f>40+428.8+4937+6.7+13</f>
        <v>5425.5</v>
      </c>
      <c r="J15" s="123">
        <v>0</v>
      </c>
      <c r="K15" s="123">
        <f>J15/I15*100</f>
        <v>0</v>
      </c>
      <c r="L15" s="123">
        <f>517.2+2195.7+21252+496.8+361.9+645.7</f>
        <v>25469.300000000003</v>
      </c>
      <c r="M15" s="123">
        <v>0</v>
      </c>
      <c r="N15" s="123">
        <f t="shared" ref="N15:N22" si="11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2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</f>
        <v>18848.999999999996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38"/>
      <c r="AT15" s="383"/>
      <c r="AU15" s="121">
        <f t="shared" ref="AU15:AU29" si="15">I15+L15+O15+R15+U15+X15+AA15+AD15+AG15</f>
        <v>169534.19999999998</v>
      </c>
      <c r="AV15" s="121">
        <f t="shared" ref="AV15:AV29" si="16">J15+M15+P15+S15+V15+Y15+AB15+AE15+AH15</f>
        <v>0</v>
      </c>
      <c r="AW15" s="155">
        <f t="shared" ref="AW15:AW29" si="17">AV15/AU15*100</f>
        <v>0</v>
      </c>
    </row>
    <row r="16" spans="1:49" s="31" customFormat="1" ht="61.5" customHeight="1">
      <c r="A16" s="366"/>
      <c r="B16" s="330"/>
      <c r="C16" s="333"/>
      <c r="D16" s="333"/>
      <c r="E16" s="109" t="s">
        <v>257</v>
      </c>
      <c r="F16" s="123">
        <f t="shared" si="9"/>
        <v>5832.1</v>
      </c>
      <c r="G16" s="123">
        <f t="shared" si="10"/>
        <v>0</v>
      </c>
      <c r="H16" s="123">
        <v>0</v>
      </c>
      <c r="I16" s="123">
        <v>261.8</v>
      </c>
      <c r="J16" s="123">
        <v>0</v>
      </c>
      <c r="K16" s="123"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39"/>
      <c r="AT16" s="384"/>
      <c r="AU16" s="121"/>
      <c r="AV16" s="121"/>
      <c r="AW16" s="155"/>
    </row>
    <row r="17" spans="1:49" s="31" customFormat="1" ht="12.75">
      <c r="A17" s="364" t="s">
        <v>327</v>
      </c>
      <c r="B17" s="328" t="s">
        <v>328</v>
      </c>
      <c r="C17" s="331" t="s">
        <v>329</v>
      </c>
      <c r="D17" s="334" t="s">
        <v>330</v>
      </c>
      <c r="E17" s="107" t="s">
        <v>42</v>
      </c>
      <c r="F17" s="123">
        <f>SUM(F18:F20)</f>
        <v>77800</v>
      </c>
      <c r="G17" s="123">
        <f t="shared" ref="G17:P17" si="18">SUM(G18:G20)</f>
        <v>0</v>
      </c>
      <c r="H17" s="123">
        <f>G17/F17*100</f>
        <v>0</v>
      </c>
      <c r="I17" s="123">
        <f t="shared" si="18"/>
        <v>7091.6</v>
      </c>
      <c r="J17" s="123">
        <f t="shared" si="18"/>
        <v>0</v>
      </c>
      <c r="K17" s="123">
        <f>J17/I17*100</f>
        <v>0</v>
      </c>
      <c r="L17" s="123">
        <f t="shared" si="18"/>
        <v>7886.9</v>
      </c>
      <c r="M17" s="123">
        <f t="shared" si="18"/>
        <v>0</v>
      </c>
      <c r="N17" s="123">
        <f t="shared" si="11"/>
        <v>0</v>
      </c>
      <c r="O17" s="123">
        <f t="shared" si="18"/>
        <v>6038</v>
      </c>
      <c r="P17" s="123">
        <f t="shared" si="18"/>
        <v>0</v>
      </c>
      <c r="Q17" s="123">
        <f t="shared" si="12"/>
        <v>0</v>
      </c>
      <c r="R17" s="123">
        <f t="shared" ref="R17:AB17" si="19">SUM(R18:R20)</f>
        <v>6900</v>
      </c>
      <c r="S17" s="123">
        <f t="shared" si="19"/>
        <v>0</v>
      </c>
      <c r="T17" s="123">
        <f t="shared" si="13"/>
        <v>0</v>
      </c>
      <c r="U17" s="123">
        <f t="shared" si="19"/>
        <v>6826.3</v>
      </c>
      <c r="V17" s="123">
        <f t="shared" si="19"/>
        <v>0</v>
      </c>
      <c r="W17" s="123">
        <f t="shared" ref="W17" si="20">V17/U17*100</f>
        <v>0</v>
      </c>
      <c r="X17" s="123">
        <f t="shared" si="19"/>
        <v>7190.9</v>
      </c>
      <c r="Y17" s="123">
        <f t="shared" si="19"/>
        <v>0</v>
      </c>
      <c r="Z17" s="123">
        <f>Y17/X17*100</f>
        <v>0</v>
      </c>
      <c r="AA17" s="104">
        <f t="shared" si="19"/>
        <v>7431.5</v>
      </c>
      <c r="AB17" s="123">
        <f t="shared" si="19"/>
        <v>0</v>
      </c>
      <c r="AC17" s="123">
        <f>SUM(AC18:AC20)</f>
        <v>0</v>
      </c>
      <c r="AD17" s="104">
        <f t="shared" ref="AD17:AR17" si="21">SUM(AD18:AD20)</f>
        <v>6016.2</v>
      </c>
      <c r="AE17" s="104">
        <f t="shared" si="21"/>
        <v>0</v>
      </c>
      <c r="AF17" s="104">
        <f t="shared" si="6"/>
        <v>0</v>
      </c>
      <c r="AG17" s="104">
        <f t="shared" si="21"/>
        <v>5470</v>
      </c>
      <c r="AH17" s="123">
        <f t="shared" si="21"/>
        <v>0</v>
      </c>
      <c r="AI17" s="123">
        <f t="shared" si="21"/>
        <v>0</v>
      </c>
      <c r="AJ17" s="123">
        <f t="shared" si="21"/>
        <v>5540.8</v>
      </c>
      <c r="AK17" s="123">
        <f t="shared" si="21"/>
        <v>0</v>
      </c>
      <c r="AL17" s="123">
        <f t="shared" si="21"/>
        <v>0</v>
      </c>
      <c r="AM17" s="104">
        <f t="shared" si="21"/>
        <v>5036.7</v>
      </c>
      <c r="AN17" s="123">
        <f t="shared" si="21"/>
        <v>0</v>
      </c>
      <c r="AO17" s="123">
        <f t="shared" si="21"/>
        <v>0</v>
      </c>
      <c r="AP17" s="104">
        <f t="shared" si="21"/>
        <v>6371.1</v>
      </c>
      <c r="AQ17" s="123">
        <f t="shared" si="21"/>
        <v>0</v>
      </c>
      <c r="AR17" s="123">
        <f t="shared" si="21"/>
        <v>0</v>
      </c>
      <c r="AS17" s="337" t="s">
        <v>299</v>
      </c>
      <c r="AT17" s="382" t="s">
        <v>296</v>
      </c>
      <c r="AU17" s="121">
        <f t="shared" si="15"/>
        <v>60851.4</v>
      </c>
      <c r="AV17" s="121">
        <f t="shared" si="16"/>
        <v>0</v>
      </c>
      <c r="AW17" s="155">
        <f t="shared" si="17"/>
        <v>0</v>
      </c>
    </row>
    <row r="18" spans="1:49" s="31" customFormat="1" ht="36">
      <c r="A18" s="365"/>
      <c r="B18" s="329"/>
      <c r="C18" s="332"/>
      <c r="D18" s="335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8"/>
      <c r="AT18" s="383"/>
      <c r="AU18" s="121">
        <f t="shared" si="15"/>
        <v>0</v>
      </c>
      <c r="AV18" s="121">
        <f t="shared" si="16"/>
        <v>0</v>
      </c>
      <c r="AW18" s="155" t="e">
        <f t="shared" si="17"/>
        <v>#DIV/0!</v>
      </c>
    </row>
    <row r="19" spans="1:49" s="31" customFormat="1" ht="12.75">
      <c r="A19" s="365"/>
      <c r="B19" s="329"/>
      <c r="C19" s="332"/>
      <c r="D19" s="335"/>
      <c r="E19" s="108" t="s">
        <v>44</v>
      </c>
      <c r="F19" s="123">
        <f t="shared" ref="F19:F20" si="22">I19+L19+O19+R19+U19+X19+AA19+AD19+AG19+AJ19+AM19+AP19</f>
        <v>77800</v>
      </c>
      <c r="G19" s="123">
        <f t="shared" ref="G19:G20" si="23">J19+M19+P19+S19+V19+Y19+AB19+AE19+AH19+AK19+AN19+AQ19</f>
        <v>0</v>
      </c>
      <c r="H19" s="123">
        <v>0</v>
      </c>
      <c r="I19" s="123">
        <v>7091.6</v>
      </c>
      <c r="J19" s="123">
        <v>0</v>
      </c>
      <c r="K19" s="123">
        <v>0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38"/>
      <c r="AT19" s="383"/>
      <c r="AU19" s="121"/>
      <c r="AV19" s="121"/>
      <c r="AW19" s="155"/>
    </row>
    <row r="20" spans="1:49" s="31" customFormat="1" ht="63" customHeight="1">
      <c r="A20" s="366"/>
      <c r="B20" s="330"/>
      <c r="C20" s="333"/>
      <c r="D20" s="336"/>
      <c r="E20" s="109" t="s">
        <v>257</v>
      </c>
      <c r="F20" s="123">
        <f t="shared" si="22"/>
        <v>0</v>
      </c>
      <c r="G20" s="123">
        <f t="shared" si="23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39"/>
      <c r="AT20" s="384"/>
      <c r="AU20" s="121">
        <f t="shared" si="15"/>
        <v>0</v>
      </c>
      <c r="AV20" s="121">
        <f t="shared" si="16"/>
        <v>0</v>
      </c>
      <c r="AW20" s="155" t="e">
        <f t="shared" si="17"/>
        <v>#DIV/0!</v>
      </c>
    </row>
    <row r="21" spans="1:49" s="31" customFormat="1" ht="74.25" customHeight="1">
      <c r="A21" s="157" t="s">
        <v>331</v>
      </c>
      <c r="B21" s="164" t="s">
        <v>332</v>
      </c>
      <c r="C21" s="158" t="s">
        <v>333</v>
      </c>
      <c r="D21" s="169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63" t="s">
        <v>319</v>
      </c>
      <c r="AT21" s="167" t="s">
        <v>297</v>
      </c>
      <c r="AU21" s="121" t="e">
        <f t="shared" ref="AU21" si="24">I21+L21+O21+R21+U21+X21+AA21+AD21+AG21</f>
        <v>#VALUE!</v>
      </c>
      <c r="AV21" s="121" t="e">
        <f t="shared" ref="AV21" si="25">J21+M21+P21+S21+V21+Y21+AB21+AE21+AH21</f>
        <v>#VALUE!</v>
      </c>
      <c r="AW21" s="155" t="e">
        <f t="shared" ref="AW21" si="26">AV21/AU21*100</f>
        <v>#VALUE!</v>
      </c>
    </row>
    <row r="22" spans="1:49" s="31" customFormat="1" ht="12.75">
      <c r="A22" s="364" t="s">
        <v>334</v>
      </c>
      <c r="B22" s="328" t="s">
        <v>335</v>
      </c>
      <c r="C22" s="331" t="s">
        <v>268</v>
      </c>
      <c r="D22" s="334" t="s">
        <v>336</v>
      </c>
      <c r="E22" s="107" t="s">
        <v>42</v>
      </c>
      <c r="F22" s="123">
        <f>SUM(F23:F24)</f>
        <v>3987.3</v>
      </c>
      <c r="G22" s="123">
        <f>SUM(G23:G24)</f>
        <v>0</v>
      </c>
      <c r="H22" s="123">
        <f>G22/F22*100</f>
        <v>0</v>
      </c>
      <c r="I22" s="123">
        <f>SUM(I23:I24)</f>
        <v>326</v>
      </c>
      <c r="J22" s="123">
        <f>SUM(J23:J24)</f>
        <v>0</v>
      </c>
      <c r="K22" s="123">
        <f t="shared" ref="K22" si="27">J22/I22*100</f>
        <v>0</v>
      </c>
      <c r="L22" s="123">
        <f>SUM(L23:L24)</f>
        <v>326</v>
      </c>
      <c r="M22" s="123">
        <f>SUM(M23:M24)</f>
        <v>0</v>
      </c>
      <c r="N22" s="123">
        <f t="shared" si="11"/>
        <v>0</v>
      </c>
      <c r="O22" s="123">
        <f>SUM(O23:O24)</f>
        <v>326</v>
      </c>
      <c r="P22" s="123">
        <f>SUM(P23:P24)</f>
        <v>0</v>
      </c>
      <c r="Q22" s="123">
        <f t="shared" si="12"/>
        <v>0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8">V22/U22*100</f>
        <v>0</v>
      </c>
      <c r="X22" s="123">
        <f t="shared" ref="X22:AE22" si="29">SUM(X23:X24)</f>
        <v>326</v>
      </c>
      <c r="Y22" s="123">
        <f t="shared" si="29"/>
        <v>0</v>
      </c>
      <c r="Z22" s="123">
        <f t="shared" si="29"/>
        <v>0</v>
      </c>
      <c r="AA22" s="104">
        <f t="shared" si="29"/>
        <v>326</v>
      </c>
      <c r="AB22" s="123">
        <f t="shared" si="29"/>
        <v>0</v>
      </c>
      <c r="AC22" s="123">
        <f t="shared" si="29"/>
        <v>0</v>
      </c>
      <c r="AD22" s="104">
        <f t="shared" si="29"/>
        <v>326</v>
      </c>
      <c r="AE22" s="104">
        <f t="shared" si="29"/>
        <v>0</v>
      </c>
      <c r="AF22" s="104">
        <f t="shared" si="6"/>
        <v>0</v>
      </c>
      <c r="AG22" s="104">
        <f t="shared" ref="AG22:AR22" si="30">SUM(AG23:AG24)</f>
        <v>326</v>
      </c>
      <c r="AH22" s="123">
        <f t="shared" si="30"/>
        <v>0</v>
      </c>
      <c r="AI22" s="123">
        <f t="shared" si="30"/>
        <v>0</v>
      </c>
      <c r="AJ22" s="123">
        <f t="shared" si="30"/>
        <v>326</v>
      </c>
      <c r="AK22" s="123">
        <f t="shared" si="30"/>
        <v>0</v>
      </c>
      <c r="AL22" s="123">
        <f t="shared" si="30"/>
        <v>0</v>
      </c>
      <c r="AM22" s="104">
        <f t="shared" si="30"/>
        <v>326</v>
      </c>
      <c r="AN22" s="123">
        <f t="shared" si="30"/>
        <v>0</v>
      </c>
      <c r="AO22" s="123">
        <f t="shared" si="30"/>
        <v>0</v>
      </c>
      <c r="AP22" s="104">
        <f t="shared" si="30"/>
        <v>401.3</v>
      </c>
      <c r="AQ22" s="123">
        <f t="shared" si="30"/>
        <v>0</v>
      </c>
      <c r="AR22" s="123">
        <f t="shared" si="30"/>
        <v>0</v>
      </c>
      <c r="AS22" s="337" t="s">
        <v>319</v>
      </c>
      <c r="AT22" s="340" t="s">
        <v>297</v>
      </c>
      <c r="AU22" s="121">
        <f t="shared" si="15"/>
        <v>2934</v>
      </c>
      <c r="AV22" s="121">
        <f t="shared" si="16"/>
        <v>0</v>
      </c>
      <c r="AW22" s="155">
        <f t="shared" si="17"/>
        <v>0</v>
      </c>
    </row>
    <row r="23" spans="1:49" s="31" customFormat="1" ht="36">
      <c r="A23" s="365"/>
      <c r="B23" s="329"/>
      <c r="C23" s="332"/>
      <c r="D23" s="335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8"/>
      <c r="AT23" s="341"/>
      <c r="AU23" s="121">
        <f t="shared" si="15"/>
        <v>0</v>
      </c>
      <c r="AV23" s="121">
        <f t="shared" si="16"/>
        <v>0</v>
      </c>
      <c r="AW23" s="155" t="e">
        <f t="shared" si="17"/>
        <v>#DIV/0!</v>
      </c>
    </row>
    <row r="24" spans="1:49" s="31" customFormat="1" ht="12.75">
      <c r="A24" s="365"/>
      <c r="B24" s="329"/>
      <c r="C24" s="332"/>
      <c r="D24" s="335"/>
      <c r="E24" s="108" t="s">
        <v>44</v>
      </c>
      <c r="F24" s="123">
        <f t="shared" ref="F24" si="31">I24+L24+O24+R24+U24+X24+AA24+AD24+AG24+AJ24+AM24+AP24</f>
        <v>3987.3</v>
      </c>
      <c r="G24" s="123">
        <f t="shared" ref="G24" si="32">J24+M24+P24+S24+V24+Y24+AB24+AE24+AH24+AK24+AN24+AQ24</f>
        <v>0</v>
      </c>
      <c r="H24" s="123">
        <v>0</v>
      </c>
      <c r="I24" s="123">
        <v>326</v>
      </c>
      <c r="J24" s="123">
        <v>0</v>
      </c>
      <c r="K24" s="123">
        <v>0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8"/>
      <c r="AT24" s="341"/>
      <c r="AU24" s="121"/>
      <c r="AV24" s="121"/>
      <c r="AW24" s="155"/>
    </row>
    <row r="25" spans="1:49" s="31" customFormat="1" ht="12.75">
      <c r="A25" s="364" t="s">
        <v>337</v>
      </c>
      <c r="B25" s="328" t="s">
        <v>338</v>
      </c>
      <c r="C25" s="331" t="s">
        <v>339</v>
      </c>
      <c r="D25" s="334" t="s">
        <v>340</v>
      </c>
      <c r="E25" s="107" t="s">
        <v>42</v>
      </c>
      <c r="F25" s="123">
        <f>SUM(F26:F28)</f>
        <v>5215.6000000000004</v>
      </c>
      <c r="G25" s="123">
        <f t="shared" ref="G25:P25" si="33">SUM(G26:G28)</f>
        <v>0</v>
      </c>
      <c r="H25" s="123">
        <f>G25/F25*100</f>
        <v>0</v>
      </c>
      <c r="I25" s="123">
        <f t="shared" si="33"/>
        <v>208.8</v>
      </c>
      <c r="J25" s="123">
        <f t="shared" si="33"/>
        <v>0</v>
      </c>
      <c r="K25" s="123">
        <f t="shared" si="33"/>
        <v>0</v>
      </c>
      <c r="L25" s="123">
        <f t="shared" si="33"/>
        <v>384.9</v>
      </c>
      <c r="M25" s="123">
        <f t="shared" si="33"/>
        <v>0</v>
      </c>
      <c r="N25" s="123">
        <v>0</v>
      </c>
      <c r="O25" s="123">
        <f t="shared" si="33"/>
        <v>1039.2</v>
      </c>
      <c r="P25" s="123">
        <f t="shared" si="33"/>
        <v>0</v>
      </c>
      <c r="Q25" s="123">
        <v>0</v>
      </c>
      <c r="R25" s="123">
        <f t="shared" ref="R25:Z25" si="34">SUM(R26:R28)</f>
        <v>353</v>
      </c>
      <c r="S25" s="123">
        <f t="shared" si="34"/>
        <v>0</v>
      </c>
      <c r="T25" s="123">
        <v>0</v>
      </c>
      <c r="U25" s="123">
        <f t="shared" si="34"/>
        <v>378</v>
      </c>
      <c r="V25" s="123">
        <f t="shared" si="34"/>
        <v>0</v>
      </c>
      <c r="W25" s="123">
        <f t="shared" si="34"/>
        <v>0</v>
      </c>
      <c r="X25" s="123">
        <f t="shared" si="34"/>
        <v>416.5</v>
      </c>
      <c r="Y25" s="123">
        <f t="shared" si="34"/>
        <v>0</v>
      </c>
      <c r="Z25" s="123">
        <f t="shared" si="34"/>
        <v>0</v>
      </c>
      <c r="AA25" s="104">
        <f t="shared" ref="AA25:AB25" si="35">SUM(AA26:AA28)</f>
        <v>482.40000000000003</v>
      </c>
      <c r="AB25" s="123">
        <f t="shared" si="35"/>
        <v>0</v>
      </c>
      <c r="AC25" s="123">
        <f>SUM(AC26:AC28)</f>
        <v>0</v>
      </c>
      <c r="AD25" s="104">
        <f t="shared" ref="AD25:AR25" si="36">SUM(AD26:AD28)</f>
        <v>451.1</v>
      </c>
      <c r="AE25" s="104">
        <f t="shared" si="36"/>
        <v>0</v>
      </c>
      <c r="AF25" s="104">
        <f t="shared" si="6"/>
        <v>0</v>
      </c>
      <c r="AG25" s="104">
        <f t="shared" si="36"/>
        <v>471.79999999999995</v>
      </c>
      <c r="AH25" s="123">
        <f t="shared" si="36"/>
        <v>0</v>
      </c>
      <c r="AI25" s="104">
        <f t="shared" ref="AI25" si="37">AH25/AG25*100</f>
        <v>0</v>
      </c>
      <c r="AJ25" s="123">
        <f t="shared" si="36"/>
        <v>517.1</v>
      </c>
      <c r="AK25" s="123">
        <f t="shared" si="36"/>
        <v>0</v>
      </c>
      <c r="AL25" s="123">
        <f t="shared" si="36"/>
        <v>0</v>
      </c>
      <c r="AM25" s="104">
        <f t="shared" si="36"/>
        <v>227.5</v>
      </c>
      <c r="AN25" s="123">
        <f t="shared" si="36"/>
        <v>0</v>
      </c>
      <c r="AO25" s="123">
        <f t="shared" si="36"/>
        <v>0</v>
      </c>
      <c r="AP25" s="104">
        <f t="shared" si="36"/>
        <v>285.3</v>
      </c>
      <c r="AQ25" s="123">
        <f t="shared" si="36"/>
        <v>0</v>
      </c>
      <c r="AR25" s="123">
        <f t="shared" si="36"/>
        <v>0</v>
      </c>
      <c r="AS25" s="337" t="s">
        <v>318</v>
      </c>
      <c r="AT25" s="346"/>
      <c r="AU25" s="121">
        <f t="shared" si="15"/>
        <v>4185.7</v>
      </c>
      <c r="AV25" s="121">
        <f t="shared" si="16"/>
        <v>0</v>
      </c>
      <c r="AW25" s="155">
        <f t="shared" si="17"/>
        <v>0</v>
      </c>
    </row>
    <row r="26" spans="1:49" s="31" customFormat="1" ht="36">
      <c r="A26" s="365"/>
      <c r="B26" s="329"/>
      <c r="C26" s="332"/>
      <c r="D26" s="335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0</v>
      </c>
      <c r="H26" s="123">
        <f>G26/F26*100</f>
        <v>0</v>
      </c>
      <c r="I26" s="104">
        <v>0</v>
      </c>
      <c r="J26" s="104">
        <v>0</v>
      </c>
      <c r="K26" s="104">
        <v>0</v>
      </c>
      <c r="L26" s="126">
        <v>124.5</v>
      </c>
      <c r="M26" s="104">
        <v>0</v>
      </c>
      <c r="N26" s="123">
        <v>0</v>
      </c>
      <c r="O26" s="104">
        <f>124.5+697.2</f>
        <v>821.7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38"/>
      <c r="AT26" s="347"/>
      <c r="AU26" s="121">
        <f t="shared" si="15"/>
        <v>1948.3000000000002</v>
      </c>
      <c r="AV26" s="121">
        <f t="shared" si="16"/>
        <v>0</v>
      </c>
      <c r="AW26" s="155">
        <f t="shared" si="17"/>
        <v>0</v>
      </c>
    </row>
    <row r="27" spans="1:49" s="31" customFormat="1" ht="12.75">
      <c r="A27" s="365"/>
      <c r="B27" s="329"/>
      <c r="C27" s="332"/>
      <c r="D27" s="335"/>
      <c r="E27" s="108" t="s">
        <v>44</v>
      </c>
      <c r="F27" s="123">
        <f t="shared" ref="F27:F28" si="38">I27+L27+O27+R27+U27+X27+AA27+AD27+AG27+AJ27+AM27+AP27</f>
        <v>2668.2000000000003</v>
      </c>
      <c r="G27" s="123">
        <f t="shared" ref="G27:G28" si="39">J27+M27+P27+S27+V27+Y27+AB27+AE27+AH27+AK27+AN27+AQ27</f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38"/>
      <c r="AT27" s="347"/>
      <c r="AU27" s="121"/>
      <c r="AV27" s="121"/>
      <c r="AW27" s="155"/>
    </row>
    <row r="28" spans="1:49" s="31" customFormat="1" ht="27" customHeight="1">
      <c r="A28" s="366"/>
      <c r="B28" s="330"/>
      <c r="C28" s="333"/>
      <c r="D28" s="336"/>
      <c r="E28" s="109" t="s">
        <v>257</v>
      </c>
      <c r="F28" s="123">
        <f t="shared" si="38"/>
        <v>0</v>
      </c>
      <c r="G28" s="123">
        <f t="shared" si="39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39"/>
      <c r="AT28" s="348"/>
      <c r="AU28" s="121"/>
      <c r="AV28" s="121"/>
      <c r="AW28" s="155"/>
    </row>
    <row r="29" spans="1:49" s="31" customFormat="1" ht="21" customHeight="1">
      <c r="A29" s="364" t="s">
        <v>341</v>
      </c>
      <c r="B29" s="328" t="s">
        <v>342</v>
      </c>
      <c r="C29" s="331" t="s">
        <v>268</v>
      </c>
      <c r="D29" s="334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40">SUM(U30:U31)</f>
        <v>0</v>
      </c>
      <c r="V29" s="123">
        <f t="shared" si="40"/>
        <v>0</v>
      </c>
      <c r="W29" s="123">
        <f t="shared" si="40"/>
        <v>0</v>
      </c>
      <c r="X29" s="123">
        <f t="shared" si="40"/>
        <v>0</v>
      </c>
      <c r="Y29" s="123">
        <f t="shared" si="40"/>
        <v>0</v>
      </c>
      <c r="Z29" s="123">
        <f t="shared" si="40"/>
        <v>0</v>
      </c>
      <c r="AA29" s="104">
        <f t="shared" si="40"/>
        <v>0</v>
      </c>
      <c r="AB29" s="123">
        <f t="shared" si="40"/>
        <v>0</v>
      </c>
      <c r="AC29" s="123">
        <f t="shared" si="40"/>
        <v>0</v>
      </c>
      <c r="AD29" s="104">
        <f t="shared" si="40"/>
        <v>0</v>
      </c>
      <c r="AE29" s="104">
        <f t="shared" si="40"/>
        <v>0</v>
      </c>
      <c r="AF29" s="104">
        <f t="shared" si="40"/>
        <v>0</v>
      </c>
      <c r="AG29" s="104">
        <f t="shared" si="40"/>
        <v>0</v>
      </c>
      <c r="AH29" s="123">
        <f t="shared" si="40"/>
        <v>0</v>
      </c>
      <c r="AI29" s="117">
        <v>0</v>
      </c>
      <c r="AJ29" s="123">
        <f t="shared" ref="AJ29:AR29" si="41">SUM(AJ30:AJ31)</f>
        <v>0</v>
      </c>
      <c r="AK29" s="123">
        <f t="shared" si="41"/>
        <v>0</v>
      </c>
      <c r="AL29" s="123">
        <f t="shared" si="41"/>
        <v>0</v>
      </c>
      <c r="AM29" s="104">
        <f t="shared" si="41"/>
        <v>0</v>
      </c>
      <c r="AN29" s="123">
        <f t="shared" si="41"/>
        <v>0</v>
      </c>
      <c r="AO29" s="123">
        <f t="shared" si="41"/>
        <v>0</v>
      </c>
      <c r="AP29" s="104">
        <f t="shared" si="41"/>
        <v>0</v>
      </c>
      <c r="AQ29" s="123">
        <f t="shared" si="41"/>
        <v>0</v>
      </c>
      <c r="AR29" s="123">
        <f t="shared" si="41"/>
        <v>0</v>
      </c>
      <c r="AS29" s="337" t="s">
        <v>298</v>
      </c>
      <c r="AT29" s="346"/>
      <c r="AU29" s="121">
        <f t="shared" si="15"/>
        <v>150</v>
      </c>
      <c r="AV29" s="121">
        <f t="shared" si="16"/>
        <v>0</v>
      </c>
      <c r="AW29" s="155">
        <f t="shared" si="17"/>
        <v>0</v>
      </c>
    </row>
    <row r="30" spans="1:49" s="31" customFormat="1" ht="44.25" customHeight="1">
      <c r="A30" s="365"/>
      <c r="B30" s="329"/>
      <c r="C30" s="332"/>
      <c r="D30" s="335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8"/>
      <c r="AT30" s="347"/>
      <c r="AU30" s="121"/>
      <c r="AV30" s="121"/>
      <c r="AW30" s="155"/>
    </row>
    <row r="31" spans="1:49" s="31" customFormat="1" ht="33" customHeight="1">
      <c r="A31" s="365"/>
      <c r="B31" s="329"/>
      <c r="C31" s="332"/>
      <c r="D31" s="335"/>
      <c r="E31" s="108" t="s">
        <v>44</v>
      </c>
      <c r="F31" s="123">
        <f t="shared" ref="F31" si="42">I31+L31+O31+R31+U31+X31+AA31+AD31+AG31+AJ31+AM31+AP31</f>
        <v>150</v>
      </c>
      <c r="G31" s="123">
        <f t="shared" ref="G31" si="43">J31+M31+P31+S31+V31+Y31+AB31+AE31+AH31+AK31+AN31+AQ31</f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8"/>
      <c r="AT31" s="347"/>
      <c r="AU31" s="121"/>
      <c r="AV31" s="121"/>
      <c r="AW31" s="155"/>
    </row>
    <row r="32" spans="1:49" s="31" customFormat="1" ht="24.75" customHeight="1">
      <c r="A32" s="349" t="s">
        <v>344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1"/>
    </row>
    <row r="33" spans="1:49" s="100" customFormat="1" ht="20.25" customHeight="1">
      <c r="A33" s="352" t="s">
        <v>345</v>
      </c>
      <c r="B33" s="353"/>
      <c r="C33" s="353"/>
      <c r="D33" s="354"/>
      <c r="E33" s="129" t="s">
        <v>42</v>
      </c>
      <c r="F33" s="106">
        <f>F34+F35+F36</f>
        <v>33940.800000000003</v>
      </c>
      <c r="G33" s="106">
        <f t="shared" ref="G33:AR33" si="44">G34+G35+G36</f>
        <v>0</v>
      </c>
      <c r="H33" s="106">
        <f>G33/F33*100</f>
        <v>0</v>
      </c>
      <c r="I33" s="106">
        <f t="shared" si="44"/>
        <v>556</v>
      </c>
      <c r="J33" s="106">
        <f t="shared" si="44"/>
        <v>0</v>
      </c>
      <c r="K33" s="106">
        <f>J33/I33*100</f>
        <v>0</v>
      </c>
      <c r="L33" s="106">
        <f t="shared" si="44"/>
        <v>2428</v>
      </c>
      <c r="M33" s="106">
        <f t="shared" si="44"/>
        <v>0</v>
      </c>
      <c r="N33" s="106">
        <f>M33/L33*100</f>
        <v>0</v>
      </c>
      <c r="O33" s="106">
        <f t="shared" si="44"/>
        <v>2242</v>
      </c>
      <c r="P33" s="106">
        <f t="shared" si="44"/>
        <v>0</v>
      </c>
      <c r="Q33" s="106">
        <f>P33/O33*100</f>
        <v>0</v>
      </c>
      <c r="R33" s="106">
        <f t="shared" si="44"/>
        <v>3060</v>
      </c>
      <c r="S33" s="106">
        <f t="shared" si="44"/>
        <v>0</v>
      </c>
      <c r="T33" s="106">
        <f>S33/R33*100</f>
        <v>0</v>
      </c>
      <c r="U33" s="106">
        <f t="shared" si="44"/>
        <v>2489</v>
      </c>
      <c r="V33" s="106">
        <f t="shared" si="44"/>
        <v>0</v>
      </c>
      <c r="W33" s="106">
        <f t="shared" si="44"/>
        <v>0</v>
      </c>
      <c r="X33" s="106">
        <f t="shared" si="44"/>
        <v>2628</v>
      </c>
      <c r="Y33" s="106">
        <f t="shared" si="44"/>
        <v>0</v>
      </c>
      <c r="Z33" s="106">
        <f t="shared" si="44"/>
        <v>0</v>
      </c>
      <c r="AA33" s="106">
        <f t="shared" si="44"/>
        <v>3576</v>
      </c>
      <c r="AB33" s="106">
        <f t="shared" si="44"/>
        <v>0</v>
      </c>
      <c r="AC33" s="106">
        <f t="shared" si="44"/>
        <v>0</v>
      </c>
      <c r="AD33" s="106">
        <f t="shared" si="44"/>
        <v>2569</v>
      </c>
      <c r="AE33" s="106">
        <f t="shared" si="44"/>
        <v>0</v>
      </c>
      <c r="AF33" s="106">
        <f t="shared" ref="AF33:AF35" si="45">AE33/AD33*100</f>
        <v>0</v>
      </c>
      <c r="AG33" s="106">
        <f t="shared" si="44"/>
        <v>2544</v>
      </c>
      <c r="AH33" s="106">
        <f t="shared" si="44"/>
        <v>0</v>
      </c>
      <c r="AI33" s="106">
        <f t="shared" si="44"/>
        <v>0</v>
      </c>
      <c r="AJ33" s="106">
        <f t="shared" si="44"/>
        <v>2984</v>
      </c>
      <c r="AK33" s="106">
        <f t="shared" si="44"/>
        <v>0</v>
      </c>
      <c r="AL33" s="106">
        <f t="shared" si="44"/>
        <v>0</v>
      </c>
      <c r="AM33" s="106">
        <f t="shared" si="44"/>
        <v>2265.6</v>
      </c>
      <c r="AN33" s="106">
        <f t="shared" si="44"/>
        <v>0</v>
      </c>
      <c r="AO33" s="106">
        <f t="shared" si="44"/>
        <v>0</v>
      </c>
      <c r="AP33" s="106">
        <f t="shared" si="44"/>
        <v>6599.2</v>
      </c>
      <c r="AQ33" s="106">
        <f t="shared" si="44"/>
        <v>0</v>
      </c>
      <c r="AR33" s="106">
        <f t="shared" si="44"/>
        <v>0</v>
      </c>
      <c r="AS33" s="367"/>
      <c r="AT33" s="361"/>
      <c r="AU33" s="121">
        <f t="shared" ref="AU33:AU79" si="46">I33+L33+O33+R33+U33+X33+AA33+AD33+AG33</f>
        <v>22092</v>
      </c>
      <c r="AV33" s="121">
        <f t="shared" ref="AV33:AV79" si="47">J33+M33+P33+S33+V33+Y33+AB33+AE33+AH33</f>
        <v>0</v>
      </c>
      <c r="AW33" s="155">
        <f t="shared" ref="AW33:AW79" si="48">AV33/AU33*100</f>
        <v>0</v>
      </c>
    </row>
    <row r="34" spans="1:49" s="100" customFormat="1" ht="36">
      <c r="A34" s="355"/>
      <c r="B34" s="356"/>
      <c r="C34" s="356"/>
      <c r="D34" s="357"/>
      <c r="E34" s="111" t="s">
        <v>3</v>
      </c>
      <c r="F34" s="106">
        <f>F43</f>
        <v>30600.9</v>
      </c>
      <c r="G34" s="106">
        <f t="shared" ref="G34:AR36" si="49">G43</f>
        <v>0</v>
      </c>
      <c r="H34" s="106">
        <f>G34/F34*100</f>
        <v>0</v>
      </c>
      <c r="I34" s="106">
        <f t="shared" si="49"/>
        <v>0</v>
      </c>
      <c r="J34" s="106">
        <f t="shared" si="49"/>
        <v>0</v>
      </c>
      <c r="K34" s="106" t="e">
        <f t="shared" ref="K34:K35" si="50">J34/I34*100</f>
        <v>#DIV/0!</v>
      </c>
      <c r="L34" s="106">
        <f t="shared" si="49"/>
        <v>2178</v>
      </c>
      <c r="M34" s="106">
        <f t="shared" si="49"/>
        <v>0</v>
      </c>
      <c r="N34" s="106">
        <f t="shared" ref="N34:N35" si="51">M34/L34*100</f>
        <v>0</v>
      </c>
      <c r="O34" s="106">
        <f t="shared" si="49"/>
        <v>1989</v>
      </c>
      <c r="P34" s="106">
        <f t="shared" si="49"/>
        <v>0</v>
      </c>
      <c r="Q34" s="106">
        <f t="shared" ref="Q34:Q35" si="52">P34/O34*100</f>
        <v>0</v>
      </c>
      <c r="R34" s="106">
        <f t="shared" si="49"/>
        <v>3010</v>
      </c>
      <c r="S34" s="106">
        <f t="shared" si="49"/>
        <v>0</v>
      </c>
      <c r="T34" s="106">
        <f t="shared" ref="T34:T35" si="53">S34/R34*100</f>
        <v>0</v>
      </c>
      <c r="U34" s="106">
        <f t="shared" si="49"/>
        <v>2037</v>
      </c>
      <c r="V34" s="106">
        <f t="shared" si="49"/>
        <v>0</v>
      </c>
      <c r="W34" s="106">
        <f t="shared" si="49"/>
        <v>0</v>
      </c>
      <c r="X34" s="106">
        <f t="shared" si="49"/>
        <v>2578</v>
      </c>
      <c r="Y34" s="106">
        <f t="shared" si="49"/>
        <v>0</v>
      </c>
      <c r="Z34" s="106">
        <f t="shared" si="49"/>
        <v>0</v>
      </c>
      <c r="AA34" s="106">
        <f t="shared" si="49"/>
        <v>3526</v>
      </c>
      <c r="AB34" s="106">
        <f t="shared" si="49"/>
        <v>0</v>
      </c>
      <c r="AC34" s="106">
        <f t="shared" si="49"/>
        <v>0</v>
      </c>
      <c r="AD34" s="106">
        <f t="shared" si="49"/>
        <v>2117</v>
      </c>
      <c r="AE34" s="106">
        <f t="shared" si="49"/>
        <v>0</v>
      </c>
      <c r="AF34" s="106">
        <f t="shared" si="45"/>
        <v>0</v>
      </c>
      <c r="AG34" s="106">
        <f t="shared" si="49"/>
        <v>2494</v>
      </c>
      <c r="AH34" s="106">
        <f t="shared" si="49"/>
        <v>0</v>
      </c>
      <c r="AI34" s="106">
        <f t="shared" si="49"/>
        <v>0</v>
      </c>
      <c r="AJ34" s="106">
        <f t="shared" si="49"/>
        <v>2934</v>
      </c>
      <c r="AK34" s="106">
        <f t="shared" si="49"/>
        <v>0</v>
      </c>
      <c r="AL34" s="106">
        <f t="shared" si="49"/>
        <v>0</v>
      </c>
      <c r="AM34" s="106">
        <f t="shared" si="49"/>
        <v>1812</v>
      </c>
      <c r="AN34" s="106">
        <f t="shared" si="49"/>
        <v>0</v>
      </c>
      <c r="AO34" s="106">
        <f t="shared" si="49"/>
        <v>0</v>
      </c>
      <c r="AP34" s="106">
        <f t="shared" si="49"/>
        <v>5925.9</v>
      </c>
      <c r="AQ34" s="106">
        <f t="shared" si="49"/>
        <v>0</v>
      </c>
      <c r="AR34" s="106">
        <f t="shared" si="49"/>
        <v>0</v>
      </c>
      <c r="AS34" s="368"/>
      <c r="AT34" s="362"/>
      <c r="AU34" s="121">
        <f t="shared" si="46"/>
        <v>19929</v>
      </c>
      <c r="AV34" s="121">
        <f t="shared" si="47"/>
        <v>0</v>
      </c>
      <c r="AW34" s="155">
        <f t="shared" si="48"/>
        <v>0</v>
      </c>
    </row>
    <row r="35" spans="1:49" s="100" customFormat="1" ht="24">
      <c r="A35" s="355"/>
      <c r="B35" s="356"/>
      <c r="C35" s="356"/>
      <c r="D35" s="357"/>
      <c r="E35" s="111" t="s">
        <v>44</v>
      </c>
      <c r="F35" s="106">
        <f>F44</f>
        <v>3339.8999999999996</v>
      </c>
      <c r="G35" s="106">
        <f t="shared" si="49"/>
        <v>0</v>
      </c>
      <c r="H35" s="106">
        <f>G35/F35*100</f>
        <v>0</v>
      </c>
      <c r="I35" s="106">
        <f t="shared" si="49"/>
        <v>556</v>
      </c>
      <c r="J35" s="106">
        <f t="shared" si="49"/>
        <v>0</v>
      </c>
      <c r="K35" s="106">
        <f t="shared" si="50"/>
        <v>0</v>
      </c>
      <c r="L35" s="106">
        <f t="shared" si="49"/>
        <v>250</v>
      </c>
      <c r="M35" s="106">
        <f t="shared" si="49"/>
        <v>0</v>
      </c>
      <c r="N35" s="106">
        <f t="shared" si="51"/>
        <v>0</v>
      </c>
      <c r="O35" s="106">
        <f t="shared" si="49"/>
        <v>253</v>
      </c>
      <c r="P35" s="106">
        <f t="shared" si="49"/>
        <v>0</v>
      </c>
      <c r="Q35" s="106">
        <f t="shared" si="52"/>
        <v>0</v>
      </c>
      <c r="R35" s="106">
        <f t="shared" si="49"/>
        <v>50</v>
      </c>
      <c r="S35" s="106">
        <f t="shared" si="49"/>
        <v>0</v>
      </c>
      <c r="T35" s="106">
        <f t="shared" si="53"/>
        <v>0</v>
      </c>
      <c r="U35" s="106">
        <f t="shared" si="49"/>
        <v>452</v>
      </c>
      <c r="V35" s="106">
        <f t="shared" si="49"/>
        <v>0</v>
      </c>
      <c r="W35" s="106">
        <f t="shared" si="49"/>
        <v>0</v>
      </c>
      <c r="X35" s="106">
        <f t="shared" si="49"/>
        <v>50</v>
      </c>
      <c r="Y35" s="106">
        <f t="shared" si="49"/>
        <v>0</v>
      </c>
      <c r="Z35" s="106">
        <f t="shared" si="49"/>
        <v>0</v>
      </c>
      <c r="AA35" s="106">
        <f t="shared" si="49"/>
        <v>50</v>
      </c>
      <c r="AB35" s="106">
        <f t="shared" si="49"/>
        <v>0</v>
      </c>
      <c r="AC35" s="106">
        <f t="shared" si="49"/>
        <v>0</v>
      </c>
      <c r="AD35" s="106">
        <f t="shared" si="49"/>
        <v>452</v>
      </c>
      <c r="AE35" s="106">
        <f t="shared" si="49"/>
        <v>0</v>
      </c>
      <c r="AF35" s="106">
        <f t="shared" si="45"/>
        <v>0</v>
      </c>
      <c r="AG35" s="106">
        <f t="shared" si="49"/>
        <v>50</v>
      </c>
      <c r="AH35" s="106">
        <f t="shared" si="49"/>
        <v>0</v>
      </c>
      <c r="AI35" s="106">
        <f t="shared" si="49"/>
        <v>0</v>
      </c>
      <c r="AJ35" s="106">
        <f t="shared" si="49"/>
        <v>50</v>
      </c>
      <c r="AK35" s="106">
        <f t="shared" si="49"/>
        <v>0</v>
      </c>
      <c r="AL35" s="106">
        <f t="shared" si="49"/>
        <v>0</v>
      </c>
      <c r="AM35" s="106">
        <f t="shared" si="49"/>
        <v>453.6</v>
      </c>
      <c r="AN35" s="106">
        <f t="shared" si="49"/>
        <v>0</v>
      </c>
      <c r="AO35" s="106">
        <f t="shared" si="49"/>
        <v>0</v>
      </c>
      <c r="AP35" s="106">
        <f t="shared" si="49"/>
        <v>673.3</v>
      </c>
      <c r="AQ35" s="106">
        <f t="shared" si="49"/>
        <v>0</v>
      </c>
      <c r="AR35" s="106">
        <f t="shared" si="49"/>
        <v>0</v>
      </c>
      <c r="AS35" s="368"/>
      <c r="AT35" s="362"/>
      <c r="AU35" s="121">
        <f t="shared" si="46"/>
        <v>2163</v>
      </c>
      <c r="AV35" s="121">
        <f t="shared" si="47"/>
        <v>0</v>
      </c>
      <c r="AW35" s="155">
        <f t="shared" si="48"/>
        <v>0</v>
      </c>
    </row>
    <row r="36" spans="1:49" s="100" customFormat="1" ht="24">
      <c r="A36" s="358"/>
      <c r="B36" s="359"/>
      <c r="C36" s="359"/>
      <c r="D36" s="360"/>
      <c r="E36" s="110" t="s">
        <v>257</v>
      </c>
      <c r="F36" s="106">
        <f>F45</f>
        <v>0</v>
      </c>
      <c r="G36" s="106">
        <f t="shared" si="49"/>
        <v>0</v>
      </c>
      <c r="H36" s="106">
        <v>0</v>
      </c>
      <c r="I36" s="106">
        <f t="shared" si="49"/>
        <v>0</v>
      </c>
      <c r="J36" s="106">
        <f t="shared" si="49"/>
        <v>0</v>
      </c>
      <c r="K36" s="106">
        <v>0</v>
      </c>
      <c r="L36" s="106">
        <f t="shared" si="49"/>
        <v>0</v>
      </c>
      <c r="M36" s="106">
        <f t="shared" si="49"/>
        <v>0</v>
      </c>
      <c r="N36" s="106">
        <v>0</v>
      </c>
      <c r="O36" s="106">
        <f t="shared" si="49"/>
        <v>0</v>
      </c>
      <c r="P36" s="106">
        <f t="shared" si="49"/>
        <v>0</v>
      </c>
      <c r="Q36" s="106">
        <f t="shared" si="49"/>
        <v>0</v>
      </c>
      <c r="R36" s="106">
        <f t="shared" si="49"/>
        <v>0</v>
      </c>
      <c r="S36" s="106">
        <f t="shared" si="49"/>
        <v>0</v>
      </c>
      <c r="T36" s="106">
        <v>0</v>
      </c>
      <c r="U36" s="106">
        <f t="shared" si="49"/>
        <v>0</v>
      </c>
      <c r="V36" s="106">
        <f t="shared" si="49"/>
        <v>0</v>
      </c>
      <c r="W36" s="106">
        <f t="shared" si="49"/>
        <v>0</v>
      </c>
      <c r="X36" s="106">
        <f t="shared" si="49"/>
        <v>0</v>
      </c>
      <c r="Y36" s="106">
        <f t="shared" si="49"/>
        <v>0</v>
      </c>
      <c r="Z36" s="106">
        <f t="shared" si="49"/>
        <v>0</v>
      </c>
      <c r="AA36" s="106">
        <f t="shared" si="49"/>
        <v>0</v>
      </c>
      <c r="AB36" s="106">
        <f t="shared" si="49"/>
        <v>0</v>
      </c>
      <c r="AC36" s="106">
        <f t="shared" si="49"/>
        <v>0</v>
      </c>
      <c r="AD36" s="106">
        <f t="shared" si="49"/>
        <v>0</v>
      </c>
      <c r="AE36" s="106">
        <f t="shared" si="49"/>
        <v>0</v>
      </c>
      <c r="AF36" s="106">
        <f t="shared" si="49"/>
        <v>0</v>
      </c>
      <c r="AG36" s="106">
        <f t="shared" si="49"/>
        <v>0</v>
      </c>
      <c r="AH36" s="106">
        <f t="shared" si="49"/>
        <v>0</v>
      </c>
      <c r="AI36" s="106">
        <f t="shared" si="49"/>
        <v>0</v>
      </c>
      <c r="AJ36" s="106">
        <f t="shared" si="49"/>
        <v>0</v>
      </c>
      <c r="AK36" s="106">
        <f t="shared" si="49"/>
        <v>0</v>
      </c>
      <c r="AL36" s="106">
        <f t="shared" si="49"/>
        <v>0</v>
      </c>
      <c r="AM36" s="106">
        <f t="shared" si="49"/>
        <v>0</v>
      </c>
      <c r="AN36" s="106">
        <f t="shared" si="49"/>
        <v>0</v>
      </c>
      <c r="AO36" s="106">
        <f t="shared" si="49"/>
        <v>0</v>
      </c>
      <c r="AP36" s="106">
        <f t="shared" si="49"/>
        <v>0</v>
      </c>
      <c r="AQ36" s="106">
        <f t="shared" si="49"/>
        <v>0</v>
      </c>
      <c r="AR36" s="106">
        <f t="shared" si="49"/>
        <v>0</v>
      </c>
      <c r="AS36" s="369"/>
      <c r="AT36" s="363"/>
      <c r="AU36" s="121"/>
      <c r="AV36" s="121"/>
      <c r="AW36" s="155"/>
    </row>
    <row r="37" spans="1:49" s="100" customFormat="1" ht="112.5" customHeight="1">
      <c r="A37" s="159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68" t="s">
        <v>351</v>
      </c>
      <c r="B38" s="166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59" t="s">
        <v>355</v>
      </c>
      <c r="B39" s="166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59" t="s">
        <v>359</v>
      </c>
      <c r="B40" s="166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59" t="s">
        <v>361</v>
      </c>
      <c r="B41" s="166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70" t="s">
        <v>365</v>
      </c>
      <c r="B42" s="373" t="s">
        <v>366</v>
      </c>
      <c r="C42" s="376" t="s">
        <v>269</v>
      </c>
      <c r="D42" s="334" t="s">
        <v>367</v>
      </c>
      <c r="E42" s="107" t="s">
        <v>42</v>
      </c>
      <c r="F42" s="123">
        <f>SUM(F43:F45)</f>
        <v>33940.800000000003</v>
      </c>
      <c r="G42" s="123">
        <f t="shared" ref="G42" si="54">SUM(G43:G45)</f>
        <v>0</v>
      </c>
      <c r="H42" s="123">
        <f>G42/F42*100</f>
        <v>0</v>
      </c>
      <c r="I42" s="132">
        <f>I43+I44+I45</f>
        <v>556</v>
      </c>
      <c r="J42" s="132">
        <f>J43+J44+J45</f>
        <v>0</v>
      </c>
      <c r="K42" s="123">
        <f t="shared" ref="K42:K44" si="55">J42/I42*100</f>
        <v>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56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57">U43+U44+U45</f>
        <v>2489</v>
      </c>
      <c r="V42" s="132">
        <f t="shared" si="57"/>
        <v>0</v>
      </c>
      <c r="W42" s="132">
        <f>V42/U42*100</f>
        <v>0</v>
      </c>
      <c r="X42" s="132">
        <f t="shared" si="57"/>
        <v>2628</v>
      </c>
      <c r="Y42" s="132">
        <f t="shared" si="57"/>
        <v>0</v>
      </c>
      <c r="Z42" s="132">
        <f>Y42/X42*100</f>
        <v>0</v>
      </c>
      <c r="AA42" s="132">
        <f t="shared" si="57"/>
        <v>3576</v>
      </c>
      <c r="AB42" s="132">
        <f t="shared" si="57"/>
        <v>0</v>
      </c>
      <c r="AC42" s="132">
        <f>AB42/AA42*100</f>
        <v>0</v>
      </c>
      <c r="AD42" s="132">
        <f t="shared" si="57"/>
        <v>2569</v>
      </c>
      <c r="AE42" s="132">
        <f t="shared" si="57"/>
        <v>0</v>
      </c>
      <c r="AF42" s="132">
        <f>AE42/AD42*100</f>
        <v>0</v>
      </c>
      <c r="AG42" s="132">
        <f t="shared" si="57"/>
        <v>2544</v>
      </c>
      <c r="AH42" s="132">
        <f t="shared" si="57"/>
        <v>0</v>
      </c>
      <c r="AI42" s="117">
        <f>AH42/AG42*100</f>
        <v>0</v>
      </c>
      <c r="AJ42" s="132">
        <f t="shared" si="57"/>
        <v>2984</v>
      </c>
      <c r="AK42" s="132">
        <f t="shared" si="57"/>
        <v>0</v>
      </c>
      <c r="AL42" s="132">
        <f t="shared" si="57"/>
        <v>0</v>
      </c>
      <c r="AM42" s="132">
        <f t="shared" si="57"/>
        <v>2265.6</v>
      </c>
      <c r="AN42" s="132">
        <f t="shared" si="57"/>
        <v>0</v>
      </c>
      <c r="AO42" s="132">
        <f t="shared" si="57"/>
        <v>0</v>
      </c>
      <c r="AP42" s="132">
        <f t="shared" si="57"/>
        <v>6599.2</v>
      </c>
      <c r="AQ42" s="104"/>
      <c r="AR42" s="104"/>
      <c r="AS42" s="337" t="s">
        <v>310</v>
      </c>
      <c r="AT42" s="379"/>
      <c r="AU42" s="121">
        <f t="shared" si="46"/>
        <v>22092</v>
      </c>
      <c r="AV42" s="121">
        <f t="shared" si="47"/>
        <v>0</v>
      </c>
      <c r="AW42" s="155">
        <f t="shared" si="48"/>
        <v>0</v>
      </c>
    </row>
    <row r="43" spans="1:49" s="31" customFormat="1" ht="36">
      <c r="A43" s="371"/>
      <c r="B43" s="374"/>
      <c r="C43" s="377"/>
      <c r="D43" s="335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55"/>
        <v>#DIV/0!</v>
      </c>
      <c r="L43" s="150">
        <v>2178</v>
      </c>
      <c r="M43" s="123">
        <v>0</v>
      </c>
      <c r="N43" s="138">
        <f t="shared" ref="N43:N44" si="58">M43/L43*100</f>
        <v>0</v>
      </c>
      <c r="O43" s="123">
        <v>1989</v>
      </c>
      <c r="P43" s="123">
        <v>0</v>
      </c>
      <c r="Q43" s="123">
        <f t="shared" si="56"/>
        <v>0</v>
      </c>
      <c r="R43" s="123">
        <v>3010</v>
      </c>
      <c r="S43" s="123">
        <v>0</v>
      </c>
      <c r="T43" s="132">
        <f t="shared" ref="T43:T44" si="59">S43/R43*100</f>
        <v>0</v>
      </c>
      <c r="U43" s="117">
        <v>2037</v>
      </c>
      <c r="V43" s="117">
        <v>0</v>
      </c>
      <c r="W43" s="132">
        <f t="shared" ref="W43:W44" si="60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8"/>
      <c r="AT43" s="380"/>
      <c r="AU43" s="121">
        <f t="shared" si="46"/>
        <v>19929</v>
      </c>
      <c r="AV43" s="121">
        <f t="shared" si="47"/>
        <v>0</v>
      </c>
      <c r="AW43" s="155">
        <f t="shared" si="48"/>
        <v>0</v>
      </c>
    </row>
    <row r="44" spans="1:49" s="31" customFormat="1" ht="12.75">
      <c r="A44" s="371"/>
      <c r="B44" s="374"/>
      <c r="C44" s="377"/>
      <c r="D44" s="335"/>
      <c r="E44" s="108" t="s">
        <v>44</v>
      </c>
      <c r="F44" s="123">
        <f t="shared" ref="F44:F45" si="61">I44+L44+O44+R44+U44+X44+AA44+AD44+AG44+AJ44+AM44+AP44</f>
        <v>3339.8999999999996</v>
      </c>
      <c r="G44" s="123">
        <f t="shared" ref="G44:G45" si="62">J44+M44+P44+S44+V44+Y44+AB44+AE44+AH44+AK44+AN44+AQ44</f>
        <v>0</v>
      </c>
      <c r="H44" s="123">
        <f>G44/F44*100</f>
        <v>0</v>
      </c>
      <c r="I44" s="123">
        <v>556</v>
      </c>
      <c r="J44" s="123">
        <v>0</v>
      </c>
      <c r="K44" s="123">
        <f t="shared" si="55"/>
        <v>0</v>
      </c>
      <c r="L44" s="150">
        <v>250</v>
      </c>
      <c r="M44" s="123">
        <v>0</v>
      </c>
      <c r="N44" s="138">
        <f t="shared" si="58"/>
        <v>0</v>
      </c>
      <c r="O44" s="123">
        <v>253</v>
      </c>
      <c r="P44" s="123">
        <v>0</v>
      </c>
      <c r="Q44" s="123">
        <f t="shared" si="56"/>
        <v>0</v>
      </c>
      <c r="R44" s="123">
        <v>50</v>
      </c>
      <c r="S44" s="123">
        <v>0</v>
      </c>
      <c r="T44" s="132">
        <f t="shared" si="59"/>
        <v>0</v>
      </c>
      <c r="U44" s="117">
        <v>452</v>
      </c>
      <c r="V44" s="117">
        <v>0</v>
      </c>
      <c r="W44" s="132">
        <f t="shared" si="60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8"/>
      <c r="AT44" s="380"/>
      <c r="AU44" s="121">
        <f t="shared" si="46"/>
        <v>2163</v>
      </c>
      <c r="AV44" s="121">
        <f t="shared" si="47"/>
        <v>0</v>
      </c>
      <c r="AW44" s="155">
        <f t="shared" si="48"/>
        <v>0</v>
      </c>
    </row>
    <row r="45" spans="1:49" s="31" customFormat="1" ht="25.5" customHeight="1">
      <c r="A45" s="372"/>
      <c r="B45" s="375"/>
      <c r="C45" s="378"/>
      <c r="D45" s="336"/>
      <c r="E45" s="109" t="s">
        <v>257</v>
      </c>
      <c r="F45" s="123">
        <f t="shared" si="61"/>
        <v>0</v>
      </c>
      <c r="G45" s="123">
        <f t="shared" si="62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39"/>
      <c r="AT45" s="381"/>
      <c r="AU45" s="121"/>
      <c r="AV45" s="121"/>
      <c r="AW45" s="155"/>
    </row>
    <row r="46" spans="1:49" s="31" customFormat="1" ht="15.75">
      <c r="A46" s="349" t="s">
        <v>368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1"/>
      <c r="AU46" s="121"/>
      <c r="AV46" s="121"/>
      <c r="AW46" s="155"/>
    </row>
    <row r="47" spans="1:49" s="31" customFormat="1" ht="15.75">
      <c r="A47" s="349" t="s">
        <v>369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1"/>
      <c r="AU47" s="121"/>
      <c r="AV47" s="121"/>
      <c r="AW47" s="155"/>
    </row>
    <row r="48" spans="1:49" s="100" customFormat="1" ht="12.75">
      <c r="A48" s="352" t="s">
        <v>270</v>
      </c>
      <c r="B48" s="353"/>
      <c r="C48" s="353"/>
      <c r="D48" s="354"/>
      <c r="E48" s="129" t="s">
        <v>42</v>
      </c>
      <c r="F48" s="106">
        <f>F49+F50+F51</f>
        <v>599.4</v>
      </c>
      <c r="G48" s="106">
        <f t="shared" ref="G48:AR48" si="63">G49+G50+G51</f>
        <v>0</v>
      </c>
      <c r="H48" s="106">
        <f>G48/F48*100</f>
        <v>0</v>
      </c>
      <c r="I48" s="106">
        <f t="shared" si="63"/>
        <v>0</v>
      </c>
      <c r="J48" s="106">
        <f t="shared" si="63"/>
        <v>0</v>
      </c>
      <c r="K48" s="106">
        <v>0</v>
      </c>
      <c r="L48" s="106">
        <f t="shared" si="63"/>
        <v>0</v>
      </c>
      <c r="M48" s="106">
        <f t="shared" si="63"/>
        <v>0</v>
      </c>
      <c r="N48" s="106">
        <v>0</v>
      </c>
      <c r="O48" s="106">
        <f t="shared" si="63"/>
        <v>119.8</v>
      </c>
      <c r="P48" s="106">
        <f t="shared" si="63"/>
        <v>0</v>
      </c>
      <c r="Q48" s="106">
        <f>P48/O48*100</f>
        <v>0</v>
      </c>
      <c r="R48" s="106">
        <f t="shared" si="63"/>
        <v>0</v>
      </c>
      <c r="S48" s="106">
        <f t="shared" si="63"/>
        <v>0</v>
      </c>
      <c r="T48" s="106">
        <v>0</v>
      </c>
      <c r="U48" s="106">
        <f t="shared" si="63"/>
        <v>0</v>
      </c>
      <c r="V48" s="106">
        <f t="shared" si="63"/>
        <v>0</v>
      </c>
      <c r="W48" s="106">
        <f t="shared" si="63"/>
        <v>0</v>
      </c>
      <c r="X48" s="106">
        <f t="shared" si="63"/>
        <v>179.7</v>
      </c>
      <c r="Y48" s="106">
        <f t="shared" si="63"/>
        <v>0</v>
      </c>
      <c r="Z48" s="106">
        <f t="shared" si="63"/>
        <v>0</v>
      </c>
      <c r="AA48" s="106">
        <f t="shared" si="63"/>
        <v>0</v>
      </c>
      <c r="AB48" s="106">
        <f t="shared" si="63"/>
        <v>0</v>
      </c>
      <c r="AC48" s="106">
        <f t="shared" si="63"/>
        <v>0</v>
      </c>
      <c r="AD48" s="106">
        <f t="shared" si="63"/>
        <v>0</v>
      </c>
      <c r="AE48" s="106">
        <f t="shared" si="63"/>
        <v>0</v>
      </c>
      <c r="AF48" s="106">
        <f t="shared" si="63"/>
        <v>0</v>
      </c>
      <c r="AG48" s="106">
        <f t="shared" si="63"/>
        <v>179.7</v>
      </c>
      <c r="AH48" s="106">
        <f t="shared" si="63"/>
        <v>0</v>
      </c>
      <c r="AI48" s="106">
        <f t="shared" si="63"/>
        <v>0</v>
      </c>
      <c r="AJ48" s="106">
        <f t="shared" si="63"/>
        <v>0</v>
      </c>
      <c r="AK48" s="106">
        <f t="shared" si="63"/>
        <v>0</v>
      </c>
      <c r="AL48" s="106">
        <f t="shared" si="63"/>
        <v>0</v>
      </c>
      <c r="AM48" s="106">
        <f t="shared" si="63"/>
        <v>120.2</v>
      </c>
      <c r="AN48" s="106">
        <f t="shared" si="63"/>
        <v>0</v>
      </c>
      <c r="AO48" s="106">
        <f t="shared" si="63"/>
        <v>0</v>
      </c>
      <c r="AP48" s="106">
        <f t="shared" si="63"/>
        <v>0</v>
      </c>
      <c r="AQ48" s="106">
        <f t="shared" si="63"/>
        <v>0</v>
      </c>
      <c r="AR48" s="106">
        <f t="shared" si="63"/>
        <v>0</v>
      </c>
      <c r="AS48" s="316"/>
      <c r="AT48" s="361"/>
      <c r="AU48" s="121">
        <f t="shared" si="46"/>
        <v>479.2</v>
      </c>
      <c r="AV48" s="121">
        <f t="shared" si="47"/>
        <v>0</v>
      </c>
      <c r="AW48" s="155">
        <f t="shared" si="48"/>
        <v>0</v>
      </c>
    </row>
    <row r="49" spans="1:49" s="100" customFormat="1" ht="36">
      <c r="A49" s="355"/>
      <c r="B49" s="356"/>
      <c r="C49" s="356"/>
      <c r="D49" s="357"/>
      <c r="E49" s="111" t="s">
        <v>3</v>
      </c>
      <c r="F49" s="106">
        <f>F57</f>
        <v>0</v>
      </c>
      <c r="G49" s="106">
        <f t="shared" ref="G49:AR51" si="64">G57</f>
        <v>0</v>
      </c>
      <c r="H49" s="106">
        <v>0</v>
      </c>
      <c r="I49" s="106">
        <f t="shared" si="64"/>
        <v>0</v>
      </c>
      <c r="J49" s="106">
        <f t="shared" si="64"/>
        <v>0</v>
      </c>
      <c r="K49" s="106">
        <v>0</v>
      </c>
      <c r="L49" s="106">
        <f t="shared" si="64"/>
        <v>0</v>
      </c>
      <c r="M49" s="106">
        <f t="shared" si="64"/>
        <v>0</v>
      </c>
      <c r="N49" s="106">
        <v>0</v>
      </c>
      <c r="O49" s="106">
        <f t="shared" si="64"/>
        <v>0</v>
      </c>
      <c r="P49" s="106">
        <f t="shared" si="64"/>
        <v>0</v>
      </c>
      <c r="Q49" s="106">
        <v>0</v>
      </c>
      <c r="R49" s="106">
        <f t="shared" si="64"/>
        <v>0</v>
      </c>
      <c r="S49" s="106">
        <f t="shared" si="64"/>
        <v>0</v>
      </c>
      <c r="T49" s="106">
        <f t="shared" si="64"/>
        <v>0</v>
      </c>
      <c r="U49" s="106">
        <f t="shared" si="64"/>
        <v>0</v>
      </c>
      <c r="V49" s="106">
        <f t="shared" si="64"/>
        <v>0</v>
      </c>
      <c r="W49" s="106">
        <f t="shared" si="64"/>
        <v>0</v>
      </c>
      <c r="X49" s="106">
        <f t="shared" si="64"/>
        <v>0</v>
      </c>
      <c r="Y49" s="106">
        <f t="shared" si="64"/>
        <v>0</v>
      </c>
      <c r="Z49" s="106">
        <f t="shared" si="64"/>
        <v>0</v>
      </c>
      <c r="AA49" s="106">
        <f t="shared" si="64"/>
        <v>0</v>
      </c>
      <c r="AB49" s="106">
        <f t="shared" si="64"/>
        <v>0</v>
      </c>
      <c r="AC49" s="106">
        <f t="shared" si="64"/>
        <v>0</v>
      </c>
      <c r="AD49" s="106">
        <f t="shared" si="64"/>
        <v>0</v>
      </c>
      <c r="AE49" s="106">
        <f t="shared" si="64"/>
        <v>0</v>
      </c>
      <c r="AF49" s="106">
        <f t="shared" si="64"/>
        <v>0</v>
      </c>
      <c r="AG49" s="106">
        <f t="shared" si="64"/>
        <v>0</v>
      </c>
      <c r="AH49" s="106">
        <f t="shared" si="64"/>
        <v>0</v>
      </c>
      <c r="AI49" s="106">
        <f t="shared" si="64"/>
        <v>0</v>
      </c>
      <c r="AJ49" s="106">
        <f t="shared" si="64"/>
        <v>0</v>
      </c>
      <c r="AK49" s="106">
        <f t="shared" si="64"/>
        <v>0</v>
      </c>
      <c r="AL49" s="106">
        <f t="shared" si="64"/>
        <v>0</v>
      </c>
      <c r="AM49" s="106">
        <f t="shared" si="64"/>
        <v>0</v>
      </c>
      <c r="AN49" s="106">
        <f t="shared" si="64"/>
        <v>0</v>
      </c>
      <c r="AO49" s="106">
        <f t="shared" si="64"/>
        <v>0</v>
      </c>
      <c r="AP49" s="106">
        <f t="shared" si="64"/>
        <v>0</v>
      </c>
      <c r="AQ49" s="106">
        <f t="shared" si="64"/>
        <v>0</v>
      </c>
      <c r="AR49" s="106">
        <f t="shared" si="64"/>
        <v>0</v>
      </c>
      <c r="AS49" s="317"/>
      <c r="AT49" s="362"/>
      <c r="AU49" s="121"/>
      <c r="AV49" s="121"/>
      <c r="AW49" s="155"/>
    </row>
    <row r="50" spans="1:49" s="100" customFormat="1" ht="24">
      <c r="A50" s="355"/>
      <c r="B50" s="356"/>
      <c r="C50" s="356"/>
      <c r="D50" s="357"/>
      <c r="E50" s="111" t="s">
        <v>44</v>
      </c>
      <c r="F50" s="106">
        <f>F58</f>
        <v>599.4</v>
      </c>
      <c r="G50" s="106">
        <f t="shared" si="64"/>
        <v>0</v>
      </c>
      <c r="H50" s="106">
        <f>G50/F50*100</f>
        <v>0</v>
      </c>
      <c r="I50" s="106">
        <f t="shared" si="64"/>
        <v>0</v>
      </c>
      <c r="J50" s="106">
        <f t="shared" si="64"/>
        <v>0</v>
      </c>
      <c r="K50" s="106">
        <v>0</v>
      </c>
      <c r="L50" s="106">
        <f t="shared" si="64"/>
        <v>0</v>
      </c>
      <c r="M50" s="106">
        <f t="shared" si="64"/>
        <v>0</v>
      </c>
      <c r="N50" s="106">
        <v>0</v>
      </c>
      <c r="O50" s="106">
        <f t="shared" si="64"/>
        <v>119.8</v>
      </c>
      <c r="P50" s="106">
        <f t="shared" si="64"/>
        <v>0</v>
      </c>
      <c r="Q50" s="106">
        <f t="shared" ref="Q50" si="65">P50/O50*100</f>
        <v>0</v>
      </c>
      <c r="R50" s="106">
        <f t="shared" si="64"/>
        <v>0</v>
      </c>
      <c r="S50" s="106">
        <f t="shared" si="64"/>
        <v>0</v>
      </c>
      <c r="T50" s="106">
        <f t="shared" si="64"/>
        <v>0</v>
      </c>
      <c r="U50" s="106">
        <f t="shared" si="64"/>
        <v>0</v>
      </c>
      <c r="V50" s="106">
        <f t="shared" si="64"/>
        <v>0</v>
      </c>
      <c r="W50" s="106">
        <f t="shared" si="64"/>
        <v>0</v>
      </c>
      <c r="X50" s="106">
        <f t="shared" si="64"/>
        <v>179.7</v>
      </c>
      <c r="Y50" s="106">
        <f t="shared" si="64"/>
        <v>0</v>
      </c>
      <c r="Z50" s="106">
        <f t="shared" si="64"/>
        <v>0</v>
      </c>
      <c r="AA50" s="106">
        <f t="shared" si="64"/>
        <v>0</v>
      </c>
      <c r="AB50" s="106">
        <f t="shared" si="64"/>
        <v>0</v>
      </c>
      <c r="AC50" s="106">
        <f t="shared" si="64"/>
        <v>0</v>
      </c>
      <c r="AD50" s="106">
        <f t="shared" si="64"/>
        <v>0</v>
      </c>
      <c r="AE50" s="106">
        <f t="shared" si="64"/>
        <v>0</v>
      </c>
      <c r="AF50" s="106">
        <f t="shared" si="64"/>
        <v>0</v>
      </c>
      <c r="AG50" s="106">
        <f t="shared" si="64"/>
        <v>179.7</v>
      </c>
      <c r="AH50" s="106">
        <f t="shared" si="64"/>
        <v>0</v>
      </c>
      <c r="AI50" s="106">
        <f t="shared" si="64"/>
        <v>0</v>
      </c>
      <c r="AJ50" s="106">
        <f t="shared" si="64"/>
        <v>0</v>
      </c>
      <c r="AK50" s="106">
        <f t="shared" si="64"/>
        <v>0</v>
      </c>
      <c r="AL50" s="106">
        <f t="shared" si="64"/>
        <v>0</v>
      </c>
      <c r="AM50" s="106">
        <f t="shared" si="64"/>
        <v>120.2</v>
      </c>
      <c r="AN50" s="106">
        <f t="shared" si="64"/>
        <v>0</v>
      </c>
      <c r="AO50" s="106">
        <f t="shared" si="64"/>
        <v>0</v>
      </c>
      <c r="AP50" s="106">
        <f t="shared" si="64"/>
        <v>0</v>
      </c>
      <c r="AQ50" s="106">
        <f t="shared" si="64"/>
        <v>0</v>
      </c>
      <c r="AR50" s="106">
        <f t="shared" si="64"/>
        <v>0</v>
      </c>
      <c r="AS50" s="317"/>
      <c r="AT50" s="362"/>
      <c r="AU50" s="121">
        <f t="shared" si="46"/>
        <v>479.2</v>
      </c>
      <c r="AV50" s="121">
        <f t="shared" si="47"/>
        <v>0</v>
      </c>
      <c r="AW50" s="155">
        <f t="shared" si="48"/>
        <v>0</v>
      </c>
    </row>
    <row r="51" spans="1:49" s="100" customFormat="1" ht="24">
      <c r="A51" s="358"/>
      <c r="B51" s="359"/>
      <c r="C51" s="359"/>
      <c r="D51" s="360"/>
      <c r="E51" s="110" t="s">
        <v>257</v>
      </c>
      <c r="F51" s="106">
        <f>F59</f>
        <v>0</v>
      </c>
      <c r="G51" s="106">
        <f t="shared" si="64"/>
        <v>0</v>
      </c>
      <c r="H51" s="106">
        <v>0</v>
      </c>
      <c r="I51" s="106">
        <f t="shared" si="64"/>
        <v>0</v>
      </c>
      <c r="J51" s="106">
        <f t="shared" si="64"/>
        <v>0</v>
      </c>
      <c r="K51" s="106">
        <f t="shared" si="64"/>
        <v>0</v>
      </c>
      <c r="L51" s="106">
        <f t="shared" si="64"/>
        <v>0</v>
      </c>
      <c r="M51" s="106">
        <f t="shared" si="64"/>
        <v>0</v>
      </c>
      <c r="N51" s="106">
        <v>0</v>
      </c>
      <c r="O51" s="106">
        <f t="shared" si="64"/>
        <v>0</v>
      </c>
      <c r="P51" s="106">
        <f t="shared" si="64"/>
        <v>0</v>
      </c>
      <c r="Q51" s="106">
        <f t="shared" si="64"/>
        <v>0</v>
      </c>
      <c r="R51" s="106">
        <f t="shared" si="64"/>
        <v>0</v>
      </c>
      <c r="S51" s="106">
        <f t="shared" si="64"/>
        <v>0</v>
      </c>
      <c r="T51" s="106">
        <f t="shared" si="64"/>
        <v>0</v>
      </c>
      <c r="U51" s="106">
        <f t="shared" si="64"/>
        <v>0</v>
      </c>
      <c r="V51" s="106">
        <f t="shared" si="64"/>
        <v>0</v>
      </c>
      <c r="W51" s="106">
        <f t="shared" si="64"/>
        <v>0</v>
      </c>
      <c r="X51" s="106">
        <f t="shared" si="64"/>
        <v>0</v>
      </c>
      <c r="Y51" s="106">
        <f t="shared" si="64"/>
        <v>0</v>
      </c>
      <c r="Z51" s="106">
        <f t="shared" si="64"/>
        <v>0</v>
      </c>
      <c r="AA51" s="106">
        <f t="shared" si="64"/>
        <v>0</v>
      </c>
      <c r="AB51" s="106">
        <f t="shared" si="64"/>
        <v>0</v>
      </c>
      <c r="AC51" s="106">
        <f t="shared" si="64"/>
        <v>0</v>
      </c>
      <c r="AD51" s="106">
        <f t="shared" si="64"/>
        <v>0</v>
      </c>
      <c r="AE51" s="106">
        <f t="shared" si="64"/>
        <v>0</v>
      </c>
      <c r="AF51" s="106">
        <f t="shared" si="64"/>
        <v>0</v>
      </c>
      <c r="AG51" s="106">
        <f t="shared" si="64"/>
        <v>0</v>
      </c>
      <c r="AH51" s="106">
        <f t="shared" si="64"/>
        <v>0</v>
      </c>
      <c r="AI51" s="106">
        <f t="shared" si="64"/>
        <v>0</v>
      </c>
      <c r="AJ51" s="106">
        <f t="shared" si="64"/>
        <v>0</v>
      </c>
      <c r="AK51" s="106">
        <f t="shared" si="64"/>
        <v>0</v>
      </c>
      <c r="AL51" s="106">
        <f t="shared" si="64"/>
        <v>0</v>
      </c>
      <c r="AM51" s="106">
        <f t="shared" si="64"/>
        <v>0</v>
      </c>
      <c r="AN51" s="106">
        <f t="shared" si="64"/>
        <v>0</v>
      </c>
      <c r="AO51" s="106">
        <f t="shared" si="64"/>
        <v>0</v>
      </c>
      <c r="AP51" s="106">
        <f t="shared" si="64"/>
        <v>0</v>
      </c>
      <c r="AQ51" s="106">
        <f t="shared" si="64"/>
        <v>0</v>
      </c>
      <c r="AR51" s="106">
        <f t="shared" si="64"/>
        <v>0</v>
      </c>
      <c r="AS51" s="318"/>
      <c r="AT51" s="363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1" t="s">
        <v>372</v>
      </c>
      <c r="E52" s="143" t="s">
        <v>275</v>
      </c>
      <c r="F52" s="149" t="s">
        <v>279</v>
      </c>
      <c r="G52" s="149" t="s">
        <v>279</v>
      </c>
      <c r="H52" s="149" t="s">
        <v>279</v>
      </c>
      <c r="I52" s="149" t="s">
        <v>279</v>
      </c>
      <c r="J52" s="149" t="s">
        <v>279</v>
      </c>
      <c r="K52" s="149" t="s">
        <v>279</v>
      </c>
      <c r="L52" s="149" t="s">
        <v>279</v>
      </c>
      <c r="M52" s="149" t="s">
        <v>279</v>
      </c>
      <c r="N52" s="149" t="s">
        <v>279</v>
      </c>
      <c r="O52" s="149" t="s">
        <v>279</v>
      </c>
      <c r="P52" s="149" t="s">
        <v>279</v>
      </c>
      <c r="Q52" s="149" t="s">
        <v>279</v>
      </c>
      <c r="R52" s="149" t="s">
        <v>279</v>
      </c>
      <c r="S52" s="149" t="s">
        <v>279</v>
      </c>
      <c r="T52" s="149" t="s">
        <v>279</v>
      </c>
      <c r="U52" s="149" t="s">
        <v>279</v>
      </c>
      <c r="V52" s="149" t="s">
        <v>279</v>
      </c>
      <c r="W52" s="149" t="s">
        <v>279</v>
      </c>
      <c r="X52" s="149" t="s">
        <v>279</v>
      </c>
      <c r="Y52" s="149" t="s">
        <v>279</v>
      </c>
      <c r="Z52" s="149" t="s">
        <v>279</v>
      </c>
      <c r="AA52" s="149" t="s">
        <v>279</v>
      </c>
      <c r="AB52" s="149" t="s">
        <v>279</v>
      </c>
      <c r="AC52" s="149" t="s">
        <v>279</v>
      </c>
      <c r="AD52" s="149" t="s">
        <v>279</v>
      </c>
      <c r="AE52" s="149" t="s">
        <v>279</v>
      </c>
      <c r="AF52" s="149" t="s">
        <v>279</v>
      </c>
      <c r="AG52" s="149" t="s">
        <v>279</v>
      </c>
      <c r="AH52" s="149" t="s">
        <v>279</v>
      </c>
      <c r="AI52" s="149" t="s">
        <v>279</v>
      </c>
      <c r="AJ52" s="149" t="s">
        <v>279</v>
      </c>
      <c r="AK52" s="149" t="s">
        <v>279</v>
      </c>
      <c r="AL52" s="149" t="s">
        <v>279</v>
      </c>
      <c r="AM52" s="149" t="s">
        <v>279</v>
      </c>
      <c r="AN52" s="149" t="s">
        <v>279</v>
      </c>
      <c r="AO52" s="149" t="s">
        <v>279</v>
      </c>
      <c r="AP52" s="149" t="s">
        <v>279</v>
      </c>
      <c r="AQ52" s="149" t="s">
        <v>279</v>
      </c>
      <c r="AR52" s="149" t="s">
        <v>279</v>
      </c>
      <c r="AS52" s="144" t="s">
        <v>311</v>
      </c>
      <c r="AT52" s="139"/>
      <c r="AU52" s="121"/>
      <c r="AV52" s="121"/>
      <c r="AW52" s="155"/>
    </row>
    <row r="53" spans="1:49" s="100" customFormat="1" ht="264">
      <c r="A53" s="159" t="s">
        <v>373</v>
      </c>
      <c r="B53" s="161" t="s">
        <v>374</v>
      </c>
      <c r="C53" s="162" t="s">
        <v>375</v>
      </c>
      <c r="D53" s="171" t="s">
        <v>376</v>
      </c>
      <c r="E53" s="143" t="s">
        <v>275</v>
      </c>
      <c r="F53" s="149" t="s">
        <v>279</v>
      </c>
      <c r="G53" s="149" t="s">
        <v>279</v>
      </c>
      <c r="H53" s="149" t="s">
        <v>279</v>
      </c>
      <c r="I53" s="149" t="s">
        <v>279</v>
      </c>
      <c r="J53" s="149" t="s">
        <v>279</v>
      </c>
      <c r="K53" s="149" t="s">
        <v>279</v>
      </c>
      <c r="L53" s="149" t="s">
        <v>279</v>
      </c>
      <c r="M53" s="149" t="s">
        <v>279</v>
      </c>
      <c r="N53" s="149" t="s">
        <v>279</v>
      </c>
      <c r="O53" s="149" t="s">
        <v>279</v>
      </c>
      <c r="P53" s="149" t="s">
        <v>279</v>
      </c>
      <c r="Q53" s="149" t="s">
        <v>279</v>
      </c>
      <c r="R53" s="149" t="s">
        <v>279</v>
      </c>
      <c r="S53" s="149" t="s">
        <v>279</v>
      </c>
      <c r="T53" s="149" t="s">
        <v>279</v>
      </c>
      <c r="U53" s="149" t="s">
        <v>279</v>
      </c>
      <c r="V53" s="149" t="s">
        <v>279</v>
      </c>
      <c r="W53" s="149" t="s">
        <v>279</v>
      </c>
      <c r="X53" s="149" t="s">
        <v>279</v>
      </c>
      <c r="Y53" s="149" t="s">
        <v>279</v>
      </c>
      <c r="Z53" s="149" t="s">
        <v>279</v>
      </c>
      <c r="AA53" s="149" t="s">
        <v>279</v>
      </c>
      <c r="AB53" s="149" t="s">
        <v>279</v>
      </c>
      <c r="AC53" s="149" t="s">
        <v>279</v>
      </c>
      <c r="AD53" s="149" t="s">
        <v>279</v>
      </c>
      <c r="AE53" s="149" t="s">
        <v>279</v>
      </c>
      <c r="AF53" s="149" t="s">
        <v>279</v>
      </c>
      <c r="AG53" s="149" t="s">
        <v>279</v>
      </c>
      <c r="AH53" s="149" t="s">
        <v>279</v>
      </c>
      <c r="AI53" s="149" t="s">
        <v>279</v>
      </c>
      <c r="AJ53" s="149" t="s">
        <v>279</v>
      </c>
      <c r="AK53" s="149" t="s">
        <v>279</v>
      </c>
      <c r="AL53" s="149" t="s">
        <v>279</v>
      </c>
      <c r="AM53" s="149" t="s">
        <v>279</v>
      </c>
      <c r="AN53" s="149" t="s">
        <v>279</v>
      </c>
      <c r="AO53" s="149" t="s">
        <v>279</v>
      </c>
      <c r="AP53" s="149" t="s">
        <v>279</v>
      </c>
      <c r="AQ53" s="149" t="s">
        <v>279</v>
      </c>
      <c r="AR53" s="149" t="s">
        <v>279</v>
      </c>
      <c r="AS53" s="156" t="s">
        <v>306</v>
      </c>
      <c r="AT53" s="140"/>
      <c r="AU53" s="121"/>
      <c r="AV53" s="121"/>
      <c r="AW53" s="155"/>
    </row>
    <row r="54" spans="1:49" s="100" customFormat="1" ht="72">
      <c r="A54" s="133" t="s">
        <v>377</v>
      </c>
      <c r="B54" s="165" t="s">
        <v>378</v>
      </c>
      <c r="C54" s="162" t="s">
        <v>276</v>
      </c>
      <c r="D54" s="171" t="s">
        <v>379</v>
      </c>
      <c r="E54" s="143" t="s">
        <v>275</v>
      </c>
      <c r="F54" s="149" t="s">
        <v>279</v>
      </c>
      <c r="G54" s="149" t="s">
        <v>279</v>
      </c>
      <c r="H54" s="149" t="s">
        <v>279</v>
      </c>
      <c r="I54" s="149" t="s">
        <v>279</v>
      </c>
      <c r="J54" s="149" t="s">
        <v>279</v>
      </c>
      <c r="K54" s="149" t="s">
        <v>279</v>
      </c>
      <c r="L54" s="149" t="s">
        <v>279</v>
      </c>
      <c r="M54" s="149" t="s">
        <v>279</v>
      </c>
      <c r="N54" s="149" t="s">
        <v>279</v>
      </c>
      <c r="O54" s="149" t="s">
        <v>279</v>
      </c>
      <c r="P54" s="149" t="s">
        <v>279</v>
      </c>
      <c r="Q54" s="149" t="s">
        <v>279</v>
      </c>
      <c r="R54" s="149" t="s">
        <v>279</v>
      </c>
      <c r="S54" s="149" t="s">
        <v>279</v>
      </c>
      <c r="T54" s="149" t="s">
        <v>279</v>
      </c>
      <c r="U54" s="149" t="s">
        <v>279</v>
      </c>
      <c r="V54" s="149" t="s">
        <v>279</v>
      </c>
      <c r="W54" s="149" t="s">
        <v>279</v>
      </c>
      <c r="X54" s="149" t="s">
        <v>279</v>
      </c>
      <c r="Y54" s="149" t="s">
        <v>279</v>
      </c>
      <c r="Z54" s="149" t="s">
        <v>279</v>
      </c>
      <c r="AA54" s="149" t="s">
        <v>279</v>
      </c>
      <c r="AB54" s="149" t="s">
        <v>279</v>
      </c>
      <c r="AC54" s="149" t="s">
        <v>279</v>
      </c>
      <c r="AD54" s="149" t="s">
        <v>279</v>
      </c>
      <c r="AE54" s="149" t="s">
        <v>279</v>
      </c>
      <c r="AF54" s="149" t="s">
        <v>279</v>
      </c>
      <c r="AG54" s="149" t="s">
        <v>279</v>
      </c>
      <c r="AH54" s="149" t="s">
        <v>279</v>
      </c>
      <c r="AI54" s="149" t="s">
        <v>279</v>
      </c>
      <c r="AJ54" s="149" t="s">
        <v>279</v>
      </c>
      <c r="AK54" s="149" t="s">
        <v>279</v>
      </c>
      <c r="AL54" s="149" t="s">
        <v>279</v>
      </c>
      <c r="AM54" s="149" t="s">
        <v>279</v>
      </c>
      <c r="AN54" s="149" t="s">
        <v>279</v>
      </c>
      <c r="AO54" s="149" t="s">
        <v>279</v>
      </c>
      <c r="AP54" s="149" t="s">
        <v>279</v>
      </c>
      <c r="AQ54" s="149"/>
      <c r="AR54" s="149"/>
      <c r="AS54" s="144" t="s">
        <v>312</v>
      </c>
      <c r="AT54" s="140"/>
      <c r="AU54" s="121"/>
      <c r="AV54" s="121"/>
      <c r="AW54" s="155"/>
    </row>
    <row r="55" spans="1:49" s="100" customFormat="1" ht="84">
      <c r="A55" s="136" t="s">
        <v>380</v>
      </c>
      <c r="B55" s="137" t="s">
        <v>278</v>
      </c>
      <c r="C55" s="135" t="s">
        <v>276</v>
      </c>
      <c r="D55" s="171" t="s">
        <v>381</v>
      </c>
      <c r="E55" s="143" t="s">
        <v>275</v>
      </c>
      <c r="F55" s="149" t="s">
        <v>279</v>
      </c>
      <c r="G55" s="149" t="s">
        <v>279</v>
      </c>
      <c r="H55" s="149" t="s">
        <v>279</v>
      </c>
      <c r="I55" s="149" t="s">
        <v>279</v>
      </c>
      <c r="J55" s="149" t="s">
        <v>279</v>
      </c>
      <c r="K55" s="149" t="s">
        <v>279</v>
      </c>
      <c r="L55" s="149" t="s">
        <v>279</v>
      </c>
      <c r="M55" s="149" t="s">
        <v>279</v>
      </c>
      <c r="N55" s="149" t="s">
        <v>279</v>
      </c>
      <c r="O55" s="149" t="s">
        <v>279</v>
      </c>
      <c r="P55" s="149" t="s">
        <v>279</v>
      </c>
      <c r="Q55" s="149" t="s">
        <v>279</v>
      </c>
      <c r="R55" s="149" t="s">
        <v>279</v>
      </c>
      <c r="S55" s="149" t="s">
        <v>279</v>
      </c>
      <c r="T55" s="149" t="s">
        <v>279</v>
      </c>
      <c r="U55" s="149" t="s">
        <v>279</v>
      </c>
      <c r="V55" s="149" t="s">
        <v>279</v>
      </c>
      <c r="W55" s="149" t="s">
        <v>279</v>
      </c>
      <c r="X55" s="149" t="s">
        <v>279</v>
      </c>
      <c r="Y55" s="149" t="s">
        <v>279</v>
      </c>
      <c r="Z55" s="149" t="s">
        <v>279</v>
      </c>
      <c r="AA55" s="149" t="s">
        <v>279</v>
      </c>
      <c r="AB55" s="149" t="s">
        <v>279</v>
      </c>
      <c r="AC55" s="149" t="s">
        <v>279</v>
      </c>
      <c r="AD55" s="149" t="s">
        <v>279</v>
      </c>
      <c r="AE55" s="149" t="s">
        <v>279</v>
      </c>
      <c r="AF55" s="149" t="s">
        <v>279</v>
      </c>
      <c r="AG55" s="149" t="s">
        <v>279</v>
      </c>
      <c r="AH55" s="149" t="s">
        <v>279</v>
      </c>
      <c r="AI55" s="149" t="s">
        <v>279</v>
      </c>
      <c r="AJ55" s="149" t="s">
        <v>279</v>
      </c>
      <c r="AK55" s="149" t="s">
        <v>279</v>
      </c>
      <c r="AL55" s="149" t="s">
        <v>279</v>
      </c>
      <c r="AM55" s="149" t="s">
        <v>279</v>
      </c>
      <c r="AN55" s="149" t="s">
        <v>279</v>
      </c>
      <c r="AO55" s="149" t="s">
        <v>279</v>
      </c>
      <c r="AP55" s="149" t="s">
        <v>279</v>
      </c>
      <c r="AQ55" s="149"/>
      <c r="AR55" s="149"/>
      <c r="AS55" s="144" t="s">
        <v>313</v>
      </c>
      <c r="AT55" s="140"/>
      <c r="AU55" s="121"/>
      <c r="AV55" s="121"/>
      <c r="AW55" s="155"/>
    </row>
    <row r="56" spans="1:49" s="31" customFormat="1" ht="12.75">
      <c r="A56" s="364" t="s">
        <v>382</v>
      </c>
      <c r="B56" s="328" t="s">
        <v>259</v>
      </c>
      <c r="C56" s="331" t="s">
        <v>271</v>
      </c>
      <c r="D56" s="334" t="s">
        <v>383</v>
      </c>
      <c r="E56" s="107" t="s">
        <v>42</v>
      </c>
      <c r="F56" s="123">
        <f>SUM(F57:F59)</f>
        <v>599.4</v>
      </c>
      <c r="G56" s="123">
        <f t="shared" ref="G56" si="66">SUM(G57:G59)</f>
        <v>0</v>
      </c>
      <c r="H56" s="123">
        <f>G56/F56*100</f>
        <v>0</v>
      </c>
      <c r="I56" s="132">
        <f t="shared" ref="I56:AP56" si="67">I57+I58+I59</f>
        <v>0</v>
      </c>
      <c r="J56" s="132">
        <f t="shared" si="67"/>
        <v>0</v>
      </c>
      <c r="K56" s="123">
        <v>0</v>
      </c>
      <c r="L56" s="132">
        <f t="shared" si="67"/>
        <v>0</v>
      </c>
      <c r="M56" s="132">
        <f t="shared" si="67"/>
        <v>0</v>
      </c>
      <c r="N56" s="132">
        <v>0</v>
      </c>
      <c r="O56" s="132">
        <f t="shared" si="67"/>
        <v>119.8</v>
      </c>
      <c r="P56" s="132">
        <f t="shared" si="67"/>
        <v>0</v>
      </c>
      <c r="Q56" s="123">
        <f t="shared" ref="Q56:Q58" si="68">P56/O56*100</f>
        <v>0</v>
      </c>
      <c r="R56" s="132">
        <f t="shared" si="67"/>
        <v>0</v>
      </c>
      <c r="S56" s="132">
        <f t="shared" si="67"/>
        <v>0</v>
      </c>
      <c r="T56" s="132">
        <f t="shared" si="67"/>
        <v>0</v>
      </c>
      <c r="U56" s="132">
        <f t="shared" si="67"/>
        <v>0</v>
      </c>
      <c r="V56" s="132">
        <f t="shared" si="67"/>
        <v>0</v>
      </c>
      <c r="W56" s="123">
        <v>0</v>
      </c>
      <c r="X56" s="132">
        <f t="shared" si="67"/>
        <v>179.7</v>
      </c>
      <c r="Y56" s="132">
        <f t="shared" si="67"/>
        <v>0</v>
      </c>
      <c r="Z56" s="132">
        <f t="shared" si="67"/>
        <v>0</v>
      </c>
      <c r="AA56" s="132">
        <f t="shared" si="67"/>
        <v>0</v>
      </c>
      <c r="AB56" s="132">
        <f t="shared" si="67"/>
        <v>0</v>
      </c>
      <c r="AC56" s="132">
        <f t="shared" si="67"/>
        <v>0</v>
      </c>
      <c r="AD56" s="132">
        <f t="shared" si="67"/>
        <v>0</v>
      </c>
      <c r="AE56" s="132">
        <f t="shared" si="67"/>
        <v>0</v>
      </c>
      <c r="AF56" s="132">
        <f t="shared" si="67"/>
        <v>0</v>
      </c>
      <c r="AG56" s="132">
        <f t="shared" si="67"/>
        <v>179.7</v>
      </c>
      <c r="AH56" s="132">
        <f t="shared" si="67"/>
        <v>0</v>
      </c>
      <c r="AI56" s="117">
        <f>AH56/AG56*100</f>
        <v>0</v>
      </c>
      <c r="AJ56" s="132">
        <f t="shared" si="67"/>
        <v>0</v>
      </c>
      <c r="AK56" s="132">
        <f t="shared" si="67"/>
        <v>0</v>
      </c>
      <c r="AL56" s="132">
        <f t="shared" si="67"/>
        <v>0</v>
      </c>
      <c r="AM56" s="132">
        <f t="shared" si="67"/>
        <v>120.2</v>
      </c>
      <c r="AN56" s="132">
        <f t="shared" si="67"/>
        <v>0</v>
      </c>
      <c r="AO56" s="132">
        <f t="shared" si="67"/>
        <v>0</v>
      </c>
      <c r="AP56" s="132">
        <f t="shared" si="67"/>
        <v>0</v>
      </c>
      <c r="AQ56" s="104"/>
      <c r="AR56" s="104"/>
      <c r="AS56" s="337" t="s">
        <v>314</v>
      </c>
      <c r="AT56" s="340"/>
      <c r="AU56" s="121">
        <f t="shared" si="46"/>
        <v>479.2</v>
      </c>
      <c r="AV56" s="121">
        <f t="shared" si="47"/>
        <v>0</v>
      </c>
      <c r="AW56" s="155">
        <f t="shared" si="48"/>
        <v>0</v>
      </c>
    </row>
    <row r="57" spans="1:49" s="31" customFormat="1" ht="36">
      <c r="A57" s="365"/>
      <c r="B57" s="329"/>
      <c r="C57" s="332"/>
      <c r="D57" s="335"/>
      <c r="E57" s="108" t="s">
        <v>3</v>
      </c>
      <c r="F57" s="123">
        <f>I57+L57+O57+R57+U57+X57+AA57+AD57+AG57+AJ57+AM57+AP57</f>
        <v>0</v>
      </c>
      <c r="G57" s="123">
        <f>J57+M57+P57+S57+V57+Y57+AB57+AE57+AH57+AK57+AN57+AQ57</f>
        <v>0</v>
      </c>
      <c r="H57" s="123">
        <v>0</v>
      </c>
      <c r="I57" s="123">
        <v>0</v>
      </c>
      <c r="J57" s="123">
        <v>0</v>
      </c>
      <c r="K57" s="123">
        <v>0</v>
      </c>
      <c r="L57" s="150">
        <v>0</v>
      </c>
      <c r="M57" s="123">
        <v>0</v>
      </c>
      <c r="N57" s="138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23">
        <v>0</v>
      </c>
      <c r="AK57" s="123">
        <v>0</v>
      </c>
      <c r="AL57" s="123">
        <v>0</v>
      </c>
      <c r="AM57" s="117">
        <v>0</v>
      </c>
      <c r="AN57" s="117">
        <v>0</v>
      </c>
      <c r="AO57" s="117">
        <v>0</v>
      </c>
      <c r="AP57" s="123">
        <v>0</v>
      </c>
      <c r="AQ57" s="104"/>
      <c r="AR57" s="104"/>
      <c r="AS57" s="338"/>
      <c r="AT57" s="341"/>
      <c r="AU57" s="121"/>
      <c r="AV57" s="121"/>
      <c r="AW57" s="155"/>
    </row>
    <row r="58" spans="1:49" s="31" customFormat="1" ht="12.75">
      <c r="A58" s="365"/>
      <c r="B58" s="329"/>
      <c r="C58" s="332"/>
      <c r="D58" s="335"/>
      <c r="E58" s="108" t="s">
        <v>44</v>
      </c>
      <c r="F58" s="123">
        <f t="shared" ref="F58:F59" si="69">I58+L58+O58+R58+U58+X58+AA58+AD58+AG58+AJ58+AM58+AP58</f>
        <v>599.4</v>
      </c>
      <c r="G58" s="123">
        <f t="shared" ref="G58:G59" si="70">J58+M58+P58+S58+V58+Y58+AB58+AE58+AH58+AK58+AN58+AQ58</f>
        <v>0</v>
      </c>
      <c r="H58" s="123">
        <f>G58/F58*100</f>
        <v>0</v>
      </c>
      <c r="I58" s="123">
        <v>0</v>
      </c>
      <c r="J58" s="123">
        <v>0</v>
      </c>
      <c r="K58" s="123">
        <v>0</v>
      </c>
      <c r="L58" s="150">
        <v>0</v>
      </c>
      <c r="M58" s="123">
        <v>0</v>
      </c>
      <c r="N58" s="138">
        <v>0</v>
      </c>
      <c r="O58" s="123">
        <v>119.8</v>
      </c>
      <c r="P58" s="123">
        <v>0</v>
      </c>
      <c r="Q58" s="123">
        <f t="shared" si="68"/>
        <v>0</v>
      </c>
      <c r="R58" s="123">
        <v>0</v>
      </c>
      <c r="S58" s="123">
        <v>0</v>
      </c>
      <c r="T58" s="123">
        <v>0</v>
      </c>
      <c r="U58" s="117">
        <v>0</v>
      </c>
      <c r="V58" s="117">
        <v>0</v>
      </c>
      <c r="W58" s="123">
        <v>0</v>
      </c>
      <c r="X58" s="117">
        <v>179.7</v>
      </c>
      <c r="Y58" s="117">
        <v>0</v>
      </c>
      <c r="Z58" s="117">
        <f>Y58/X58*100</f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179.7</v>
      </c>
      <c r="AH58" s="117">
        <v>0</v>
      </c>
      <c r="AI58" s="117">
        <f>AH58/AG58*100</f>
        <v>0</v>
      </c>
      <c r="AJ58" s="123">
        <v>0</v>
      </c>
      <c r="AK58" s="123">
        <v>0</v>
      </c>
      <c r="AL58" s="123">
        <v>0</v>
      </c>
      <c r="AM58" s="117">
        <v>120.2</v>
      </c>
      <c r="AN58" s="117">
        <v>0</v>
      </c>
      <c r="AO58" s="117">
        <v>0</v>
      </c>
      <c r="AP58" s="123">
        <v>0</v>
      </c>
      <c r="AQ58" s="104"/>
      <c r="AR58" s="104"/>
      <c r="AS58" s="338"/>
      <c r="AT58" s="341"/>
      <c r="AU58" s="121">
        <f t="shared" si="46"/>
        <v>479.2</v>
      </c>
      <c r="AV58" s="121">
        <f t="shared" si="47"/>
        <v>0</v>
      </c>
      <c r="AW58" s="155">
        <f t="shared" si="48"/>
        <v>0</v>
      </c>
    </row>
    <row r="59" spans="1:49" s="31" customFormat="1" ht="24">
      <c r="A59" s="366"/>
      <c r="B59" s="330"/>
      <c r="C59" s="333"/>
      <c r="D59" s="336"/>
      <c r="E59" s="109" t="s">
        <v>257</v>
      </c>
      <c r="F59" s="123">
        <f t="shared" si="69"/>
        <v>0</v>
      </c>
      <c r="G59" s="123">
        <f t="shared" si="70"/>
        <v>0</v>
      </c>
      <c r="H59" s="123">
        <v>0</v>
      </c>
      <c r="I59" s="123">
        <v>0</v>
      </c>
      <c r="J59" s="123">
        <v>0</v>
      </c>
      <c r="K59" s="123">
        <v>0</v>
      </c>
      <c r="L59" s="150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23">
        <v>0</v>
      </c>
      <c r="AK59" s="123">
        <v>0</v>
      </c>
      <c r="AL59" s="123">
        <v>0</v>
      </c>
      <c r="AM59" s="117">
        <v>0</v>
      </c>
      <c r="AN59" s="117">
        <v>0</v>
      </c>
      <c r="AO59" s="117">
        <v>0</v>
      </c>
      <c r="AP59" s="123">
        <v>0</v>
      </c>
      <c r="AQ59" s="104"/>
      <c r="AR59" s="104"/>
      <c r="AS59" s="339"/>
      <c r="AT59" s="342"/>
      <c r="AU59" s="121"/>
      <c r="AV59" s="121"/>
      <c r="AW59" s="155"/>
    </row>
    <row r="60" spans="1:49" s="31" customFormat="1" ht="15.75">
      <c r="A60" s="349" t="s">
        <v>384</v>
      </c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1"/>
      <c r="AU60" s="121"/>
      <c r="AV60" s="121"/>
      <c r="AW60" s="155"/>
    </row>
    <row r="61" spans="1:49" s="31" customFormat="1" ht="15.75">
      <c r="A61" s="349" t="s">
        <v>385</v>
      </c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350"/>
      <c r="AT61" s="351"/>
      <c r="AU61" s="121"/>
      <c r="AV61" s="121"/>
      <c r="AW61" s="155"/>
    </row>
    <row r="62" spans="1:49" s="100" customFormat="1" ht="12.75">
      <c r="A62" s="352" t="s">
        <v>272</v>
      </c>
      <c r="B62" s="353"/>
      <c r="C62" s="353"/>
      <c r="D62" s="354"/>
      <c r="E62" s="129" t="s">
        <v>42</v>
      </c>
      <c r="F62" s="106">
        <f>F63+F64+F65</f>
        <v>10628.100000000002</v>
      </c>
      <c r="G62" s="106">
        <f t="shared" ref="G62:AP62" si="71">G63+G64+G65</f>
        <v>0</v>
      </c>
      <c r="H62" s="106">
        <f>G62/F62*100</f>
        <v>0</v>
      </c>
      <c r="I62" s="106">
        <f t="shared" si="71"/>
        <v>0</v>
      </c>
      <c r="J62" s="106">
        <f t="shared" si="71"/>
        <v>0</v>
      </c>
      <c r="K62" s="106">
        <v>0</v>
      </c>
      <c r="L62" s="106">
        <f t="shared" si="71"/>
        <v>2337.5</v>
      </c>
      <c r="M62" s="106">
        <f t="shared" si="71"/>
        <v>0</v>
      </c>
      <c r="N62" s="106">
        <f t="shared" si="71"/>
        <v>0</v>
      </c>
      <c r="O62" s="106">
        <f t="shared" si="71"/>
        <v>2141.4</v>
      </c>
      <c r="P62" s="106">
        <f t="shared" si="71"/>
        <v>0</v>
      </c>
      <c r="Q62" s="106">
        <f>P62/O62*100</f>
        <v>0</v>
      </c>
      <c r="R62" s="106">
        <f t="shared" si="71"/>
        <v>328.59999999999997</v>
      </c>
      <c r="S62" s="106">
        <f t="shared" si="71"/>
        <v>0</v>
      </c>
      <c r="T62" s="106">
        <f>S62/R62*100</f>
        <v>0</v>
      </c>
      <c r="U62" s="106">
        <f t="shared" si="71"/>
        <v>1220.6000000000001</v>
      </c>
      <c r="V62" s="106">
        <f t="shared" si="71"/>
        <v>0</v>
      </c>
      <c r="W62" s="106">
        <f t="shared" si="71"/>
        <v>0</v>
      </c>
      <c r="X62" s="106">
        <f t="shared" si="71"/>
        <v>1288.6000000000001</v>
      </c>
      <c r="Y62" s="106">
        <f t="shared" si="71"/>
        <v>0</v>
      </c>
      <c r="Z62" s="106">
        <f t="shared" si="71"/>
        <v>0</v>
      </c>
      <c r="AA62" s="106">
        <f t="shared" si="71"/>
        <v>1075.6000000000001</v>
      </c>
      <c r="AB62" s="106">
        <f t="shared" si="71"/>
        <v>0</v>
      </c>
      <c r="AC62" s="106">
        <f t="shared" si="71"/>
        <v>0</v>
      </c>
      <c r="AD62" s="106">
        <f t="shared" si="71"/>
        <v>150.6</v>
      </c>
      <c r="AE62" s="106">
        <f t="shared" si="71"/>
        <v>0</v>
      </c>
      <c r="AF62" s="106">
        <f t="shared" ref="AF62" si="72">AE62/AD62*100</f>
        <v>0</v>
      </c>
      <c r="AG62" s="106">
        <f t="shared" si="71"/>
        <v>200.6</v>
      </c>
      <c r="AH62" s="106">
        <f t="shared" si="71"/>
        <v>0</v>
      </c>
      <c r="AI62" s="106">
        <f t="shared" si="71"/>
        <v>0</v>
      </c>
      <c r="AJ62" s="106">
        <f t="shared" si="71"/>
        <v>162.6</v>
      </c>
      <c r="AK62" s="106">
        <f t="shared" si="71"/>
        <v>0</v>
      </c>
      <c r="AL62" s="106">
        <f t="shared" si="71"/>
        <v>0</v>
      </c>
      <c r="AM62" s="106">
        <f t="shared" si="71"/>
        <v>1350.0000000000002</v>
      </c>
      <c r="AN62" s="106">
        <f t="shared" si="71"/>
        <v>0</v>
      </c>
      <c r="AO62" s="106">
        <f t="shared" si="71"/>
        <v>0</v>
      </c>
      <c r="AP62" s="106">
        <f t="shared" si="71"/>
        <v>372</v>
      </c>
      <c r="AQ62" s="106">
        <f>AQ92+AQ100</f>
        <v>0</v>
      </c>
      <c r="AR62" s="106">
        <f>AR92+AR100</f>
        <v>0</v>
      </c>
      <c r="AS62" s="316"/>
      <c r="AT62" s="361"/>
      <c r="AU62" s="121">
        <f t="shared" si="46"/>
        <v>8743.5000000000018</v>
      </c>
      <c r="AV62" s="121">
        <f t="shared" si="47"/>
        <v>0</v>
      </c>
      <c r="AW62" s="155">
        <f t="shared" si="48"/>
        <v>0</v>
      </c>
    </row>
    <row r="63" spans="1:49" s="100" customFormat="1" ht="36">
      <c r="A63" s="355"/>
      <c r="B63" s="356"/>
      <c r="C63" s="356"/>
      <c r="D63" s="357"/>
      <c r="E63" s="111" t="s">
        <v>3</v>
      </c>
      <c r="F63" s="106">
        <f>F70+F74+F78</f>
        <v>0</v>
      </c>
      <c r="G63" s="106">
        <f t="shared" ref="G63:AR65" si="73">G70+G74+G78</f>
        <v>0</v>
      </c>
      <c r="H63" s="106">
        <v>0</v>
      </c>
      <c r="I63" s="106">
        <f t="shared" si="73"/>
        <v>0</v>
      </c>
      <c r="J63" s="106">
        <f t="shared" si="73"/>
        <v>0</v>
      </c>
      <c r="K63" s="106">
        <v>0</v>
      </c>
      <c r="L63" s="106">
        <f t="shared" si="73"/>
        <v>0</v>
      </c>
      <c r="M63" s="106">
        <f t="shared" si="73"/>
        <v>0</v>
      </c>
      <c r="N63" s="106">
        <f t="shared" si="73"/>
        <v>0</v>
      </c>
      <c r="O63" s="106">
        <f t="shared" si="73"/>
        <v>0</v>
      </c>
      <c r="P63" s="106">
        <f t="shared" si="73"/>
        <v>0</v>
      </c>
      <c r="Q63" s="106">
        <v>0</v>
      </c>
      <c r="R63" s="106">
        <f t="shared" si="73"/>
        <v>0</v>
      </c>
      <c r="S63" s="106">
        <f t="shared" si="73"/>
        <v>0</v>
      </c>
      <c r="T63" s="106">
        <v>0</v>
      </c>
      <c r="U63" s="106">
        <f t="shared" si="73"/>
        <v>0</v>
      </c>
      <c r="V63" s="106">
        <f t="shared" si="73"/>
        <v>0</v>
      </c>
      <c r="W63" s="106">
        <f t="shared" si="73"/>
        <v>0</v>
      </c>
      <c r="X63" s="106">
        <f t="shared" si="73"/>
        <v>0</v>
      </c>
      <c r="Y63" s="106">
        <f t="shared" si="73"/>
        <v>0</v>
      </c>
      <c r="Z63" s="106">
        <f t="shared" si="73"/>
        <v>0</v>
      </c>
      <c r="AA63" s="106">
        <f t="shared" si="73"/>
        <v>0</v>
      </c>
      <c r="AB63" s="106">
        <f t="shared" si="73"/>
        <v>0</v>
      </c>
      <c r="AC63" s="106">
        <f t="shared" si="73"/>
        <v>0</v>
      </c>
      <c r="AD63" s="106">
        <f t="shared" si="73"/>
        <v>0</v>
      </c>
      <c r="AE63" s="106">
        <f t="shared" si="73"/>
        <v>0</v>
      </c>
      <c r="AF63" s="106">
        <f t="shared" si="73"/>
        <v>0</v>
      </c>
      <c r="AG63" s="106">
        <f t="shared" si="73"/>
        <v>0</v>
      </c>
      <c r="AH63" s="106">
        <f t="shared" si="73"/>
        <v>0</v>
      </c>
      <c r="AI63" s="106">
        <f t="shared" si="73"/>
        <v>0</v>
      </c>
      <c r="AJ63" s="106">
        <f t="shared" si="73"/>
        <v>0</v>
      </c>
      <c r="AK63" s="106">
        <f t="shared" si="73"/>
        <v>0</v>
      </c>
      <c r="AL63" s="106">
        <f t="shared" si="73"/>
        <v>0</v>
      </c>
      <c r="AM63" s="106">
        <f t="shared" si="73"/>
        <v>0</v>
      </c>
      <c r="AN63" s="106">
        <f t="shared" si="73"/>
        <v>0</v>
      </c>
      <c r="AO63" s="106">
        <f t="shared" si="73"/>
        <v>0</v>
      </c>
      <c r="AP63" s="106">
        <f t="shared" si="73"/>
        <v>0</v>
      </c>
      <c r="AQ63" s="106">
        <f t="shared" si="73"/>
        <v>0</v>
      </c>
      <c r="AR63" s="106">
        <f t="shared" si="73"/>
        <v>0</v>
      </c>
      <c r="AS63" s="317"/>
      <c r="AT63" s="362"/>
      <c r="AU63" s="121"/>
      <c r="AV63" s="121"/>
      <c r="AW63" s="155"/>
    </row>
    <row r="64" spans="1:49" s="100" customFormat="1" ht="24">
      <c r="A64" s="355"/>
      <c r="B64" s="356"/>
      <c r="C64" s="356"/>
      <c r="D64" s="357"/>
      <c r="E64" s="111" t="s">
        <v>44</v>
      </c>
      <c r="F64" s="106">
        <f>F71+F75+F79</f>
        <v>10628.100000000002</v>
      </c>
      <c r="G64" s="106">
        <f t="shared" si="73"/>
        <v>0</v>
      </c>
      <c r="H64" s="106">
        <f>G64/F64*100</f>
        <v>0</v>
      </c>
      <c r="I64" s="106">
        <f t="shared" si="73"/>
        <v>0</v>
      </c>
      <c r="J64" s="106">
        <f t="shared" si="73"/>
        <v>0</v>
      </c>
      <c r="K64" s="106">
        <v>0</v>
      </c>
      <c r="L64" s="106">
        <f t="shared" si="73"/>
        <v>2337.5</v>
      </c>
      <c r="M64" s="106">
        <f t="shared" si="73"/>
        <v>0</v>
      </c>
      <c r="N64" s="106">
        <f t="shared" si="73"/>
        <v>0</v>
      </c>
      <c r="O64" s="106">
        <f t="shared" si="73"/>
        <v>2141.4</v>
      </c>
      <c r="P64" s="106">
        <f t="shared" si="73"/>
        <v>0</v>
      </c>
      <c r="Q64" s="106">
        <f t="shared" ref="Q64" si="74">P64/O64*100</f>
        <v>0</v>
      </c>
      <c r="R64" s="106">
        <f t="shared" si="73"/>
        <v>328.59999999999997</v>
      </c>
      <c r="S64" s="106">
        <f t="shared" si="73"/>
        <v>0</v>
      </c>
      <c r="T64" s="106">
        <f t="shared" ref="T64" si="75">S64/R64*100</f>
        <v>0</v>
      </c>
      <c r="U64" s="106">
        <f t="shared" si="73"/>
        <v>1220.6000000000001</v>
      </c>
      <c r="V64" s="106">
        <f t="shared" si="73"/>
        <v>0</v>
      </c>
      <c r="W64" s="106">
        <f t="shared" si="73"/>
        <v>0</v>
      </c>
      <c r="X64" s="106">
        <f t="shared" si="73"/>
        <v>1288.6000000000001</v>
      </c>
      <c r="Y64" s="106">
        <f t="shared" si="73"/>
        <v>0</v>
      </c>
      <c r="Z64" s="106">
        <f t="shared" si="73"/>
        <v>0</v>
      </c>
      <c r="AA64" s="106">
        <f t="shared" si="73"/>
        <v>1075.6000000000001</v>
      </c>
      <c r="AB64" s="106">
        <f t="shared" si="73"/>
        <v>0</v>
      </c>
      <c r="AC64" s="106">
        <f t="shared" si="73"/>
        <v>0</v>
      </c>
      <c r="AD64" s="106">
        <f t="shared" si="73"/>
        <v>150.6</v>
      </c>
      <c r="AE64" s="106">
        <f t="shared" si="73"/>
        <v>0</v>
      </c>
      <c r="AF64" s="106">
        <f t="shared" ref="AF64" si="76">AE64/AD64*100</f>
        <v>0</v>
      </c>
      <c r="AG64" s="106">
        <f t="shared" si="73"/>
        <v>200.6</v>
      </c>
      <c r="AH64" s="106">
        <f t="shared" si="73"/>
        <v>0</v>
      </c>
      <c r="AI64" s="106">
        <f t="shared" si="73"/>
        <v>0</v>
      </c>
      <c r="AJ64" s="106">
        <f t="shared" si="73"/>
        <v>162.6</v>
      </c>
      <c r="AK64" s="106">
        <f t="shared" si="73"/>
        <v>0</v>
      </c>
      <c r="AL64" s="106">
        <f t="shared" si="73"/>
        <v>0</v>
      </c>
      <c r="AM64" s="106">
        <f t="shared" si="73"/>
        <v>1350.0000000000002</v>
      </c>
      <c r="AN64" s="106">
        <f t="shared" si="73"/>
        <v>0</v>
      </c>
      <c r="AO64" s="106">
        <f t="shared" si="73"/>
        <v>0</v>
      </c>
      <c r="AP64" s="106">
        <f t="shared" si="73"/>
        <v>372</v>
      </c>
      <c r="AQ64" s="106">
        <f t="shared" si="73"/>
        <v>0</v>
      </c>
      <c r="AR64" s="106">
        <f t="shared" si="73"/>
        <v>0</v>
      </c>
      <c r="AS64" s="317"/>
      <c r="AT64" s="362"/>
      <c r="AU64" s="121">
        <f t="shared" si="46"/>
        <v>8743.5000000000018</v>
      </c>
      <c r="AV64" s="121">
        <f t="shared" si="47"/>
        <v>0</v>
      </c>
      <c r="AW64" s="155">
        <f t="shared" si="48"/>
        <v>0</v>
      </c>
    </row>
    <row r="65" spans="1:49" s="100" customFormat="1" ht="24">
      <c r="A65" s="358"/>
      <c r="B65" s="359"/>
      <c r="C65" s="359"/>
      <c r="D65" s="360"/>
      <c r="E65" s="110" t="s">
        <v>257</v>
      </c>
      <c r="F65" s="106">
        <f>F72+F76+F80</f>
        <v>0</v>
      </c>
      <c r="G65" s="106">
        <f t="shared" si="73"/>
        <v>0</v>
      </c>
      <c r="H65" s="106">
        <v>0</v>
      </c>
      <c r="I65" s="106">
        <f t="shared" si="73"/>
        <v>0</v>
      </c>
      <c r="J65" s="106">
        <f t="shared" si="73"/>
        <v>0</v>
      </c>
      <c r="K65" s="106">
        <v>0</v>
      </c>
      <c r="L65" s="106">
        <f t="shared" si="73"/>
        <v>0</v>
      </c>
      <c r="M65" s="106">
        <f t="shared" si="73"/>
        <v>0</v>
      </c>
      <c r="N65" s="106">
        <f t="shared" si="73"/>
        <v>0</v>
      </c>
      <c r="O65" s="106">
        <f t="shared" si="73"/>
        <v>0</v>
      </c>
      <c r="P65" s="106">
        <f t="shared" si="73"/>
        <v>0</v>
      </c>
      <c r="Q65" s="106">
        <v>0</v>
      </c>
      <c r="R65" s="106">
        <f t="shared" si="73"/>
        <v>0</v>
      </c>
      <c r="S65" s="106">
        <f t="shared" si="73"/>
        <v>0</v>
      </c>
      <c r="T65" s="106">
        <v>0</v>
      </c>
      <c r="U65" s="106">
        <f t="shared" si="73"/>
        <v>0</v>
      </c>
      <c r="V65" s="106">
        <f t="shared" si="73"/>
        <v>0</v>
      </c>
      <c r="W65" s="106">
        <f t="shared" si="73"/>
        <v>0</v>
      </c>
      <c r="X65" s="106">
        <f t="shared" si="73"/>
        <v>0</v>
      </c>
      <c r="Y65" s="106">
        <f t="shared" si="73"/>
        <v>0</v>
      </c>
      <c r="Z65" s="106">
        <f t="shared" si="73"/>
        <v>0</v>
      </c>
      <c r="AA65" s="106">
        <f t="shared" si="73"/>
        <v>0</v>
      </c>
      <c r="AB65" s="106">
        <f t="shared" si="73"/>
        <v>0</v>
      </c>
      <c r="AC65" s="106">
        <f t="shared" si="73"/>
        <v>0</v>
      </c>
      <c r="AD65" s="106">
        <f t="shared" si="73"/>
        <v>0</v>
      </c>
      <c r="AE65" s="106">
        <f t="shared" si="73"/>
        <v>0</v>
      </c>
      <c r="AF65" s="106">
        <f t="shared" si="73"/>
        <v>0</v>
      </c>
      <c r="AG65" s="106">
        <f t="shared" si="73"/>
        <v>0</v>
      </c>
      <c r="AH65" s="106">
        <f t="shared" si="73"/>
        <v>0</v>
      </c>
      <c r="AI65" s="106">
        <f t="shared" si="73"/>
        <v>0</v>
      </c>
      <c r="AJ65" s="106">
        <f t="shared" si="73"/>
        <v>0</v>
      </c>
      <c r="AK65" s="106">
        <f t="shared" si="73"/>
        <v>0</v>
      </c>
      <c r="AL65" s="106">
        <f t="shared" si="73"/>
        <v>0</v>
      </c>
      <c r="AM65" s="106">
        <f t="shared" si="73"/>
        <v>0</v>
      </c>
      <c r="AN65" s="106">
        <f t="shared" si="73"/>
        <v>0</v>
      </c>
      <c r="AO65" s="106">
        <f t="shared" si="73"/>
        <v>0</v>
      </c>
      <c r="AP65" s="106">
        <f t="shared" si="73"/>
        <v>0</v>
      </c>
      <c r="AQ65" s="106">
        <f t="shared" si="73"/>
        <v>0</v>
      </c>
      <c r="AR65" s="106">
        <f t="shared" si="73"/>
        <v>0</v>
      </c>
      <c r="AS65" s="318"/>
      <c r="AT65" s="363"/>
      <c r="AU65" s="121"/>
      <c r="AV65" s="121"/>
      <c r="AW65" s="155"/>
    </row>
    <row r="66" spans="1:49" s="100" customFormat="1" ht="138.75" customHeight="1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23" customHeight="1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25" t="s">
        <v>395</v>
      </c>
      <c r="B69" s="328" t="s">
        <v>396</v>
      </c>
      <c r="C69" s="331" t="s">
        <v>277</v>
      </c>
      <c r="D69" s="334" t="s">
        <v>397</v>
      </c>
      <c r="E69" s="107" t="s">
        <v>42</v>
      </c>
      <c r="F69" s="123">
        <f>SUM(F70:F72)</f>
        <v>1612.1</v>
      </c>
      <c r="G69" s="123">
        <f t="shared" ref="G69" si="77">SUM(G70:G72)</f>
        <v>0</v>
      </c>
      <c r="H69" s="123">
        <f>G69/F69*100</f>
        <v>0</v>
      </c>
      <c r="I69" s="138">
        <f t="shared" ref="I69:AP69" si="78">I70+I71+I72</f>
        <v>0</v>
      </c>
      <c r="J69" s="138">
        <f t="shared" si="78"/>
        <v>0</v>
      </c>
      <c r="K69" s="123">
        <v>0</v>
      </c>
      <c r="L69" s="138">
        <f t="shared" si="78"/>
        <v>61.4</v>
      </c>
      <c r="M69" s="132">
        <f t="shared" si="78"/>
        <v>0</v>
      </c>
      <c r="N69" s="132">
        <f>M69/L69*100</f>
        <v>0</v>
      </c>
      <c r="O69" s="132">
        <f t="shared" si="78"/>
        <v>207.4</v>
      </c>
      <c r="P69" s="132">
        <f t="shared" si="78"/>
        <v>0</v>
      </c>
      <c r="Q69" s="123">
        <f t="shared" ref="Q69:Q79" si="79">P69/O69*100</f>
        <v>0</v>
      </c>
      <c r="R69" s="132">
        <f t="shared" si="78"/>
        <v>61.4</v>
      </c>
      <c r="S69" s="132">
        <f t="shared" si="78"/>
        <v>0</v>
      </c>
      <c r="T69" s="132">
        <f>S69/R69*100</f>
        <v>0</v>
      </c>
      <c r="U69" s="138">
        <f t="shared" si="78"/>
        <v>61.4</v>
      </c>
      <c r="V69" s="138">
        <f t="shared" si="78"/>
        <v>0</v>
      </c>
      <c r="W69" s="132">
        <f t="shared" ref="W69" si="80">V69/U69*100</f>
        <v>0</v>
      </c>
      <c r="X69" s="132">
        <f t="shared" si="78"/>
        <v>61.4</v>
      </c>
      <c r="Y69" s="132">
        <f t="shared" si="78"/>
        <v>0</v>
      </c>
      <c r="Z69" s="132">
        <f t="shared" ref="Z69" si="81">Y69/X69*100</f>
        <v>0</v>
      </c>
      <c r="AA69" s="132">
        <f t="shared" si="78"/>
        <v>61.4</v>
      </c>
      <c r="AB69" s="132">
        <f t="shared" si="78"/>
        <v>0</v>
      </c>
      <c r="AC69" s="132">
        <f t="shared" ref="AC69" si="82">AB69/AA69*100</f>
        <v>0</v>
      </c>
      <c r="AD69" s="132">
        <f t="shared" si="78"/>
        <v>61.4</v>
      </c>
      <c r="AE69" s="138">
        <f t="shared" si="78"/>
        <v>0</v>
      </c>
      <c r="AF69" s="104">
        <f t="shared" ref="AF69" si="83">AE69/AD69*100</f>
        <v>0</v>
      </c>
      <c r="AG69" s="138">
        <f t="shared" si="78"/>
        <v>61.4</v>
      </c>
      <c r="AH69" s="138">
        <f t="shared" si="78"/>
        <v>0</v>
      </c>
      <c r="AI69" s="132">
        <f t="shared" ref="AI69" si="84">AH69/AG69*100</f>
        <v>0</v>
      </c>
      <c r="AJ69" s="138">
        <f t="shared" si="78"/>
        <v>61.4</v>
      </c>
      <c r="AK69" s="138">
        <f t="shared" si="78"/>
        <v>0</v>
      </c>
      <c r="AL69" s="138">
        <f t="shared" si="78"/>
        <v>0</v>
      </c>
      <c r="AM69" s="138">
        <f t="shared" si="78"/>
        <v>790.7</v>
      </c>
      <c r="AN69" s="138">
        <f t="shared" si="78"/>
        <v>0</v>
      </c>
      <c r="AO69" s="138">
        <f t="shared" si="78"/>
        <v>0</v>
      </c>
      <c r="AP69" s="138">
        <f t="shared" si="78"/>
        <v>122.8</v>
      </c>
      <c r="AQ69" s="104"/>
      <c r="AR69" s="104"/>
      <c r="AS69" s="337" t="s">
        <v>317</v>
      </c>
      <c r="AT69" s="340"/>
      <c r="AU69" s="121">
        <f t="shared" si="46"/>
        <v>637.19999999999993</v>
      </c>
      <c r="AV69" s="121">
        <f t="shared" si="47"/>
        <v>0</v>
      </c>
      <c r="AW69" s="155">
        <f t="shared" si="48"/>
        <v>0</v>
      </c>
    </row>
    <row r="70" spans="1:49" s="31" customFormat="1" ht="36">
      <c r="A70" s="326"/>
      <c r="B70" s="329"/>
      <c r="C70" s="332"/>
      <c r="D70" s="335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8"/>
      <c r="AT70" s="341"/>
      <c r="AU70" s="121"/>
      <c r="AV70" s="121"/>
      <c r="AW70" s="155"/>
    </row>
    <row r="71" spans="1:49" s="31" customFormat="1" ht="12.75">
      <c r="A71" s="326"/>
      <c r="B71" s="329"/>
      <c r="C71" s="332"/>
      <c r="D71" s="335"/>
      <c r="E71" s="108" t="s">
        <v>44</v>
      </c>
      <c r="F71" s="123">
        <f t="shared" ref="F71:F72" si="85">I71+L71+O71+R71+U71+X71+AA71+AD71+AG71+AJ71+AM71+AP71</f>
        <v>1612.1</v>
      </c>
      <c r="G71" s="123">
        <f t="shared" ref="G71:G72" si="86">J71+M71+P71+S71+V71+Y71+AB71+AE71+AH71+AK71+AN71+AQ71</f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87">M71/L71*100</f>
        <v>0</v>
      </c>
      <c r="O71" s="123">
        <v>207.4</v>
      </c>
      <c r="P71" s="123">
        <v>0</v>
      </c>
      <c r="Q71" s="123">
        <f t="shared" si="79"/>
        <v>0</v>
      </c>
      <c r="R71" s="123">
        <v>61.4</v>
      </c>
      <c r="S71" s="123">
        <v>0</v>
      </c>
      <c r="T71" s="132">
        <f t="shared" ref="T71:T79" si="88">S71/R71*100</f>
        <v>0</v>
      </c>
      <c r="U71" s="117">
        <v>61.4</v>
      </c>
      <c r="V71" s="117">
        <v>0</v>
      </c>
      <c r="W71" s="132">
        <f t="shared" ref="W71" si="89">V71/U71*100</f>
        <v>0</v>
      </c>
      <c r="X71" s="117">
        <v>61.4</v>
      </c>
      <c r="Y71" s="117">
        <v>0</v>
      </c>
      <c r="Z71" s="132">
        <f t="shared" ref="Z71" si="90">Y71/X71*100</f>
        <v>0</v>
      </c>
      <c r="AA71" s="117">
        <v>61.4</v>
      </c>
      <c r="AB71" s="117">
        <v>0</v>
      </c>
      <c r="AC71" s="132">
        <f t="shared" ref="AC71" si="91">AB71/AA71*100</f>
        <v>0</v>
      </c>
      <c r="AD71" s="117">
        <v>61.4</v>
      </c>
      <c r="AE71" s="117">
        <v>0</v>
      </c>
      <c r="AF71" s="132">
        <f t="shared" ref="AF71" si="92">AE71/AD71*100</f>
        <v>0</v>
      </c>
      <c r="AG71" s="117">
        <v>61.4</v>
      </c>
      <c r="AH71" s="117">
        <v>0</v>
      </c>
      <c r="AI71" s="132">
        <f t="shared" ref="AI71" si="93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38"/>
      <c r="AT71" s="341"/>
      <c r="AU71" s="121">
        <f t="shared" si="46"/>
        <v>637.19999999999993</v>
      </c>
      <c r="AV71" s="121">
        <f t="shared" si="47"/>
        <v>0</v>
      </c>
      <c r="AW71" s="155">
        <f t="shared" si="48"/>
        <v>0</v>
      </c>
    </row>
    <row r="72" spans="1:49" s="31" customFormat="1" ht="24">
      <c r="A72" s="327"/>
      <c r="B72" s="330"/>
      <c r="C72" s="333"/>
      <c r="D72" s="336"/>
      <c r="E72" s="109" t="s">
        <v>257</v>
      </c>
      <c r="F72" s="123">
        <f t="shared" si="85"/>
        <v>0</v>
      </c>
      <c r="G72" s="123">
        <f t="shared" si="86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39"/>
      <c r="AT72" s="342"/>
      <c r="AU72" s="121"/>
      <c r="AV72" s="121"/>
      <c r="AW72" s="155"/>
    </row>
    <row r="73" spans="1:49" s="31" customFormat="1" ht="12.75" customHeight="1">
      <c r="A73" s="325" t="s">
        <v>398</v>
      </c>
      <c r="B73" s="328" t="s">
        <v>258</v>
      </c>
      <c r="C73" s="331" t="s">
        <v>277</v>
      </c>
      <c r="D73" s="334" t="s">
        <v>400</v>
      </c>
      <c r="E73" s="107" t="s">
        <v>42</v>
      </c>
      <c r="F73" s="123">
        <f>SUM(F74:F76)</f>
        <v>455.1</v>
      </c>
      <c r="G73" s="123">
        <f t="shared" ref="G73" si="94">SUM(G74:G76)</f>
        <v>0</v>
      </c>
      <c r="H73" s="123">
        <f>G73/F73*100</f>
        <v>0</v>
      </c>
      <c r="I73" s="138">
        <f t="shared" ref="I73:AP73" si="95">I74+I75+I76</f>
        <v>0</v>
      </c>
      <c r="J73" s="138">
        <f t="shared" si="95"/>
        <v>0</v>
      </c>
      <c r="K73" s="123">
        <v>0</v>
      </c>
      <c r="L73" s="138">
        <f t="shared" si="95"/>
        <v>0</v>
      </c>
      <c r="M73" s="132">
        <f t="shared" si="95"/>
        <v>0</v>
      </c>
      <c r="N73" s="132">
        <v>0</v>
      </c>
      <c r="O73" s="132">
        <f t="shared" si="95"/>
        <v>0</v>
      </c>
      <c r="P73" s="132">
        <f t="shared" si="95"/>
        <v>0</v>
      </c>
      <c r="Q73" s="123">
        <v>0</v>
      </c>
      <c r="R73" s="132">
        <f t="shared" si="95"/>
        <v>0</v>
      </c>
      <c r="S73" s="132">
        <f t="shared" si="95"/>
        <v>0</v>
      </c>
      <c r="T73" s="132">
        <v>0</v>
      </c>
      <c r="U73" s="132">
        <f t="shared" si="95"/>
        <v>0</v>
      </c>
      <c r="V73" s="132">
        <f t="shared" si="95"/>
        <v>0</v>
      </c>
      <c r="W73" s="132">
        <f t="shared" si="95"/>
        <v>0</v>
      </c>
      <c r="X73" s="132">
        <f t="shared" si="95"/>
        <v>0</v>
      </c>
      <c r="Y73" s="132">
        <f t="shared" si="95"/>
        <v>0</v>
      </c>
      <c r="Z73" s="138">
        <f t="shared" si="95"/>
        <v>0</v>
      </c>
      <c r="AA73" s="138">
        <f t="shared" si="95"/>
        <v>0</v>
      </c>
      <c r="AB73" s="138">
        <f t="shared" si="95"/>
        <v>0</v>
      </c>
      <c r="AC73" s="138">
        <f t="shared" si="95"/>
        <v>0</v>
      </c>
      <c r="AD73" s="132">
        <f t="shared" si="95"/>
        <v>0</v>
      </c>
      <c r="AE73" s="132">
        <f t="shared" si="95"/>
        <v>0</v>
      </c>
      <c r="AF73" s="132">
        <f t="shared" si="95"/>
        <v>0</v>
      </c>
      <c r="AG73" s="132">
        <f t="shared" si="95"/>
        <v>0</v>
      </c>
      <c r="AH73" s="132">
        <f t="shared" si="95"/>
        <v>0</v>
      </c>
      <c r="AI73" s="132">
        <f t="shared" si="95"/>
        <v>0</v>
      </c>
      <c r="AJ73" s="132">
        <f t="shared" si="95"/>
        <v>0</v>
      </c>
      <c r="AK73" s="132">
        <f t="shared" si="95"/>
        <v>0</v>
      </c>
      <c r="AL73" s="132">
        <f t="shared" si="95"/>
        <v>0</v>
      </c>
      <c r="AM73" s="132">
        <f t="shared" si="95"/>
        <v>455.1</v>
      </c>
      <c r="AN73" s="132">
        <f t="shared" si="95"/>
        <v>0</v>
      </c>
      <c r="AO73" s="132">
        <f t="shared" si="95"/>
        <v>0</v>
      </c>
      <c r="AP73" s="132">
        <f t="shared" si="95"/>
        <v>0</v>
      </c>
      <c r="AQ73" s="104"/>
      <c r="AR73" s="104"/>
      <c r="AS73" s="343" t="s">
        <v>281</v>
      </c>
      <c r="AT73" s="346" t="s">
        <v>300</v>
      </c>
      <c r="AU73" s="121"/>
      <c r="AV73" s="121"/>
      <c r="AW73" s="155"/>
    </row>
    <row r="74" spans="1:49" s="31" customFormat="1" ht="39" customHeight="1">
      <c r="A74" s="326"/>
      <c r="B74" s="329"/>
      <c r="C74" s="332"/>
      <c r="D74" s="335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4"/>
      <c r="AT74" s="347"/>
      <c r="AU74" s="121"/>
      <c r="AV74" s="121"/>
      <c r="AW74" s="155"/>
    </row>
    <row r="75" spans="1:49" s="31" customFormat="1" ht="13.5" customHeight="1">
      <c r="A75" s="326"/>
      <c r="B75" s="329"/>
      <c r="C75" s="332"/>
      <c r="D75" s="335"/>
      <c r="E75" s="108" t="s">
        <v>44</v>
      </c>
      <c r="F75" s="123">
        <f t="shared" ref="F75:F76" si="96">I75+L75+O75+R75+U75+X75+AA75+AD75+AG75+AJ75+AM75+AP75</f>
        <v>455.1</v>
      </c>
      <c r="G75" s="123">
        <f t="shared" ref="G75:G76" si="97">J75+M75+P75+S75+V75+Y75+AB75+AE75+AH75+AK75+AN75+AQ75</f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4"/>
      <c r="AT75" s="347"/>
      <c r="AU75" s="121"/>
      <c r="AV75" s="121"/>
      <c r="AW75" s="155"/>
    </row>
    <row r="76" spans="1:49" s="31" customFormat="1" ht="31.5" customHeight="1">
      <c r="A76" s="327"/>
      <c r="B76" s="330"/>
      <c r="C76" s="333"/>
      <c r="D76" s="336"/>
      <c r="E76" s="109" t="s">
        <v>257</v>
      </c>
      <c r="F76" s="123">
        <f t="shared" si="96"/>
        <v>0</v>
      </c>
      <c r="G76" s="123">
        <f t="shared" si="97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5"/>
      <c r="AT76" s="348"/>
      <c r="AU76" s="121"/>
      <c r="AV76" s="121"/>
      <c r="AW76" s="155"/>
    </row>
    <row r="77" spans="1:49" s="31" customFormat="1" ht="12.75" customHeight="1">
      <c r="A77" s="325" t="s">
        <v>399</v>
      </c>
      <c r="B77" s="328" t="s">
        <v>295</v>
      </c>
      <c r="C77" s="331" t="s">
        <v>401</v>
      </c>
      <c r="D77" s="334" t="s">
        <v>402</v>
      </c>
      <c r="E77" s="107" t="s">
        <v>42</v>
      </c>
      <c r="F77" s="123">
        <f>SUM(F78:F80)</f>
        <v>8560.9000000000015</v>
      </c>
      <c r="G77" s="123">
        <f t="shared" ref="G77" si="98">SUM(G78:G80)</f>
        <v>0</v>
      </c>
      <c r="H77" s="123">
        <f>G77/F77*100</f>
        <v>0</v>
      </c>
      <c r="I77" s="132">
        <f t="shared" ref="I77:AP77" si="99">I78+I79+I80</f>
        <v>0</v>
      </c>
      <c r="J77" s="132">
        <f t="shared" si="99"/>
        <v>0</v>
      </c>
      <c r="K77" s="123">
        <v>0</v>
      </c>
      <c r="L77" s="132">
        <f t="shared" si="99"/>
        <v>2276.1</v>
      </c>
      <c r="M77" s="132">
        <f t="shared" si="99"/>
        <v>0</v>
      </c>
      <c r="N77" s="132">
        <f>M77/L77*100</f>
        <v>0</v>
      </c>
      <c r="O77" s="132">
        <f t="shared" si="99"/>
        <v>1934</v>
      </c>
      <c r="P77" s="132">
        <f t="shared" si="99"/>
        <v>0</v>
      </c>
      <c r="Q77" s="123">
        <f t="shared" si="79"/>
        <v>0</v>
      </c>
      <c r="R77" s="132">
        <f t="shared" si="99"/>
        <v>267.2</v>
      </c>
      <c r="S77" s="132">
        <f t="shared" si="99"/>
        <v>0</v>
      </c>
      <c r="T77" s="132">
        <f t="shared" si="88"/>
        <v>0</v>
      </c>
      <c r="U77" s="132">
        <f t="shared" si="99"/>
        <v>1159.2</v>
      </c>
      <c r="V77" s="132">
        <f t="shared" si="99"/>
        <v>0</v>
      </c>
      <c r="W77" s="138">
        <f t="shared" ref="W77" si="100">V77/U77*100</f>
        <v>0</v>
      </c>
      <c r="X77" s="132">
        <f t="shared" si="99"/>
        <v>1227.2</v>
      </c>
      <c r="Y77" s="132">
        <f t="shared" si="99"/>
        <v>0</v>
      </c>
      <c r="Z77" s="132">
        <f t="shared" si="99"/>
        <v>0</v>
      </c>
      <c r="AA77" s="132">
        <f t="shared" si="99"/>
        <v>1014.2</v>
      </c>
      <c r="AB77" s="132">
        <f t="shared" si="99"/>
        <v>0</v>
      </c>
      <c r="AC77" s="117">
        <f>AB77/AA77*100</f>
        <v>0</v>
      </c>
      <c r="AD77" s="132">
        <f t="shared" si="99"/>
        <v>89.2</v>
      </c>
      <c r="AE77" s="132">
        <f t="shared" si="99"/>
        <v>0</v>
      </c>
      <c r="AF77" s="104">
        <f t="shared" ref="AF77" si="101">AE77/AD77*100</f>
        <v>0</v>
      </c>
      <c r="AG77" s="132">
        <f t="shared" si="99"/>
        <v>139.19999999999999</v>
      </c>
      <c r="AH77" s="132">
        <f t="shared" si="99"/>
        <v>0</v>
      </c>
      <c r="AI77" s="104">
        <f t="shared" ref="AI77" si="102">AH77/AG77*100</f>
        <v>0</v>
      </c>
      <c r="AJ77" s="132">
        <f t="shared" si="99"/>
        <v>101.2</v>
      </c>
      <c r="AK77" s="132">
        <f t="shared" si="99"/>
        <v>0</v>
      </c>
      <c r="AL77" s="132">
        <f t="shared" si="99"/>
        <v>0</v>
      </c>
      <c r="AM77" s="132">
        <f t="shared" si="99"/>
        <v>104.2</v>
      </c>
      <c r="AN77" s="132">
        <f t="shared" si="99"/>
        <v>0</v>
      </c>
      <c r="AO77" s="132">
        <f t="shared" si="99"/>
        <v>0</v>
      </c>
      <c r="AP77" s="132">
        <f t="shared" si="99"/>
        <v>249.20000000000002</v>
      </c>
      <c r="AQ77" s="104"/>
      <c r="AR77" s="104"/>
      <c r="AS77" s="337" t="s">
        <v>320</v>
      </c>
      <c r="AT77" s="340"/>
      <c r="AU77" s="121">
        <f t="shared" si="46"/>
        <v>8106.2999999999993</v>
      </c>
      <c r="AV77" s="121">
        <f t="shared" si="47"/>
        <v>0</v>
      </c>
      <c r="AW77" s="155">
        <f t="shared" si="48"/>
        <v>0</v>
      </c>
    </row>
    <row r="78" spans="1:49" s="31" customFormat="1" ht="36">
      <c r="A78" s="326"/>
      <c r="B78" s="329"/>
      <c r="C78" s="332"/>
      <c r="D78" s="335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8"/>
      <c r="AT78" s="341"/>
      <c r="AU78" s="121"/>
      <c r="AV78" s="121"/>
      <c r="AW78" s="155"/>
    </row>
    <row r="79" spans="1:49" s="31" customFormat="1" ht="12.75">
      <c r="A79" s="326"/>
      <c r="B79" s="329"/>
      <c r="C79" s="332"/>
      <c r="D79" s="335"/>
      <c r="E79" s="108" t="s">
        <v>44</v>
      </c>
      <c r="F79" s="123">
        <f t="shared" ref="F79:F80" si="103">I79+L79+O79+R79+U79+X79+AA79+AD79+AG79+AJ79+AM79+AP79</f>
        <v>8560.9000000000015</v>
      </c>
      <c r="G79" s="123">
        <f t="shared" ref="G79:G80" si="104">J79+M79+P79+S79+V79+Y79+AB79+AE79+AH79+AK79+AN79+AQ79</f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105">M79/L79*100</f>
        <v>0</v>
      </c>
      <c r="O79" s="123">
        <f>1844+40+50</f>
        <v>1934</v>
      </c>
      <c r="P79" s="123">
        <v>0</v>
      </c>
      <c r="Q79" s="123">
        <f t="shared" si="79"/>
        <v>0</v>
      </c>
      <c r="R79" s="123">
        <f>229.2+38</f>
        <v>267.2</v>
      </c>
      <c r="S79" s="123">
        <v>0</v>
      </c>
      <c r="T79" s="138">
        <f t="shared" si="88"/>
        <v>0</v>
      </c>
      <c r="U79" s="117">
        <f>1129.2+30</f>
        <v>1159.2</v>
      </c>
      <c r="V79" s="117">
        <v>0</v>
      </c>
      <c r="W79" s="138">
        <f t="shared" ref="W79" si="106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107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8"/>
      <c r="AT79" s="341"/>
      <c r="AU79" s="121">
        <f t="shared" si="46"/>
        <v>8106.2999999999993</v>
      </c>
      <c r="AV79" s="121">
        <f t="shared" si="47"/>
        <v>0</v>
      </c>
      <c r="AW79" s="155">
        <f t="shared" si="48"/>
        <v>0</v>
      </c>
    </row>
    <row r="80" spans="1:49" s="31" customFormat="1" ht="24">
      <c r="A80" s="327"/>
      <c r="B80" s="330"/>
      <c r="C80" s="333"/>
      <c r="D80" s="336"/>
      <c r="E80" s="109" t="s">
        <v>257</v>
      </c>
      <c r="F80" s="123">
        <f t="shared" si="103"/>
        <v>0</v>
      </c>
      <c r="G80" s="123">
        <f t="shared" si="104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39"/>
      <c r="AT80" s="342"/>
      <c r="AU80" s="121"/>
      <c r="AV80" s="121"/>
      <c r="AW80" s="155"/>
    </row>
    <row r="81" spans="1:48" s="100" customFormat="1" ht="12.75" customHeight="1">
      <c r="A81" s="307" t="s">
        <v>256</v>
      </c>
      <c r="B81" s="308"/>
      <c r="C81" s="308"/>
      <c r="D81" s="309"/>
      <c r="E81" s="110" t="s">
        <v>42</v>
      </c>
      <c r="F81" s="106">
        <f>F82+F83+F84</f>
        <v>433024.19999999995</v>
      </c>
      <c r="G81" s="106">
        <f t="shared" ref="G81:AP81" si="108">G82+G83+G84</f>
        <v>0</v>
      </c>
      <c r="H81" s="106">
        <f>G81/F81*100</f>
        <v>0</v>
      </c>
      <c r="I81" s="106">
        <f t="shared" si="108"/>
        <v>14819.3</v>
      </c>
      <c r="J81" s="106">
        <f t="shared" si="108"/>
        <v>0</v>
      </c>
      <c r="K81" s="106">
        <f>J81/I81*100</f>
        <v>0</v>
      </c>
      <c r="L81" s="106">
        <f t="shared" si="108"/>
        <v>45743.000000000007</v>
      </c>
      <c r="M81" s="106">
        <f t="shared" si="108"/>
        <v>0</v>
      </c>
      <c r="N81" s="106">
        <f>M81/L81*100</f>
        <v>0</v>
      </c>
      <c r="O81" s="106">
        <f t="shared" si="108"/>
        <v>37909.200000000004</v>
      </c>
      <c r="P81" s="106">
        <f t="shared" si="108"/>
        <v>0</v>
      </c>
      <c r="Q81" s="106">
        <f>P81/O81*100</f>
        <v>0</v>
      </c>
      <c r="R81" s="106">
        <f t="shared" si="108"/>
        <v>43738.3</v>
      </c>
      <c r="S81" s="106">
        <f t="shared" si="108"/>
        <v>0</v>
      </c>
      <c r="T81" s="106">
        <f>S81/R81*100</f>
        <v>0</v>
      </c>
      <c r="U81" s="106">
        <f t="shared" si="108"/>
        <v>35345.399999999994</v>
      </c>
      <c r="V81" s="106">
        <f t="shared" si="108"/>
        <v>0</v>
      </c>
      <c r="W81" s="106">
        <f t="shared" si="108"/>
        <v>0</v>
      </c>
      <c r="X81" s="106">
        <f t="shared" si="108"/>
        <v>38689.799999999996</v>
      </c>
      <c r="Y81" s="106">
        <f t="shared" si="108"/>
        <v>0</v>
      </c>
      <c r="Z81" s="106" t="e">
        <f t="shared" si="108"/>
        <v>#REF!</v>
      </c>
      <c r="AA81" s="106">
        <f t="shared" si="108"/>
        <v>50633.4</v>
      </c>
      <c r="AB81" s="106">
        <f t="shared" si="108"/>
        <v>0</v>
      </c>
      <c r="AC81" s="106" t="e">
        <f t="shared" si="108"/>
        <v>#REF!</v>
      </c>
      <c r="AD81" s="106">
        <f t="shared" si="108"/>
        <v>36461.199999999997</v>
      </c>
      <c r="AE81" s="106">
        <f t="shared" si="108"/>
        <v>0</v>
      </c>
      <c r="AF81" s="103">
        <f t="shared" ref="AF81:AF84" si="109">AE81/AD81*100</f>
        <v>0</v>
      </c>
      <c r="AG81" s="106">
        <f t="shared" si="108"/>
        <v>28451.69999999999</v>
      </c>
      <c r="AH81" s="106">
        <f t="shared" si="108"/>
        <v>0</v>
      </c>
      <c r="AI81" s="106" t="e">
        <f t="shared" si="108"/>
        <v>#REF!</v>
      </c>
      <c r="AJ81" s="106">
        <f t="shared" si="108"/>
        <v>24958.799999999999</v>
      </c>
      <c r="AK81" s="106">
        <f t="shared" si="108"/>
        <v>0</v>
      </c>
      <c r="AL81" s="106" t="e">
        <f t="shared" si="108"/>
        <v>#REF!</v>
      </c>
      <c r="AM81" s="106">
        <f t="shared" si="108"/>
        <v>25565.599999999995</v>
      </c>
      <c r="AN81" s="106">
        <f t="shared" si="108"/>
        <v>0</v>
      </c>
      <c r="AO81" s="106" t="e">
        <f t="shared" si="108"/>
        <v>#REF!</v>
      </c>
      <c r="AP81" s="106">
        <f t="shared" si="108"/>
        <v>50708.5</v>
      </c>
      <c r="AQ81" s="103">
        <f t="shared" ref="AQ81:AR81" si="110">SUM(AQ82:AQ84)</f>
        <v>0</v>
      </c>
      <c r="AR81" s="103" t="e">
        <f t="shared" si="110"/>
        <v>#REF!</v>
      </c>
      <c r="AS81" s="316"/>
      <c r="AT81" s="319"/>
      <c r="AU81" s="121"/>
      <c r="AV81" s="127"/>
    </row>
    <row r="82" spans="1:48" s="100" customFormat="1" ht="36">
      <c r="A82" s="310"/>
      <c r="B82" s="311"/>
      <c r="C82" s="311"/>
      <c r="D82" s="312"/>
      <c r="E82" s="111" t="s">
        <v>3</v>
      </c>
      <c r="F82" s="106">
        <f t="shared" ref="F82:G84" si="111">F10+F34+F49+F63</f>
        <v>124591.59999999998</v>
      </c>
      <c r="G82" s="106">
        <f t="shared" si="111"/>
        <v>0</v>
      </c>
      <c r="H82" s="106">
        <f>G82/F82*100</f>
        <v>0</v>
      </c>
      <c r="I82" s="106">
        <f t="shared" ref="I82:J84" si="112">I10+I34+I49+I63</f>
        <v>949.6</v>
      </c>
      <c r="J82" s="106">
        <f t="shared" si="112"/>
        <v>0</v>
      </c>
      <c r="K82" s="106">
        <f t="shared" ref="K82:K84" si="113">J82/I82*100</f>
        <v>0</v>
      </c>
      <c r="L82" s="106">
        <f t="shared" ref="L82:M84" si="114">L10+L34+L49+L63</f>
        <v>8876.4</v>
      </c>
      <c r="M82" s="106">
        <f t="shared" si="114"/>
        <v>0</v>
      </c>
      <c r="N82" s="106">
        <f t="shared" ref="N82:N84" si="115">M82/L82*100</f>
        <v>0</v>
      </c>
      <c r="O82" s="106">
        <f t="shared" ref="O82:P84" si="116">O10+O34+O49+O63</f>
        <v>9349.1999999999989</v>
      </c>
      <c r="P82" s="106">
        <f t="shared" si="116"/>
        <v>0</v>
      </c>
      <c r="Q82" s="106">
        <f t="shared" ref="Q82:Q84" si="117">P82/O82*100</f>
        <v>0</v>
      </c>
      <c r="R82" s="106">
        <f t="shared" ref="R82:S84" si="118">R10+R34+R49+R63</f>
        <v>10145.4</v>
      </c>
      <c r="S82" s="106">
        <f t="shared" si="118"/>
        <v>0</v>
      </c>
      <c r="T82" s="106">
        <f t="shared" ref="T82:T84" si="119">S82/R82*100</f>
        <v>0</v>
      </c>
      <c r="U82" s="106">
        <f t="shared" ref="U82:AE82" si="120">U10+U34+U49+U63</f>
        <v>8496.3999999999978</v>
      </c>
      <c r="V82" s="106">
        <f t="shared" si="120"/>
        <v>0</v>
      </c>
      <c r="W82" s="106">
        <f t="shared" si="120"/>
        <v>0</v>
      </c>
      <c r="X82" s="106">
        <f t="shared" si="120"/>
        <v>10177.699999999999</v>
      </c>
      <c r="Y82" s="106">
        <f t="shared" si="120"/>
        <v>0</v>
      </c>
      <c r="Z82" s="106" t="e">
        <f t="shared" si="120"/>
        <v>#REF!</v>
      </c>
      <c r="AA82" s="106">
        <f t="shared" si="120"/>
        <v>11495.900000000001</v>
      </c>
      <c r="AB82" s="106">
        <f t="shared" si="120"/>
        <v>0</v>
      </c>
      <c r="AC82" s="106" t="e">
        <f t="shared" si="120"/>
        <v>#REF!</v>
      </c>
      <c r="AD82" s="106">
        <f t="shared" si="120"/>
        <v>11156.3</v>
      </c>
      <c r="AE82" s="106">
        <f t="shared" si="120"/>
        <v>0</v>
      </c>
      <c r="AF82" s="103">
        <f t="shared" si="109"/>
        <v>0</v>
      </c>
      <c r="AG82" s="106">
        <f t="shared" ref="AG82:AR82" si="121">AG10+AG34+AG49+AG63</f>
        <v>9422.9</v>
      </c>
      <c r="AH82" s="106">
        <f t="shared" si="121"/>
        <v>0</v>
      </c>
      <c r="AI82" s="106" t="e">
        <f t="shared" si="121"/>
        <v>#REF!</v>
      </c>
      <c r="AJ82" s="106">
        <f t="shared" si="121"/>
        <v>9978.1999999999989</v>
      </c>
      <c r="AK82" s="106">
        <f t="shared" si="121"/>
        <v>0</v>
      </c>
      <c r="AL82" s="106" t="e">
        <f t="shared" si="121"/>
        <v>#REF!</v>
      </c>
      <c r="AM82" s="106">
        <f t="shared" si="121"/>
        <v>8872.0999999999985</v>
      </c>
      <c r="AN82" s="106">
        <f t="shared" si="121"/>
        <v>0</v>
      </c>
      <c r="AO82" s="106" t="e">
        <f t="shared" si="121"/>
        <v>#REF!</v>
      </c>
      <c r="AP82" s="106">
        <f t="shared" si="121"/>
        <v>25671.5</v>
      </c>
      <c r="AQ82" s="106">
        <f t="shared" si="121"/>
        <v>0</v>
      </c>
      <c r="AR82" s="106" t="e">
        <f t="shared" si="121"/>
        <v>#REF!</v>
      </c>
      <c r="AS82" s="317"/>
      <c r="AT82" s="320"/>
      <c r="AU82" s="121"/>
      <c r="AV82" s="127"/>
    </row>
    <row r="83" spans="1:48" s="100" customFormat="1" ht="24">
      <c r="A83" s="310"/>
      <c r="B83" s="311"/>
      <c r="C83" s="311"/>
      <c r="D83" s="312"/>
      <c r="E83" s="111" t="s">
        <v>44</v>
      </c>
      <c r="F83" s="106">
        <f t="shared" si="111"/>
        <v>302600.5</v>
      </c>
      <c r="G83" s="106">
        <f t="shared" si="111"/>
        <v>0</v>
      </c>
      <c r="H83" s="106">
        <f>G83/F83*100</f>
        <v>0</v>
      </c>
      <c r="I83" s="106">
        <f t="shared" si="112"/>
        <v>13607.9</v>
      </c>
      <c r="J83" s="106">
        <f t="shared" si="112"/>
        <v>0</v>
      </c>
      <c r="K83" s="106">
        <f t="shared" si="113"/>
        <v>0</v>
      </c>
      <c r="L83" s="106">
        <f t="shared" si="114"/>
        <v>36530.100000000006</v>
      </c>
      <c r="M83" s="106">
        <f t="shared" si="114"/>
        <v>0</v>
      </c>
      <c r="N83" s="106">
        <f t="shared" si="115"/>
        <v>0</v>
      </c>
      <c r="O83" s="106">
        <f t="shared" si="116"/>
        <v>27748.7</v>
      </c>
      <c r="P83" s="106">
        <f t="shared" si="116"/>
        <v>0</v>
      </c>
      <c r="Q83" s="106">
        <f t="shared" si="117"/>
        <v>0</v>
      </c>
      <c r="R83" s="106">
        <f t="shared" si="118"/>
        <v>32852.300000000003</v>
      </c>
      <c r="S83" s="106">
        <f t="shared" si="118"/>
        <v>0</v>
      </c>
      <c r="T83" s="106">
        <f t="shared" si="119"/>
        <v>0</v>
      </c>
      <c r="U83" s="106">
        <f t="shared" ref="U83:AE83" si="122">U11+U35+U50+U64</f>
        <v>26369.299999999996</v>
      </c>
      <c r="V83" s="106">
        <f t="shared" si="122"/>
        <v>0</v>
      </c>
      <c r="W83" s="106">
        <f t="shared" si="122"/>
        <v>0</v>
      </c>
      <c r="X83" s="106">
        <f t="shared" si="122"/>
        <v>28159.299999999992</v>
      </c>
      <c r="Y83" s="106">
        <f t="shared" si="122"/>
        <v>0</v>
      </c>
      <c r="Z83" s="106" t="e">
        <f t="shared" si="122"/>
        <v>#REF!</v>
      </c>
      <c r="AA83" s="106">
        <f t="shared" si="122"/>
        <v>38312</v>
      </c>
      <c r="AB83" s="106">
        <f t="shared" si="122"/>
        <v>0</v>
      </c>
      <c r="AC83" s="106" t="e">
        <f t="shared" si="122"/>
        <v>#REF!</v>
      </c>
      <c r="AD83" s="106">
        <f t="shared" si="122"/>
        <v>24785.899999999998</v>
      </c>
      <c r="AE83" s="106">
        <f t="shared" si="122"/>
        <v>0</v>
      </c>
      <c r="AF83" s="106">
        <f t="shared" si="109"/>
        <v>0</v>
      </c>
      <c r="AG83" s="106">
        <f t="shared" ref="AG83:AR83" si="123">AG11+AG35+AG50+AG64</f>
        <v>18727.199999999993</v>
      </c>
      <c r="AH83" s="106">
        <f t="shared" si="123"/>
        <v>0</v>
      </c>
      <c r="AI83" s="106" t="e">
        <f t="shared" si="123"/>
        <v>#REF!</v>
      </c>
      <c r="AJ83" s="106">
        <f t="shared" si="123"/>
        <v>14416.000000000002</v>
      </c>
      <c r="AK83" s="106">
        <f t="shared" si="123"/>
        <v>0</v>
      </c>
      <c r="AL83" s="106" t="e">
        <f t="shared" si="123"/>
        <v>#REF!</v>
      </c>
      <c r="AM83" s="106">
        <f t="shared" si="123"/>
        <v>16251.799999999997</v>
      </c>
      <c r="AN83" s="106">
        <f t="shared" si="123"/>
        <v>0</v>
      </c>
      <c r="AO83" s="106" t="e">
        <f t="shared" si="123"/>
        <v>#REF!</v>
      </c>
      <c r="AP83" s="106">
        <f t="shared" si="123"/>
        <v>24839.999999999996</v>
      </c>
      <c r="AQ83" s="106">
        <f t="shared" si="123"/>
        <v>0</v>
      </c>
      <c r="AR83" s="106" t="e">
        <f t="shared" si="123"/>
        <v>#REF!</v>
      </c>
      <c r="AS83" s="317"/>
      <c r="AT83" s="320"/>
      <c r="AU83" s="121"/>
      <c r="AV83" s="127"/>
    </row>
    <row r="84" spans="1:48" s="100" customFormat="1" ht="24">
      <c r="A84" s="313"/>
      <c r="B84" s="314"/>
      <c r="C84" s="314"/>
      <c r="D84" s="315"/>
      <c r="E84" s="110" t="s">
        <v>257</v>
      </c>
      <c r="F84" s="106">
        <f t="shared" si="111"/>
        <v>5832.1</v>
      </c>
      <c r="G84" s="106">
        <f t="shared" si="111"/>
        <v>0</v>
      </c>
      <c r="H84" s="106">
        <f>G84/F84*100</f>
        <v>0</v>
      </c>
      <c r="I84" s="106">
        <f t="shared" si="112"/>
        <v>261.8</v>
      </c>
      <c r="J84" s="106">
        <f t="shared" si="112"/>
        <v>0</v>
      </c>
      <c r="K84" s="106">
        <f t="shared" si="113"/>
        <v>0</v>
      </c>
      <c r="L84" s="106">
        <f t="shared" si="114"/>
        <v>336.5</v>
      </c>
      <c r="M84" s="106">
        <f t="shared" si="114"/>
        <v>0</v>
      </c>
      <c r="N84" s="106">
        <f t="shared" si="115"/>
        <v>0</v>
      </c>
      <c r="O84" s="106">
        <f t="shared" si="116"/>
        <v>811.3</v>
      </c>
      <c r="P84" s="106">
        <f t="shared" si="116"/>
        <v>0</v>
      </c>
      <c r="Q84" s="106">
        <f t="shared" si="117"/>
        <v>0</v>
      </c>
      <c r="R84" s="106">
        <f t="shared" si="118"/>
        <v>740.6</v>
      </c>
      <c r="S84" s="106">
        <f t="shared" si="118"/>
        <v>0</v>
      </c>
      <c r="T84" s="106">
        <f t="shared" si="119"/>
        <v>0</v>
      </c>
      <c r="U84" s="106">
        <f t="shared" ref="U84:AE84" si="124">U12+U36+U51+U65</f>
        <v>479.7</v>
      </c>
      <c r="V84" s="106">
        <f t="shared" si="124"/>
        <v>0</v>
      </c>
      <c r="W84" s="106">
        <f t="shared" si="124"/>
        <v>0</v>
      </c>
      <c r="X84" s="106">
        <f t="shared" si="124"/>
        <v>352.8</v>
      </c>
      <c r="Y84" s="106">
        <f t="shared" si="124"/>
        <v>0</v>
      </c>
      <c r="Z84" s="106" t="e">
        <f t="shared" si="124"/>
        <v>#REF!</v>
      </c>
      <c r="AA84" s="106">
        <f t="shared" si="124"/>
        <v>825.5</v>
      </c>
      <c r="AB84" s="106">
        <f t="shared" si="124"/>
        <v>0</v>
      </c>
      <c r="AC84" s="106" t="e">
        <f t="shared" si="124"/>
        <v>#REF!</v>
      </c>
      <c r="AD84" s="106">
        <f t="shared" si="124"/>
        <v>519</v>
      </c>
      <c r="AE84" s="106">
        <f t="shared" si="124"/>
        <v>0</v>
      </c>
      <c r="AF84" s="106">
        <f t="shared" si="109"/>
        <v>0</v>
      </c>
      <c r="AG84" s="106">
        <f t="shared" ref="AG84:AR84" si="125">AG12+AG36+AG51+AG65</f>
        <v>301.60000000000002</v>
      </c>
      <c r="AH84" s="106">
        <f t="shared" si="125"/>
        <v>0</v>
      </c>
      <c r="AI84" s="106" t="e">
        <f t="shared" si="125"/>
        <v>#REF!</v>
      </c>
      <c r="AJ84" s="106">
        <f t="shared" si="125"/>
        <v>564.6</v>
      </c>
      <c r="AK84" s="106">
        <f t="shared" si="125"/>
        <v>0</v>
      </c>
      <c r="AL84" s="106" t="e">
        <f t="shared" si="125"/>
        <v>#REF!</v>
      </c>
      <c r="AM84" s="106">
        <f t="shared" si="125"/>
        <v>441.7</v>
      </c>
      <c r="AN84" s="106">
        <f t="shared" si="125"/>
        <v>0</v>
      </c>
      <c r="AO84" s="106" t="e">
        <f t="shared" si="125"/>
        <v>#REF!</v>
      </c>
      <c r="AP84" s="106">
        <f t="shared" si="125"/>
        <v>197</v>
      </c>
      <c r="AQ84" s="106">
        <f t="shared" si="125"/>
        <v>0</v>
      </c>
      <c r="AR84" s="106" t="e">
        <f t="shared" si="125"/>
        <v>#REF!</v>
      </c>
      <c r="AS84" s="318"/>
      <c r="AT84" s="321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22"/>
      <c r="C86" s="322"/>
      <c r="D86" s="322"/>
      <c r="E86" s="323"/>
      <c r="F86" s="324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6" t="s">
        <v>282</v>
      </c>
      <c r="B88" s="306"/>
      <c r="C88" s="306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6" t="s">
        <v>283</v>
      </c>
      <c r="B89" s="306"/>
      <c r="C89" s="306"/>
      <c r="D89" s="306"/>
      <c r="E89" s="306"/>
      <c r="F89" s="306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6"/>
      <c r="B90" s="306"/>
      <c r="C90" s="306"/>
      <c r="D90" s="306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6"/>
      <c r="B92" s="306"/>
      <c r="C92" s="306"/>
      <c r="D92" s="306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6" t="s">
        <v>290</v>
      </c>
      <c r="B96" s="306"/>
      <c r="C96" s="306"/>
      <c r="D96" s="306"/>
      <c r="AS96" s="131"/>
    </row>
    <row r="97" spans="1:45">
      <c r="A97" s="306" t="s">
        <v>291</v>
      </c>
      <c r="B97" s="306"/>
      <c r="C97" s="306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</mergeCells>
  <conditionalFormatting sqref="H91 H69:H80 H56:H59 H48:H51 H42:H45 H30:H31 H27:H28 H24 H14 H19">
    <cfRule type="cellIs" dxfId="3" priority="2" stopIfTrue="1" operator="notEqual">
      <formula>#REF!</formula>
    </cfRule>
  </conditionalFormatting>
  <pageMargins left="0.70866141732283472" right="0.11811023622047245" top="0.31496062992125984" bottom="0.23622047244094491" header="0.31496062992125984" footer="0.31496062992125984"/>
  <pageSetup paperSize="9" scale="58" fitToHeight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U9" activePane="bottomRight" state="frozen"/>
      <selection pane="topRight" activeCell="E1" sqref="E1"/>
      <selection pane="bottomLeft" activeCell="A9" sqref="A9"/>
      <selection pane="bottomRight" activeCell="R80" sqref="R80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400" t="s">
        <v>403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173"/>
    </row>
    <row r="3" spans="1:49" s="118" customFormat="1" ht="15.75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174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25.5" customHeight="1">
      <c r="A5" s="399" t="s">
        <v>0</v>
      </c>
      <c r="B5" s="399" t="s">
        <v>261</v>
      </c>
      <c r="C5" s="402" t="s">
        <v>47</v>
      </c>
      <c r="D5" s="402" t="s">
        <v>262</v>
      </c>
      <c r="E5" s="399" t="s">
        <v>1</v>
      </c>
      <c r="F5" s="399" t="s">
        <v>263</v>
      </c>
      <c r="G5" s="399"/>
      <c r="H5" s="399"/>
      <c r="I5" s="399" t="s">
        <v>18</v>
      </c>
      <c r="J5" s="399"/>
      <c r="K5" s="399"/>
      <c r="L5" s="399" t="s">
        <v>19</v>
      </c>
      <c r="M5" s="399"/>
      <c r="N5" s="399"/>
      <c r="O5" s="399" t="s">
        <v>23</v>
      </c>
      <c r="P5" s="399"/>
      <c r="Q5" s="399"/>
      <c r="R5" s="399" t="s">
        <v>25</v>
      </c>
      <c r="S5" s="399"/>
      <c r="T5" s="399"/>
      <c r="U5" s="399" t="s">
        <v>26</v>
      </c>
      <c r="V5" s="399"/>
      <c r="W5" s="399"/>
      <c r="X5" s="399" t="s">
        <v>27</v>
      </c>
      <c r="Y5" s="399"/>
      <c r="Z5" s="399"/>
      <c r="AA5" s="399" t="s">
        <v>29</v>
      </c>
      <c r="AB5" s="399"/>
      <c r="AC5" s="399"/>
      <c r="AD5" s="399" t="s">
        <v>30</v>
      </c>
      <c r="AE5" s="399"/>
      <c r="AF5" s="399"/>
      <c r="AG5" s="399" t="s">
        <v>31</v>
      </c>
      <c r="AH5" s="399"/>
      <c r="AI5" s="399"/>
      <c r="AJ5" s="399" t="s">
        <v>33</v>
      </c>
      <c r="AK5" s="399"/>
      <c r="AL5" s="399"/>
      <c r="AM5" s="399" t="s">
        <v>34</v>
      </c>
      <c r="AN5" s="399"/>
      <c r="AO5" s="399"/>
      <c r="AP5" s="399" t="s">
        <v>35</v>
      </c>
      <c r="AQ5" s="399"/>
      <c r="AR5" s="399"/>
      <c r="AS5" s="397" t="s">
        <v>273</v>
      </c>
      <c r="AT5" s="398" t="s">
        <v>274</v>
      </c>
      <c r="AU5" s="32"/>
      <c r="AV5" s="32"/>
    </row>
    <row r="6" spans="1:49" s="31" customFormat="1" ht="25.5">
      <c r="A6" s="399"/>
      <c r="B6" s="399"/>
      <c r="C6" s="403"/>
      <c r="D6" s="403"/>
      <c r="E6" s="399"/>
      <c r="F6" s="175" t="s">
        <v>264</v>
      </c>
      <c r="G6" s="175" t="s">
        <v>265</v>
      </c>
      <c r="H6" s="128" t="s">
        <v>266</v>
      </c>
      <c r="I6" s="175" t="s">
        <v>264</v>
      </c>
      <c r="J6" s="175" t="s">
        <v>265</v>
      </c>
      <c r="K6" s="128" t="s">
        <v>266</v>
      </c>
      <c r="L6" s="175" t="s">
        <v>264</v>
      </c>
      <c r="M6" s="175" t="s">
        <v>265</v>
      </c>
      <c r="N6" s="128" t="s">
        <v>266</v>
      </c>
      <c r="O6" s="175" t="s">
        <v>264</v>
      </c>
      <c r="P6" s="175" t="s">
        <v>265</v>
      </c>
      <c r="Q6" s="128" t="s">
        <v>266</v>
      </c>
      <c r="R6" s="175" t="s">
        <v>264</v>
      </c>
      <c r="S6" s="175" t="s">
        <v>265</v>
      </c>
      <c r="T6" s="128" t="s">
        <v>266</v>
      </c>
      <c r="U6" s="175" t="s">
        <v>264</v>
      </c>
      <c r="V6" s="175" t="s">
        <v>265</v>
      </c>
      <c r="W6" s="128" t="s">
        <v>266</v>
      </c>
      <c r="X6" s="175" t="s">
        <v>264</v>
      </c>
      <c r="Y6" s="175" t="s">
        <v>265</v>
      </c>
      <c r="Z6" s="128" t="s">
        <v>266</v>
      </c>
      <c r="AA6" s="175" t="s">
        <v>264</v>
      </c>
      <c r="AB6" s="175" t="s">
        <v>265</v>
      </c>
      <c r="AC6" s="128" t="s">
        <v>266</v>
      </c>
      <c r="AD6" s="175" t="s">
        <v>264</v>
      </c>
      <c r="AE6" s="175" t="s">
        <v>265</v>
      </c>
      <c r="AF6" s="128" t="s">
        <v>266</v>
      </c>
      <c r="AG6" s="175" t="s">
        <v>264</v>
      </c>
      <c r="AH6" s="175" t="s">
        <v>265</v>
      </c>
      <c r="AI6" s="128" t="s">
        <v>266</v>
      </c>
      <c r="AJ6" s="175" t="s">
        <v>264</v>
      </c>
      <c r="AK6" s="175" t="s">
        <v>265</v>
      </c>
      <c r="AL6" s="128" t="s">
        <v>266</v>
      </c>
      <c r="AM6" s="175" t="s">
        <v>264</v>
      </c>
      <c r="AN6" s="175" t="s">
        <v>265</v>
      </c>
      <c r="AO6" s="128" t="s">
        <v>266</v>
      </c>
      <c r="AP6" s="175" t="s">
        <v>264</v>
      </c>
      <c r="AQ6" s="175" t="s">
        <v>265</v>
      </c>
      <c r="AR6" s="128" t="s">
        <v>266</v>
      </c>
      <c r="AS6" s="397"/>
      <c r="AT6" s="398"/>
    </row>
    <row r="7" spans="1:49" s="31" customFormat="1" ht="15.75">
      <c r="A7" s="349" t="s">
        <v>322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1"/>
    </row>
    <row r="8" spans="1:49" s="31" customFormat="1" ht="15.75">
      <c r="A8" s="349" t="s">
        <v>294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1"/>
    </row>
    <row r="9" spans="1:49" s="100" customFormat="1" ht="12.75">
      <c r="A9" s="385" t="s">
        <v>267</v>
      </c>
      <c r="B9" s="386"/>
      <c r="C9" s="386"/>
      <c r="D9" s="387"/>
      <c r="E9" s="129" t="s">
        <v>42</v>
      </c>
      <c r="F9" s="106">
        <f>F10+F11+F12</f>
        <v>387855.89999999991</v>
      </c>
      <c r="G9" s="106">
        <f t="shared" ref="G9:AP9" si="0">G10+G11+G12</f>
        <v>24711</v>
      </c>
      <c r="H9" s="106">
        <f>G9/F9*100</f>
        <v>6.3711806369324293</v>
      </c>
      <c r="I9" s="106">
        <f t="shared" si="0"/>
        <v>14386.5</v>
      </c>
      <c r="J9" s="106">
        <f t="shared" si="0"/>
        <v>24711</v>
      </c>
      <c r="K9" s="106">
        <f>J9/I9*100</f>
        <v>171.76519653842143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33490.6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34470.699999999997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43652.299999999996</v>
      </c>
      <c r="AQ9" s="106" t="e">
        <f>#REF!+#REF!</f>
        <v>#REF!</v>
      </c>
      <c r="AR9" s="106" t="e">
        <f>#REF!+#REF!</f>
        <v>#REF!</v>
      </c>
      <c r="AS9" s="316"/>
      <c r="AT9" s="394"/>
      <c r="AU9" s="127"/>
    </row>
    <row r="10" spans="1:49" s="100" customFormat="1" ht="36">
      <c r="A10" s="388"/>
      <c r="B10" s="389"/>
      <c r="C10" s="389"/>
      <c r="D10" s="390"/>
      <c r="E10" s="111" t="s">
        <v>3</v>
      </c>
      <c r="F10" s="106">
        <f>F14+F18+F23+F26+F30</f>
        <v>93990.699999999983</v>
      </c>
      <c r="G10" s="106">
        <f>G14+G18+G23+G26+G30</f>
        <v>924.5</v>
      </c>
      <c r="H10" s="106">
        <f>G10/F10*100</f>
        <v>0.98360795270170365</v>
      </c>
      <c r="I10" s="106">
        <f>I14+I18+I23+I26+I30</f>
        <v>949.99999999999989</v>
      </c>
      <c r="J10" s="106">
        <f>J14+J18+J23+J26+J30</f>
        <v>924.5</v>
      </c>
      <c r="K10" s="106">
        <f t="shared" ref="K10:K12" si="1">J10/I10*100</f>
        <v>97.31578947368422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7444.7999999999993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19660.599999999999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7"/>
      <c r="AT10" s="395"/>
      <c r="AU10" s="127"/>
    </row>
    <row r="11" spans="1:49" s="100" customFormat="1" ht="24">
      <c r="A11" s="388"/>
      <c r="B11" s="389"/>
      <c r="C11" s="389"/>
      <c r="D11" s="390"/>
      <c r="E11" s="111" t="s">
        <v>44</v>
      </c>
      <c r="F11" s="106">
        <f>F15+F19+F24+F27+F31</f>
        <v>288033.09999999998</v>
      </c>
      <c r="G11" s="106">
        <f>G15+G19+G24+G27+G31</f>
        <v>23786.5</v>
      </c>
      <c r="H11" s="106">
        <f>G11/F11*100</f>
        <v>8.2582522633683428</v>
      </c>
      <c r="I11" s="106">
        <f>I15+I19+I24+I27+I31</f>
        <v>13174.7</v>
      </c>
      <c r="J11" s="106">
        <f>J15+J19+J24+J27+J31</f>
        <v>23786.5</v>
      </c>
      <c r="K11" s="106">
        <f t="shared" si="1"/>
        <v>180.54680561986228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26518.199999999997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7"/>
      <c r="AT11" s="395"/>
      <c r="AU11" s="127"/>
    </row>
    <row r="12" spans="1:49" s="100" customFormat="1" ht="24">
      <c r="A12" s="391"/>
      <c r="B12" s="392"/>
      <c r="C12" s="392"/>
      <c r="D12" s="393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8"/>
      <c r="AT12" s="396"/>
      <c r="AU12" s="127"/>
    </row>
    <row r="13" spans="1:49" s="31" customFormat="1" ht="12.75">
      <c r="A13" s="364" t="s">
        <v>323</v>
      </c>
      <c r="B13" s="328" t="s">
        <v>324</v>
      </c>
      <c r="C13" s="331" t="s">
        <v>325</v>
      </c>
      <c r="D13" s="331" t="s">
        <v>326</v>
      </c>
      <c r="E13" s="107" t="s">
        <v>42</v>
      </c>
      <c r="F13" s="104">
        <f>SUM(F14:F16)</f>
        <v>300702.99999999994</v>
      </c>
      <c r="G13" s="123">
        <f t="shared" ref="G13:P13" si="7">SUM(G14:G16)</f>
        <v>18204.3</v>
      </c>
      <c r="H13" s="123">
        <f>G13/F13*100</f>
        <v>6.053913662317969</v>
      </c>
      <c r="I13" s="123">
        <f t="shared" si="7"/>
        <v>6660.1</v>
      </c>
      <c r="J13" s="123">
        <f t="shared" si="7"/>
        <v>18204.3</v>
      </c>
      <c r="K13" s="123">
        <f>J13/I13*100</f>
        <v>273.33373372772178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26037.399999999998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26537.299999999996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36594.6</v>
      </c>
      <c r="AQ13" s="123">
        <f t="shared" si="8"/>
        <v>0</v>
      </c>
      <c r="AR13" s="123">
        <f t="shared" si="8"/>
        <v>0</v>
      </c>
      <c r="AS13" s="337" t="s">
        <v>309</v>
      </c>
      <c r="AT13" s="382" t="s">
        <v>308</v>
      </c>
      <c r="AU13" s="121"/>
      <c r="AV13" s="121"/>
      <c r="AW13" s="155"/>
    </row>
    <row r="14" spans="1:49" s="31" customFormat="1" ht="36">
      <c r="A14" s="365"/>
      <c r="B14" s="329"/>
      <c r="C14" s="332"/>
      <c r="D14" s="332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826.6</v>
      </c>
      <c r="H14" s="123">
        <v>0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0</v>
      </c>
      <c r="N14" s="123">
        <v>0</v>
      </c>
      <c r="O14" s="123">
        <f>5300+79.4+1165.4-6.3+184.6</f>
        <v>6723.0999999999995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</f>
        <v>19440.599999999999</v>
      </c>
      <c r="AQ14" s="123"/>
      <c r="AR14" s="123"/>
      <c r="AS14" s="338"/>
      <c r="AT14" s="383"/>
      <c r="AU14" s="121"/>
      <c r="AV14" s="121"/>
      <c r="AW14" s="155"/>
    </row>
    <row r="15" spans="1:49" s="31" customFormat="1" ht="12.75">
      <c r="A15" s="365"/>
      <c r="B15" s="329"/>
      <c r="C15" s="332"/>
      <c r="D15" s="332"/>
      <c r="E15" s="108" t="s">
        <v>44</v>
      </c>
      <c r="F15" s="123">
        <f t="shared" ref="F15:G16" si="9">I15+L15+O15+R15+U15+X15+AA15+AD15+AG15+AJ15+AM15+AP15</f>
        <v>203427.59999999998</v>
      </c>
      <c r="G15" s="123">
        <f t="shared" si="9"/>
        <v>17377.7</v>
      </c>
      <c r="H15" s="123">
        <f>G15/F15*100</f>
        <v>8.5424495004610996</v>
      </c>
      <c r="I15" s="123">
        <f>40+428.8+4937+6.7+13+122.8</f>
        <v>5548.3</v>
      </c>
      <c r="J15" s="123">
        <v>17377.7</v>
      </c>
      <c r="K15" s="123">
        <f>J15/I15*100</f>
        <v>313.20764918984196</v>
      </c>
      <c r="L15" s="123">
        <f>517.2+2195.7+21252+496.8+361.9+645.7</f>
        <v>25469.300000000003</v>
      </c>
      <c r="M15" s="123">
        <v>0</v>
      </c>
      <c r="N15" s="123">
        <f t="shared" ref="N15:N22" si="10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1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2">S15/R15*100</f>
        <v>0</v>
      </c>
      <c r="U15" s="117">
        <f>114.6+1286.2+14324.5+500+499.1+290.4+293</f>
        <v>17307.8</v>
      </c>
      <c r="V15" s="117">
        <v>0</v>
      </c>
      <c r="W15" s="123">
        <f t="shared" ref="W15" si="13">V15/U15*100</f>
        <v>0</v>
      </c>
      <c r="X15" s="117">
        <f>334.2+1608.2+15696.6+500+535.6+174.6-0.2-122.8</f>
        <v>18726.199999999997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38"/>
      <c r="AT15" s="383"/>
      <c r="AU15" s="121"/>
      <c r="AV15" s="121"/>
      <c r="AW15" s="155"/>
    </row>
    <row r="16" spans="1:49" s="31" customFormat="1" ht="179.25" customHeight="1">
      <c r="A16" s="366"/>
      <c r="B16" s="330"/>
      <c r="C16" s="333"/>
      <c r="D16" s="333"/>
      <c r="E16" s="109" t="s">
        <v>257</v>
      </c>
      <c r="F16" s="123">
        <f t="shared" si="9"/>
        <v>5832.1</v>
      </c>
      <c r="G16" s="123">
        <f t="shared" si="9"/>
        <v>0</v>
      </c>
      <c r="H16" s="123">
        <v>0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39"/>
      <c r="AT16" s="384"/>
      <c r="AU16" s="121"/>
      <c r="AV16" s="121"/>
      <c r="AW16" s="155"/>
    </row>
    <row r="17" spans="1:49" s="31" customFormat="1" ht="12.75">
      <c r="A17" s="364" t="s">
        <v>327</v>
      </c>
      <c r="B17" s="328" t="s">
        <v>328</v>
      </c>
      <c r="C17" s="331" t="s">
        <v>329</v>
      </c>
      <c r="D17" s="334" t="s">
        <v>330</v>
      </c>
      <c r="E17" s="107" t="s">
        <v>42</v>
      </c>
      <c r="F17" s="123">
        <f>SUM(F18:F20)</f>
        <v>77800</v>
      </c>
      <c r="G17" s="123">
        <f t="shared" ref="G17:P17" si="14">SUM(G18:G20)</f>
        <v>6082.4</v>
      </c>
      <c r="H17" s="123">
        <f>G17/F17*100</f>
        <v>7.8179948586118249</v>
      </c>
      <c r="I17" s="123">
        <f t="shared" si="14"/>
        <v>7091.6</v>
      </c>
      <c r="J17" s="123">
        <f t="shared" si="14"/>
        <v>6082.4</v>
      </c>
      <c r="K17" s="123">
        <f>J17/I17*100</f>
        <v>85.769078910260021</v>
      </c>
      <c r="L17" s="123">
        <f t="shared" si="14"/>
        <v>7886.9</v>
      </c>
      <c r="M17" s="123">
        <f t="shared" si="14"/>
        <v>0</v>
      </c>
      <c r="N17" s="123">
        <f t="shared" si="10"/>
        <v>0</v>
      </c>
      <c r="O17" s="123">
        <f t="shared" si="14"/>
        <v>6038</v>
      </c>
      <c r="P17" s="123">
        <f t="shared" si="14"/>
        <v>0</v>
      </c>
      <c r="Q17" s="123">
        <f t="shared" si="11"/>
        <v>0</v>
      </c>
      <c r="R17" s="123">
        <f t="shared" ref="R17:AB17" si="15">SUM(R18:R20)</f>
        <v>6900</v>
      </c>
      <c r="S17" s="123">
        <f t="shared" si="15"/>
        <v>0</v>
      </c>
      <c r="T17" s="123">
        <f t="shared" si="12"/>
        <v>0</v>
      </c>
      <c r="U17" s="123">
        <f t="shared" si="15"/>
        <v>6826.3</v>
      </c>
      <c r="V17" s="123">
        <f t="shared" si="15"/>
        <v>0</v>
      </c>
      <c r="W17" s="123">
        <f t="shared" ref="W17" si="16">V17/U17*100</f>
        <v>0</v>
      </c>
      <c r="X17" s="123">
        <f t="shared" si="15"/>
        <v>7190.9</v>
      </c>
      <c r="Y17" s="123">
        <f t="shared" si="15"/>
        <v>0</v>
      </c>
      <c r="Z17" s="123">
        <f>Y17/X17*100</f>
        <v>0</v>
      </c>
      <c r="AA17" s="104">
        <f t="shared" si="15"/>
        <v>7431.5</v>
      </c>
      <c r="AB17" s="123">
        <f t="shared" si="15"/>
        <v>0</v>
      </c>
      <c r="AC17" s="123">
        <f>SUM(AC18:AC20)</f>
        <v>0</v>
      </c>
      <c r="AD17" s="104">
        <f t="shared" ref="AD17:AR17" si="17">SUM(AD18:AD20)</f>
        <v>6016.2</v>
      </c>
      <c r="AE17" s="104">
        <f t="shared" si="17"/>
        <v>0</v>
      </c>
      <c r="AF17" s="104">
        <f t="shared" si="6"/>
        <v>0</v>
      </c>
      <c r="AG17" s="104">
        <f t="shared" si="17"/>
        <v>5470</v>
      </c>
      <c r="AH17" s="123">
        <f t="shared" si="17"/>
        <v>0</v>
      </c>
      <c r="AI17" s="123">
        <f t="shared" si="17"/>
        <v>0</v>
      </c>
      <c r="AJ17" s="123">
        <f t="shared" si="17"/>
        <v>5540.8</v>
      </c>
      <c r="AK17" s="123">
        <f t="shared" si="17"/>
        <v>0</v>
      </c>
      <c r="AL17" s="123">
        <f t="shared" si="17"/>
        <v>0</v>
      </c>
      <c r="AM17" s="104">
        <f t="shared" si="17"/>
        <v>5036.7</v>
      </c>
      <c r="AN17" s="123">
        <f t="shared" si="17"/>
        <v>0</v>
      </c>
      <c r="AO17" s="123">
        <f t="shared" si="17"/>
        <v>0</v>
      </c>
      <c r="AP17" s="104">
        <f t="shared" si="17"/>
        <v>6371.1</v>
      </c>
      <c r="AQ17" s="123">
        <f t="shared" si="17"/>
        <v>0</v>
      </c>
      <c r="AR17" s="123">
        <f t="shared" si="17"/>
        <v>0</v>
      </c>
      <c r="AS17" s="337" t="s">
        <v>299</v>
      </c>
      <c r="AT17" s="382" t="s">
        <v>296</v>
      </c>
      <c r="AU17" s="121"/>
      <c r="AV17" s="121"/>
      <c r="AW17" s="155"/>
    </row>
    <row r="18" spans="1:49" s="31" customFormat="1" ht="36">
      <c r="A18" s="365"/>
      <c r="B18" s="329"/>
      <c r="C18" s="332"/>
      <c r="D18" s="335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8"/>
      <c r="AT18" s="383"/>
      <c r="AU18" s="121"/>
      <c r="AV18" s="121"/>
      <c r="AW18" s="155"/>
    </row>
    <row r="19" spans="1:49" s="31" customFormat="1" ht="12.75">
      <c r="A19" s="365"/>
      <c r="B19" s="329"/>
      <c r="C19" s="332"/>
      <c r="D19" s="335"/>
      <c r="E19" s="108" t="s">
        <v>44</v>
      </c>
      <c r="F19" s="123">
        <f t="shared" ref="F19:G20" si="18">I19+L19+O19+R19+U19+X19+AA19+AD19+AG19+AJ19+AM19+AP19</f>
        <v>77800</v>
      </c>
      <c r="G19" s="123">
        <f t="shared" si="18"/>
        <v>6082.4</v>
      </c>
      <c r="H19" s="123">
        <v>0</v>
      </c>
      <c r="I19" s="123">
        <v>7091.6</v>
      </c>
      <c r="J19" s="123">
        <v>6082.4</v>
      </c>
      <c r="K19" s="123">
        <f t="shared" ref="K19" si="19">J19/I19*100</f>
        <v>85.769078910260021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38"/>
      <c r="AT19" s="383"/>
      <c r="AU19" s="121"/>
      <c r="AV19" s="121"/>
      <c r="AW19" s="155"/>
    </row>
    <row r="20" spans="1:49" s="31" customFormat="1" ht="24">
      <c r="A20" s="366"/>
      <c r="B20" s="330"/>
      <c r="C20" s="333"/>
      <c r="D20" s="336"/>
      <c r="E20" s="109" t="s">
        <v>257</v>
      </c>
      <c r="F20" s="123">
        <f t="shared" si="18"/>
        <v>0</v>
      </c>
      <c r="G20" s="123">
        <f t="shared" si="18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39"/>
      <c r="AT20" s="384"/>
      <c r="AU20" s="121"/>
      <c r="AV20" s="121"/>
      <c r="AW20" s="155"/>
    </row>
    <row r="21" spans="1:49" s="31" customFormat="1" ht="409.5">
      <c r="A21" s="176" t="s">
        <v>331</v>
      </c>
      <c r="B21" s="177" t="s">
        <v>332</v>
      </c>
      <c r="C21" s="178" t="s">
        <v>333</v>
      </c>
      <c r="D21" s="180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79" t="s">
        <v>319</v>
      </c>
      <c r="AT21" s="181" t="s">
        <v>297</v>
      </c>
      <c r="AU21" s="121"/>
      <c r="AV21" s="121"/>
      <c r="AW21" s="155"/>
    </row>
    <row r="22" spans="1:49" s="31" customFormat="1" ht="12.75">
      <c r="A22" s="364" t="s">
        <v>334</v>
      </c>
      <c r="B22" s="328" t="s">
        <v>335</v>
      </c>
      <c r="C22" s="331" t="s">
        <v>268</v>
      </c>
      <c r="D22" s="334" t="s">
        <v>336</v>
      </c>
      <c r="E22" s="107" t="s">
        <v>42</v>
      </c>
      <c r="F22" s="123">
        <f>SUM(F23:F24)</f>
        <v>3987.3</v>
      </c>
      <c r="G22" s="123">
        <f>SUM(G23:G24)</f>
        <v>326.39999999999998</v>
      </c>
      <c r="H22" s="123">
        <f>G22/F22*100</f>
        <v>8.1859905199006828</v>
      </c>
      <c r="I22" s="123">
        <f>SUM(I23:I24)</f>
        <v>326</v>
      </c>
      <c r="J22" s="123">
        <f>SUM(J23:J24)</f>
        <v>326.39999999999998</v>
      </c>
      <c r="K22" s="123">
        <f t="shared" ref="K22:K26" si="20">J22/I22*100</f>
        <v>100.12269938650307</v>
      </c>
      <c r="L22" s="123">
        <f>SUM(L23:L24)</f>
        <v>326</v>
      </c>
      <c r="M22" s="123">
        <f>SUM(M23:M24)</f>
        <v>0</v>
      </c>
      <c r="N22" s="123">
        <f t="shared" si="10"/>
        <v>0</v>
      </c>
      <c r="O22" s="123">
        <f>SUM(O23:O24)</f>
        <v>326</v>
      </c>
      <c r="P22" s="123">
        <f>SUM(P23:P24)</f>
        <v>0</v>
      </c>
      <c r="Q22" s="123">
        <f t="shared" si="11"/>
        <v>0</v>
      </c>
      <c r="R22" s="123">
        <f>SUM(R23:R24)</f>
        <v>326</v>
      </c>
      <c r="S22" s="123">
        <f>SUM(S23:S24)</f>
        <v>0</v>
      </c>
      <c r="T22" s="123">
        <f t="shared" si="12"/>
        <v>0</v>
      </c>
      <c r="U22" s="123">
        <f>SUM(U23:U24)</f>
        <v>326</v>
      </c>
      <c r="V22" s="123">
        <f>SUM(V23:V24)</f>
        <v>0</v>
      </c>
      <c r="W22" s="123">
        <f t="shared" ref="W22" si="21">V22/U22*100</f>
        <v>0</v>
      </c>
      <c r="X22" s="123">
        <f t="shared" ref="X22:AE22" si="22">SUM(X23:X24)</f>
        <v>326</v>
      </c>
      <c r="Y22" s="123">
        <f t="shared" si="22"/>
        <v>0</v>
      </c>
      <c r="Z22" s="123">
        <f t="shared" si="22"/>
        <v>0</v>
      </c>
      <c r="AA22" s="104">
        <f t="shared" si="22"/>
        <v>326</v>
      </c>
      <c r="AB22" s="123">
        <f t="shared" si="22"/>
        <v>0</v>
      </c>
      <c r="AC22" s="123">
        <f t="shared" si="22"/>
        <v>0</v>
      </c>
      <c r="AD22" s="104">
        <f t="shared" si="22"/>
        <v>326</v>
      </c>
      <c r="AE22" s="104">
        <f t="shared" si="22"/>
        <v>0</v>
      </c>
      <c r="AF22" s="104">
        <f t="shared" si="6"/>
        <v>0</v>
      </c>
      <c r="AG22" s="104">
        <f t="shared" ref="AG22:AR22" si="23">SUM(AG23:AG24)</f>
        <v>326</v>
      </c>
      <c r="AH22" s="123">
        <f t="shared" si="23"/>
        <v>0</v>
      </c>
      <c r="AI22" s="123">
        <f t="shared" si="23"/>
        <v>0</v>
      </c>
      <c r="AJ22" s="123">
        <f t="shared" si="23"/>
        <v>326</v>
      </c>
      <c r="AK22" s="123">
        <f t="shared" si="23"/>
        <v>0</v>
      </c>
      <c r="AL22" s="123">
        <f t="shared" si="23"/>
        <v>0</v>
      </c>
      <c r="AM22" s="104">
        <f t="shared" si="23"/>
        <v>326</v>
      </c>
      <c r="AN22" s="123">
        <f t="shared" si="23"/>
        <v>0</v>
      </c>
      <c r="AO22" s="123">
        <f t="shared" si="23"/>
        <v>0</v>
      </c>
      <c r="AP22" s="104">
        <f t="shared" si="23"/>
        <v>401.3</v>
      </c>
      <c r="AQ22" s="123">
        <f t="shared" si="23"/>
        <v>0</v>
      </c>
      <c r="AR22" s="123">
        <f t="shared" si="23"/>
        <v>0</v>
      </c>
      <c r="AS22" s="337" t="s">
        <v>319</v>
      </c>
      <c r="AT22" s="340" t="s">
        <v>297</v>
      </c>
      <c r="AU22" s="121"/>
      <c r="AV22" s="121"/>
      <c r="AW22" s="155"/>
    </row>
    <row r="23" spans="1:49" s="31" customFormat="1" ht="36">
      <c r="A23" s="365"/>
      <c r="B23" s="329"/>
      <c r="C23" s="332"/>
      <c r="D23" s="335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8"/>
      <c r="AT23" s="341"/>
      <c r="AU23" s="121"/>
      <c r="AV23" s="121"/>
      <c r="AW23" s="155"/>
    </row>
    <row r="24" spans="1:49" s="31" customFormat="1" ht="12.75">
      <c r="A24" s="365"/>
      <c r="B24" s="329"/>
      <c r="C24" s="332"/>
      <c r="D24" s="335"/>
      <c r="E24" s="108" t="s">
        <v>44</v>
      </c>
      <c r="F24" s="123">
        <f t="shared" ref="F24:G24" si="24">I24+L24+O24+R24+U24+X24+AA24+AD24+AG24+AJ24+AM24+AP24</f>
        <v>3987.3</v>
      </c>
      <c r="G24" s="123">
        <f t="shared" si="24"/>
        <v>326.39999999999998</v>
      </c>
      <c r="H24" s="123">
        <v>0</v>
      </c>
      <c r="I24" s="123">
        <v>326</v>
      </c>
      <c r="J24" s="123">
        <v>326.39999999999998</v>
      </c>
      <c r="K24" s="123">
        <f t="shared" si="20"/>
        <v>100.12269938650307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8"/>
      <c r="AT24" s="341"/>
      <c r="AU24" s="121"/>
      <c r="AV24" s="121"/>
      <c r="AW24" s="155"/>
    </row>
    <row r="25" spans="1:49" s="31" customFormat="1" ht="12.75">
      <c r="A25" s="364" t="s">
        <v>337</v>
      </c>
      <c r="B25" s="328" t="s">
        <v>338</v>
      </c>
      <c r="C25" s="331" t="s">
        <v>339</v>
      </c>
      <c r="D25" s="334" t="s">
        <v>340</v>
      </c>
      <c r="E25" s="107" t="s">
        <v>42</v>
      </c>
      <c r="F25" s="123">
        <f>SUM(F26:F28)</f>
        <v>5215.6000000000004</v>
      </c>
      <c r="G25" s="123">
        <f t="shared" ref="G25:P25" si="25">SUM(G26:G28)</f>
        <v>97.9</v>
      </c>
      <c r="H25" s="123">
        <f>G25/F25*100</f>
        <v>1.8770611243193496</v>
      </c>
      <c r="I25" s="123">
        <f t="shared" si="25"/>
        <v>308.8</v>
      </c>
      <c r="J25" s="123">
        <f t="shared" si="25"/>
        <v>97.9</v>
      </c>
      <c r="K25" s="123">
        <f t="shared" si="20"/>
        <v>31.703367875647672</v>
      </c>
      <c r="L25" s="123">
        <f t="shared" si="25"/>
        <v>384.9</v>
      </c>
      <c r="M25" s="123">
        <f t="shared" si="25"/>
        <v>0</v>
      </c>
      <c r="N25" s="123">
        <v>0</v>
      </c>
      <c r="O25" s="123">
        <f t="shared" si="25"/>
        <v>939.2</v>
      </c>
      <c r="P25" s="123">
        <f t="shared" si="25"/>
        <v>0</v>
      </c>
      <c r="Q25" s="123">
        <v>0</v>
      </c>
      <c r="R25" s="123">
        <f t="shared" ref="R25:Z25" si="26">SUM(R26:R28)</f>
        <v>353</v>
      </c>
      <c r="S25" s="123">
        <f t="shared" si="26"/>
        <v>0</v>
      </c>
      <c r="T25" s="123">
        <v>0</v>
      </c>
      <c r="U25" s="123">
        <f t="shared" si="26"/>
        <v>378</v>
      </c>
      <c r="V25" s="123">
        <f t="shared" si="26"/>
        <v>0</v>
      </c>
      <c r="W25" s="123">
        <f t="shared" si="26"/>
        <v>0</v>
      </c>
      <c r="X25" s="123">
        <f t="shared" si="26"/>
        <v>416.5</v>
      </c>
      <c r="Y25" s="123">
        <f t="shared" si="26"/>
        <v>0</v>
      </c>
      <c r="Z25" s="123">
        <f t="shared" si="26"/>
        <v>0</v>
      </c>
      <c r="AA25" s="104">
        <f t="shared" ref="AA25:AB25" si="27">SUM(AA26:AA28)</f>
        <v>482.40000000000003</v>
      </c>
      <c r="AB25" s="123">
        <f t="shared" si="27"/>
        <v>0</v>
      </c>
      <c r="AC25" s="123">
        <f>SUM(AC26:AC28)</f>
        <v>0</v>
      </c>
      <c r="AD25" s="104">
        <f t="shared" ref="AD25:AR25" si="28">SUM(AD26:AD28)</f>
        <v>451.1</v>
      </c>
      <c r="AE25" s="104">
        <f t="shared" si="28"/>
        <v>0</v>
      </c>
      <c r="AF25" s="104">
        <f t="shared" si="6"/>
        <v>0</v>
      </c>
      <c r="AG25" s="104">
        <f t="shared" si="28"/>
        <v>471.79999999999995</v>
      </c>
      <c r="AH25" s="123">
        <f t="shared" si="28"/>
        <v>0</v>
      </c>
      <c r="AI25" s="104">
        <f t="shared" ref="AI25" si="29">AH25/AG25*100</f>
        <v>0</v>
      </c>
      <c r="AJ25" s="123">
        <f t="shared" si="28"/>
        <v>517.1</v>
      </c>
      <c r="AK25" s="123">
        <f t="shared" si="28"/>
        <v>0</v>
      </c>
      <c r="AL25" s="123">
        <f t="shared" si="28"/>
        <v>0</v>
      </c>
      <c r="AM25" s="104">
        <f t="shared" si="28"/>
        <v>227.5</v>
      </c>
      <c r="AN25" s="123">
        <f t="shared" si="28"/>
        <v>0</v>
      </c>
      <c r="AO25" s="123">
        <f t="shared" si="28"/>
        <v>0</v>
      </c>
      <c r="AP25" s="104">
        <f t="shared" si="28"/>
        <v>285.3</v>
      </c>
      <c r="AQ25" s="123">
        <f t="shared" si="28"/>
        <v>0</v>
      </c>
      <c r="AR25" s="123">
        <f t="shared" si="28"/>
        <v>0</v>
      </c>
      <c r="AS25" s="337" t="s">
        <v>318</v>
      </c>
      <c r="AT25" s="346"/>
      <c r="AU25" s="121"/>
      <c r="AV25" s="121"/>
      <c r="AW25" s="155"/>
    </row>
    <row r="26" spans="1:49" s="31" customFormat="1" ht="36">
      <c r="A26" s="365"/>
      <c r="B26" s="329"/>
      <c r="C26" s="332"/>
      <c r="D26" s="335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97.9</v>
      </c>
      <c r="H26" s="123">
        <f>G26/F26*100</f>
        <v>3.8431341760226112</v>
      </c>
      <c r="I26" s="104">
        <v>100</v>
      </c>
      <c r="J26" s="104">
        <v>97.9</v>
      </c>
      <c r="K26" s="123">
        <f t="shared" si="20"/>
        <v>97.9</v>
      </c>
      <c r="L26" s="126">
        <v>124.5</v>
      </c>
      <c r="M26" s="104">
        <v>0</v>
      </c>
      <c r="N26" s="123">
        <v>0</v>
      </c>
      <c r="O26" s="104">
        <f>124.5+697.2-100</f>
        <v>721.7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38"/>
      <c r="AT26" s="347"/>
      <c r="AU26" s="121"/>
      <c r="AV26" s="121"/>
      <c r="AW26" s="155"/>
    </row>
    <row r="27" spans="1:49" s="31" customFormat="1" ht="12.75">
      <c r="A27" s="365"/>
      <c r="B27" s="329"/>
      <c r="C27" s="332"/>
      <c r="D27" s="335"/>
      <c r="E27" s="108" t="s">
        <v>44</v>
      </c>
      <c r="F27" s="123">
        <f t="shared" ref="F27:G28" si="30">I27+L27+O27+R27+U27+X27+AA27+AD27+AG27+AJ27+AM27+AP27</f>
        <v>2668.2000000000003</v>
      </c>
      <c r="G27" s="123">
        <f t="shared" si="30"/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38"/>
      <c r="AT27" s="347"/>
      <c r="AU27" s="121"/>
      <c r="AV27" s="121"/>
      <c r="AW27" s="155"/>
    </row>
    <row r="28" spans="1:49" s="31" customFormat="1" ht="34.5" customHeight="1">
      <c r="A28" s="366"/>
      <c r="B28" s="330"/>
      <c r="C28" s="333"/>
      <c r="D28" s="336"/>
      <c r="E28" s="109" t="s">
        <v>257</v>
      </c>
      <c r="F28" s="123">
        <f t="shared" si="30"/>
        <v>0</v>
      </c>
      <c r="G28" s="123">
        <f t="shared" si="30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39"/>
      <c r="AT28" s="348"/>
      <c r="AU28" s="121"/>
      <c r="AV28" s="121"/>
      <c r="AW28" s="155"/>
    </row>
    <row r="29" spans="1:49" s="31" customFormat="1" ht="12.75">
      <c r="A29" s="364" t="s">
        <v>341</v>
      </c>
      <c r="B29" s="328" t="s">
        <v>342</v>
      </c>
      <c r="C29" s="331" t="s">
        <v>268</v>
      </c>
      <c r="D29" s="334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1">SUM(U30:U31)</f>
        <v>0</v>
      </c>
      <c r="V29" s="123">
        <f t="shared" si="31"/>
        <v>0</v>
      </c>
      <c r="W29" s="123">
        <f t="shared" si="31"/>
        <v>0</v>
      </c>
      <c r="X29" s="123">
        <f t="shared" si="31"/>
        <v>0</v>
      </c>
      <c r="Y29" s="123">
        <f t="shared" si="31"/>
        <v>0</v>
      </c>
      <c r="Z29" s="123">
        <f t="shared" si="31"/>
        <v>0</v>
      </c>
      <c r="AA29" s="104">
        <f t="shared" si="31"/>
        <v>0</v>
      </c>
      <c r="AB29" s="123">
        <f t="shared" si="31"/>
        <v>0</v>
      </c>
      <c r="AC29" s="123">
        <f t="shared" si="31"/>
        <v>0</v>
      </c>
      <c r="AD29" s="104">
        <f t="shared" si="31"/>
        <v>0</v>
      </c>
      <c r="AE29" s="104">
        <f t="shared" si="31"/>
        <v>0</v>
      </c>
      <c r="AF29" s="104">
        <f t="shared" si="31"/>
        <v>0</v>
      </c>
      <c r="AG29" s="104">
        <f t="shared" si="31"/>
        <v>0</v>
      </c>
      <c r="AH29" s="123">
        <f t="shared" si="31"/>
        <v>0</v>
      </c>
      <c r="AI29" s="117">
        <v>0</v>
      </c>
      <c r="AJ29" s="123">
        <f t="shared" ref="AJ29:AR29" si="32">SUM(AJ30:AJ31)</f>
        <v>0</v>
      </c>
      <c r="AK29" s="123">
        <f t="shared" si="32"/>
        <v>0</v>
      </c>
      <c r="AL29" s="123">
        <f t="shared" si="32"/>
        <v>0</v>
      </c>
      <c r="AM29" s="104">
        <f t="shared" si="32"/>
        <v>0</v>
      </c>
      <c r="AN29" s="123">
        <f t="shared" si="32"/>
        <v>0</v>
      </c>
      <c r="AO29" s="123">
        <f t="shared" si="32"/>
        <v>0</v>
      </c>
      <c r="AP29" s="104">
        <f t="shared" si="32"/>
        <v>0</v>
      </c>
      <c r="AQ29" s="123">
        <f t="shared" si="32"/>
        <v>0</v>
      </c>
      <c r="AR29" s="123">
        <f t="shared" si="32"/>
        <v>0</v>
      </c>
      <c r="AS29" s="337" t="s">
        <v>298</v>
      </c>
      <c r="AT29" s="346"/>
      <c r="AU29" s="121"/>
      <c r="AV29" s="121"/>
      <c r="AW29" s="155"/>
    </row>
    <row r="30" spans="1:49" s="31" customFormat="1" ht="36">
      <c r="A30" s="365"/>
      <c r="B30" s="329"/>
      <c r="C30" s="332"/>
      <c r="D30" s="335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8"/>
      <c r="AT30" s="347"/>
      <c r="AU30" s="121"/>
      <c r="AV30" s="121"/>
      <c r="AW30" s="155"/>
    </row>
    <row r="31" spans="1:49" s="31" customFormat="1" ht="41.25" customHeight="1">
      <c r="A31" s="365"/>
      <c r="B31" s="329"/>
      <c r="C31" s="332"/>
      <c r="D31" s="335"/>
      <c r="E31" s="108" t="s">
        <v>44</v>
      </c>
      <c r="F31" s="123">
        <f t="shared" ref="F31:G31" si="33">I31+L31+O31+R31+U31+X31+AA31+AD31+AG31+AJ31+AM31+AP31</f>
        <v>150</v>
      </c>
      <c r="G31" s="123">
        <f t="shared" si="33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8"/>
      <c r="AT31" s="347"/>
      <c r="AU31" s="121"/>
      <c r="AV31" s="121"/>
      <c r="AW31" s="155"/>
    </row>
    <row r="32" spans="1:49" s="31" customFormat="1" ht="15.75">
      <c r="A32" s="349" t="s">
        <v>344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1"/>
    </row>
    <row r="33" spans="1:49" s="100" customFormat="1" ht="12.75">
      <c r="A33" s="352" t="s">
        <v>345</v>
      </c>
      <c r="B33" s="353"/>
      <c r="C33" s="353"/>
      <c r="D33" s="354"/>
      <c r="E33" s="129" t="s">
        <v>42</v>
      </c>
      <c r="F33" s="106">
        <f>F34+F35+F36</f>
        <v>33940.800000000003</v>
      </c>
      <c r="G33" s="106">
        <f t="shared" ref="G33:AR33" si="34">G34+G35+G36</f>
        <v>556</v>
      </c>
      <c r="H33" s="106">
        <f>G33/F33*100</f>
        <v>1.6381464196483286</v>
      </c>
      <c r="I33" s="106">
        <f t="shared" si="34"/>
        <v>556</v>
      </c>
      <c r="J33" s="106">
        <f t="shared" si="34"/>
        <v>556</v>
      </c>
      <c r="K33" s="106">
        <f>J33/I33*100</f>
        <v>100</v>
      </c>
      <c r="L33" s="106">
        <f t="shared" si="34"/>
        <v>2428</v>
      </c>
      <c r="M33" s="106">
        <f t="shared" si="34"/>
        <v>0</v>
      </c>
      <c r="N33" s="106">
        <f>M33/L33*100</f>
        <v>0</v>
      </c>
      <c r="O33" s="106">
        <f t="shared" si="34"/>
        <v>2242</v>
      </c>
      <c r="P33" s="106">
        <f t="shared" si="34"/>
        <v>0</v>
      </c>
      <c r="Q33" s="106">
        <f>P33/O33*100</f>
        <v>0</v>
      </c>
      <c r="R33" s="106">
        <f t="shared" si="34"/>
        <v>3060</v>
      </c>
      <c r="S33" s="106">
        <f t="shared" si="34"/>
        <v>0</v>
      </c>
      <c r="T33" s="106">
        <f>S33/R33*100</f>
        <v>0</v>
      </c>
      <c r="U33" s="106">
        <f t="shared" si="34"/>
        <v>2489</v>
      </c>
      <c r="V33" s="106">
        <f t="shared" si="34"/>
        <v>0</v>
      </c>
      <c r="W33" s="106">
        <f t="shared" si="34"/>
        <v>0</v>
      </c>
      <c r="X33" s="106">
        <f t="shared" si="34"/>
        <v>2628</v>
      </c>
      <c r="Y33" s="106">
        <f t="shared" si="34"/>
        <v>0</v>
      </c>
      <c r="Z33" s="106">
        <f t="shared" si="34"/>
        <v>0</v>
      </c>
      <c r="AA33" s="106">
        <f t="shared" si="34"/>
        <v>3576</v>
      </c>
      <c r="AB33" s="106">
        <f t="shared" si="34"/>
        <v>0</v>
      </c>
      <c r="AC33" s="106">
        <f t="shared" si="34"/>
        <v>0</v>
      </c>
      <c r="AD33" s="106">
        <f t="shared" si="34"/>
        <v>2569</v>
      </c>
      <c r="AE33" s="106">
        <f t="shared" si="34"/>
        <v>0</v>
      </c>
      <c r="AF33" s="106">
        <f t="shared" ref="AF33:AF35" si="35">AE33/AD33*100</f>
        <v>0</v>
      </c>
      <c r="AG33" s="106">
        <f t="shared" si="34"/>
        <v>2544</v>
      </c>
      <c r="AH33" s="106">
        <f t="shared" si="34"/>
        <v>0</v>
      </c>
      <c r="AI33" s="106">
        <f t="shared" si="34"/>
        <v>0</v>
      </c>
      <c r="AJ33" s="106">
        <f t="shared" si="34"/>
        <v>2984</v>
      </c>
      <c r="AK33" s="106">
        <f t="shared" si="34"/>
        <v>0</v>
      </c>
      <c r="AL33" s="106">
        <f t="shared" si="34"/>
        <v>0</v>
      </c>
      <c r="AM33" s="106">
        <f t="shared" si="34"/>
        <v>2265.6</v>
      </c>
      <c r="AN33" s="106">
        <f t="shared" si="34"/>
        <v>0</v>
      </c>
      <c r="AO33" s="106">
        <f t="shared" si="34"/>
        <v>0</v>
      </c>
      <c r="AP33" s="106">
        <f t="shared" si="34"/>
        <v>6599.2</v>
      </c>
      <c r="AQ33" s="106">
        <f t="shared" si="34"/>
        <v>0</v>
      </c>
      <c r="AR33" s="106">
        <f t="shared" si="34"/>
        <v>0</v>
      </c>
      <c r="AS33" s="367"/>
      <c r="AT33" s="361"/>
      <c r="AU33" s="121"/>
      <c r="AV33" s="121"/>
      <c r="AW33" s="155"/>
    </row>
    <row r="34" spans="1:49" s="100" customFormat="1" ht="36">
      <c r="A34" s="355"/>
      <c r="B34" s="356"/>
      <c r="C34" s="356"/>
      <c r="D34" s="357"/>
      <c r="E34" s="111" t="s">
        <v>3</v>
      </c>
      <c r="F34" s="106">
        <f>F43</f>
        <v>30600.9</v>
      </c>
      <c r="G34" s="106">
        <f t="shared" ref="G34:AR36" si="36">G43</f>
        <v>0</v>
      </c>
      <c r="H34" s="106">
        <f>G34/F34*100</f>
        <v>0</v>
      </c>
      <c r="I34" s="106">
        <f t="shared" si="36"/>
        <v>0</v>
      </c>
      <c r="J34" s="106">
        <f t="shared" si="36"/>
        <v>0</v>
      </c>
      <c r="K34" s="106" t="e">
        <f t="shared" ref="K34:K35" si="37">J34/I34*100</f>
        <v>#DIV/0!</v>
      </c>
      <c r="L34" s="106">
        <f t="shared" si="36"/>
        <v>2178</v>
      </c>
      <c r="M34" s="106">
        <f t="shared" si="36"/>
        <v>0</v>
      </c>
      <c r="N34" s="106">
        <f t="shared" ref="N34:N35" si="38">M34/L34*100</f>
        <v>0</v>
      </c>
      <c r="O34" s="106">
        <f t="shared" si="36"/>
        <v>1989</v>
      </c>
      <c r="P34" s="106">
        <f t="shared" si="36"/>
        <v>0</v>
      </c>
      <c r="Q34" s="106">
        <f t="shared" ref="Q34:Q35" si="39">P34/O34*100</f>
        <v>0</v>
      </c>
      <c r="R34" s="106">
        <f t="shared" si="36"/>
        <v>3010</v>
      </c>
      <c r="S34" s="106">
        <f t="shared" si="36"/>
        <v>0</v>
      </c>
      <c r="T34" s="106">
        <f t="shared" ref="T34:T35" si="40">S34/R34*100</f>
        <v>0</v>
      </c>
      <c r="U34" s="106">
        <f t="shared" si="36"/>
        <v>2037</v>
      </c>
      <c r="V34" s="106">
        <f t="shared" si="36"/>
        <v>0</v>
      </c>
      <c r="W34" s="106">
        <f t="shared" si="36"/>
        <v>0</v>
      </c>
      <c r="X34" s="106">
        <f t="shared" si="36"/>
        <v>2578</v>
      </c>
      <c r="Y34" s="106">
        <f t="shared" si="36"/>
        <v>0</v>
      </c>
      <c r="Z34" s="106">
        <f t="shared" si="36"/>
        <v>0</v>
      </c>
      <c r="AA34" s="106">
        <f t="shared" si="36"/>
        <v>3526</v>
      </c>
      <c r="AB34" s="106">
        <f t="shared" si="36"/>
        <v>0</v>
      </c>
      <c r="AC34" s="106">
        <f t="shared" si="36"/>
        <v>0</v>
      </c>
      <c r="AD34" s="106">
        <f t="shared" si="36"/>
        <v>2117</v>
      </c>
      <c r="AE34" s="106">
        <f t="shared" si="36"/>
        <v>0</v>
      </c>
      <c r="AF34" s="106">
        <f t="shared" si="35"/>
        <v>0</v>
      </c>
      <c r="AG34" s="106">
        <f t="shared" si="36"/>
        <v>2494</v>
      </c>
      <c r="AH34" s="106">
        <f t="shared" si="36"/>
        <v>0</v>
      </c>
      <c r="AI34" s="106">
        <f t="shared" si="36"/>
        <v>0</v>
      </c>
      <c r="AJ34" s="106">
        <f t="shared" si="36"/>
        <v>2934</v>
      </c>
      <c r="AK34" s="106">
        <f t="shared" si="36"/>
        <v>0</v>
      </c>
      <c r="AL34" s="106">
        <f t="shared" si="36"/>
        <v>0</v>
      </c>
      <c r="AM34" s="106">
        <f t="shared" si="36"/>
        <v>1812</v>
      </c>
      <c r="AN34" s="106">
        <f t="shared" si="36"/>
        <v>0</v>
      </c>
      <c r="AO34" s="106">
        <f t="shared" si="36"/>
        <v>0</v>
      </c>
      <c r="AP34" s="106">
        <f t="shared" si="36"/>
        <v>5925.9</v>
      </c>
      <c r="AQ34" s="106">
        <f t="shared" si="36"/>
        <v>0</v>
      </c>
      <c r="AR34" s="106">
        <f t="shared" si="36"/>
        <v>0</v>
      </c>
      <c r="AS34" s="368"/>
      <c r="AT34" s="362"/>
      <c r="AU34" s="121"/>
      <c r="AV34" s="121"/>
      <c r="AW34" s="155"/>
    </row>
    <row r="35" spans="1:49" s="100" customFormat="1" ht="24">
      <c r="A35" s="355"/>
      <c r="B35" s="356"/>
      <c r="C35" s="356"/>
      <c r="D35" s="357"/>
      <c r="E35" s="111" t="s">
        <v>44</v>
      </c>
      <c r="F35" s="106">
        <f>F44</f>
        <v>3339.8999999999996</v>
      </c>
      <c r="G35" s="106">
        <f t="shared" si="36"/>
        <v>556</v>
      </c>
      <c r="H35" s="106">
        <f>G35/F35*100</f>
        <v>16.647205006137909</v>
      </c>
      <c r="I35" s="106">
        <f t="shared" si="36"/>
        <v>556</v>
      </c>
      <c r="J35" s="106">
        <f t="shared" si="36"/>
        <v>556</v>
      </c>
      <c r="K35" s="106">
        <f t="shared" si="37"/>
        <v>100</v>
      </c>
      <c r="L35" s="106">
        <f t="shared" si="36"/>
        <v>250</v>
      </c>
      <c r="M35" s="106">
        <f t="shared" si="36"/>
        <v>0</v>
      </c>
      <c r="N35" s="106">
        <f t="shared" si="38"/>
        <v>0</v>
      </c>
      <c r="O35" s="106">
        <f t="shared" si="36"/>
        <v>253</v>
      </c>
      <c r="P35" s="106">
        <f t="shared" si="36"/>
        <v>0</v>
      </c>
      <c r="Q35" s="106">
        <f t="shared" si="39"/>
        <v>0</v>
      </c>
      <c r="R35" s="106">
        <f t="shared" si="36"/>
        <v>50</v>
      </c>
      <c r="S35" s="106">
        <f t="shared" si="36"/>
        <v>0</v>
      </c>
      <c r="T35" s="106">
        <f t="shared" si="40"/>
        <v>0</v>
      </c>
      <c r="U35" s="106">
        <f t="shared" si="36"/>
        <v>452</v>
      </c>
      <c r="V35" s="106">
        <f t="shared" si="36"/>
        <v>0</v>
      </c>
      <c r="W35" s="106">
        <f t="shared" si="36"/>
        <v>0</v>
      </c>
      <c r="X35" s="106">
        <f t="shared" si="36"/>
        <v>50</v>
      </c>
      <c r="Y35" s="106">
        <f t="shared" si="36"/>
        <v>0</v>
      </c>
      <c r="Z35" s="106">
        <f t="shared" si="36"/>
        <v>0</v>
      </c>
      <c r="AA35" s="106">
        <f t="shared" si="36"/>
        <v>50</v>
      </c>
      <c r="AB35" s="106">
        <f t="shared" si="36"/>
        <v>0</v>
      </c>
      <c r="AC35" s="106">
        <f t="shared" si="36"/>
        <v>0</v>
      </c>
      <c r="AD35" s="106">
        <f t="shared" si="36"/>
        <v>452</v>
      </c>
      <c r="AE35" s="106">
        <f t="shared" si="36"/>
        <v>0</v>
      </c>
      <c r="AF35" s="106">
        <f t="shared" si="35"/>
        <v>0</v>
      </c>
      <c r="AG35" s="106">
        <f t="shared" si="36"/>
        <v>50</v>
      </c>
      <c r="AH35" s="106">
        <f t="shared" si="36"/>
        <v>0</v>
      </c>
      <c r="AI35" s="106">
        <f t="shared" si="36"/>
        <v>0</v>
      </c>
      <c r="AJ35" s="106">
        <f t="shared" si="36"/>
        <v>50</v>
      </c>
      <c r="AK35" s="106">
        <f t="shared" si="36"/>
        <v>0</v>
      </c>
      <c r="AL35" s="106">
        <f t="shared" si="36"/>
        <v>0</v>
      </c>
      <c r="AM35" s="106">
        <f t="shared" si="36"/>
        <v>453.6</v>
      </c>
      <c r="AN35" s="106">
        <f t="shared" si="36"/>
        <v>0</v>
      </c>
      <c r="AO35" s="106">
        <f t="shared" si="36"/>
        <v>0</v>
      </c>
      <c r="AP35" s="106">
        <f t="shared" si="36"/>
        <v>673.3</v>
      </c>
      <c r="AQ35" s="106">
        <f t="shared" si="36"/>
        <v>0</v>
      </c>
      <c r="AR35" s="106">
        <f t="shared" si="36"/>
        <v>0</v>
      </c>
      <c r="AS35" s="368"/>
      <c r="AT35" s="362"/>
      <c r="AU35" s="121"/>
      <c r="AV35" s="121"/>
      <c r="AW35" s="155"/>
    </row>
    <row r="36" spans="1:49" s="100" customFormat="1" ht="24">
      <c r="A36" s="358"/>
      <c r="B36" s="359"/>
      <c r="C36" s="359"/>
      <c r="D36" s="360"/>
      <c r="E36" s="110" t="s">
        <v>257</v>
      </c>
      <c r="F36" s="106">
        <f>F45</f>
        <v>0</v>
      </c>
      <c r="G36" s="106">
        <f t="shared" si="36"/>
        <v>0</v>
      </c>
      <c r="H36" s="106">
        <v>0</v>
      </c>
      <c r="I36" s="106">
        <f t="shared" si="36"/>
        <v>0</v>
      </c>
      <c r="J36" s="106">
        <f t="shared" si="36"/>
        <v>0</v>
      </c>
      <c r="K36" s="106">
        <v>0</v>
      </c>
      <c r="L36" s="106">
        <f t="shared" si="36"/>
        <v>0</v>
      </c>
      <c r="M36" s="106">
        <f t="shared" si="36"/>
        <v>0</v>
      </c>
      <c r="N36" s="106">
        <v>0</v>
      </c>
      <c r="O36" s="106">
        <f t="shared" si="36"/>
        <v>0</v>
      </c>
      <c r="P36" s="106">
        <f t="shared" si="36"/>
        <v>0</v>
      </c>
      <c r="Q36" s="106">
        <f t="shared" si="36"/>
        <v>0</v>
      </c>
      <c r="R36" s="106">
        <f t="shared" si="36"/>
        <v>0</v>
      </c>
      <c r="S36" s="106">
        <f t="shared" si="36"/>
        <v>0</v>
      </c>
      <c r="T36" s="106">
        <v>0</v>
      </c>
      <c r="U36" s="106">
        <f t="shared" si="36"/>
        <v>0</v>
      </c>
      <c r="V36" s="106">
        <f t="shared" si="36"/>
        <v>0</v>
      </c>
      <c r="W36" s="106">
        <f t="shared" si="36"/>
        <v>0</v>
      </c>
      <c r="X36" s="106">
        <f t="shared" si="36"/>
        <v>0</v>
      </c>
      <c r="Y36" s="106">
        <f t="shared" si="36"/>
        <v>0</v>
      </c>
      <c r="Z36" s="106">
        <f t="shared" si="36"/>
        <v>0</v>
      </c>
      <c r="AA36" s="106">
        <f t="shared" si="36"/>
        <v>0</v>
      </c>
      <c r="AB36" s="106">
        <f t="shared" si="36"/>
        <v>0</v>
      </c>
      <c r="AC36" s="106">
        <f t="shared" si="36"/>
        <v>0</v>
      </c>
      <c r="AD36" s="106">
        <f t="shared" si="36"/>
        <v>0</v>
      </c>
      <c r="AE36" s="106">
        <f t="shared" si="36"/>
        <v>0</v>
      </c>
      <c r="AF36" s="106">
        <f t="shared" si="36"/>
        <v>0</v>
      </c>
      <c r="AG36" s="106">
        <f t="shared" si="36"/>
        <v>0</v>
      </c>
      <c r="AH36" s="106">
        <f t="shared" si="36"/>
        <v>0</v>
      </c>
      <c r="AI36" s="106">
        <f t="shared" si="36"/>
        <v>0</v>
      </c>
      <c r="AJ36" s="106">
        <f t="shared" si="36"/>
        <v>0</v>
      </c>
      <c r="AK36" s="106">
        <f t="shared" si="36"/>
        <v>0</v>
      </c>
      <c r="AL36" s="106">
        <f t="shared" si="36"/>
        <v>0</v>
      </c>
      <c r="AM36" s="106">
        <f t="shared" si="36"/>
        <v>0</v>
      </c>
      <c r="AN36" s="106">
        <f t="shared" si="36"/>
        <v>0</v>
      </c>
      <c r="AO36" s="106">
        <f t="shared" si="36"/>
        <v>0</v>
      </c>
      <c r="AP36" s="106">
        <f t="shared" si="36"/>
        <v>0</v>
      </c>
      <c r="AQ36" s="106">
        <f t="shared" si="36"/>
        <v>0</v>
      </c>
      <c r="AR36" s="106">
        <f t="shared" si="36"/>
        <v>0</v>
      </c>
      <c r="AS36" s="369"/>
      <c r="AT36" s="363"/>
      <c r="AU36" s="121"/>
      <c r="AV36" s="121"/>
      <c r="AW36" s="155"/>
    </row>
    <row r="37" spans="1:49" s="100" customFormat="1" ht="168">
      <c r="A37" s="182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84" t="s">
        <v>351</v>
      </c>
      <c r="B38" s="18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82" t="s">
        <v>355</v>
      </c>
      <c r="B39" s="18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82" t="s">
        <v>359</v>
      </c>
      <c r="B40" s="18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82" t="s">
        <v>361</v>
      </c>
      <c r="B41" s="18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70" t="s">
        <v>365</v>
      </c>
      <c r="B42" s="373" t="s">
        <v>366</v>
      </c>
      <c r="C42" s="376" t="s">
        <v>269</v>
      </c>
      <c r="D42" s="334" t="s">
        <v>367</v>
      </c>
      <c r="E42" s="107" t="s">
        <v>42</v>
      </c>
      <c r="F42" s="123">
        <f>SUM(F43:F45)</f>
        <v>33940.800000000003</v>
      </c>
      <c r="G42" s="123">
        <f t="shared" ref="G42" si="41">SUM(G43:G45)</f>
        <v>556</v>
      </c>
      <c r="H42" s="123">
        <f>G42/F42*100</f>
        <v>1.6381464196483286</v>
      </c>
      <c r="I42" s="132">
        <f>I43+I44+I45</f>
        <v>556</v>
      </c>
      <c r="J42" s="132">
        <f>J43+J44+J45</f>
        <v>556</v>
      </c>
      <c r="K42" s="123">
        <f t="shared" ref="K42:K44" si="42">J42/I42*100</f>
        <v>100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43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4">U43+U44+U45</f>
        <v>2489</v>
      </c>
      <c r="V42" s="132">
        <f t="shared" si="44"/>
        <v>0</v>
      </c>
      <c r="W42" s="132">
        <f>V42/U42*100</f>
        <v>0</v>
      </c>
      <c r="X42" s="132">
        <f t="shared" si="44"/>
        <v>2628</v>
      </c>
      <c r="Y42" s="132">
        <f t="shared" si="44"/>
        <v>0</v>
      </c>
      <c r="Z42" s="132">
        <f>Y42/X42*100</f>
        <v>0</v>
      </c>
      <c r="AA42" s="132">
        <f t="shared" si="44"/>
        <v>3576</v>
      </c>
      <c r="AB42" s="132">
        <f t="shared" si="44"/>
        <v>0</v>
      </c>
      <c r="AC42" s="132">
        <f>AB42/AA42*100</f>
        <v>0</v>
      </c>
      <c r="AD42" s="132">
        <f t="shared" si="44"/>
        <v>2569</v>
      </c>
      <c r="AE42" s="132">
        <f t="shared" si="44"/>
        <v>0</v>
      </c>
      <c r="AF42" s="132">
        <f>AE42/AD42*100</f>
        <v>0</v>
      </c>
      <c r="AG42" s="132">
        <f t="shared" si="44"/>
        <v>2544</v>
      </c>
      <c r="AH42" s="132">
        <f t="shared" si="44"/>
        <v>0</v>
      </c>
      <c r="AI42" s="117">
        <f>AH42/AG42*100</f>
        <v>0</v>
      </c>
      <c r="AJ42" s="132">
        <f t="shared" si="44"/>
        <v>2984</v>
      </c>
      <c r="AK42" s="132">
        <f t="shared" si="44"/>
        <v>0</v>
      </c>
      <c r="AL42" s="132">
        <f t="shared" si="44"/>
        <v>0</v>
      </c>
      <c r="AM42" s="132">
        <f t="shared" si="44"/>
        <v>2265.6</v>
      </c>
      <c r="AN42" s="132">
        <f t="shared" si="44"/>
        <v>0</v>
      </c>
      <c r="AO42" s="132">
        <f t="shared" si="44"/>
        <v>0</v>
      </c>
      <c r="AP42" s="132">
        <f t="shared" si="44"/>
        <v>6599.2</v>
      </c>
      <c r="AQ42" s="104"/>
      <c r="AR42" s="104"/>
      <c r="AS42" s="337" t="s">
        <v>310</v>
      </c>
      <c r="AT42" s="379"/>
      <c r="AU42" s="121"/>
      <c r="AV42" s="121"/>
      <c r="AW42" s="155"/>
    </row>
    <row r="43" spans="1:49" s="31" customFormat="1" ht="36">
      <c r="A43" s="371"/>
      <c r="B43" s="374"/>
      <c r="C43" s="377"/>
      <c r="D43" s="335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42"/>
        <v>#DIV/0!</v>
      </c>
      <c r="L43" s="150">
        <v>2178</v>
      </c>
      <c r="M43" s="123">
        <v>0</v>
      </c>
      <c r="N43" s="138">
        <f t="shared" ref="N43:N44" si="45">M43/L43*100</f>
        <v>0</v>
      </c>
      <c r="O43" s="123">
        <v>1989</v>
      </c>
      <c r="P43" s="123">
        <v>0</v>
      </c>
      <c r="Q43" s="123">
        <f t="shared" si="43"/>
        <v>0</v>
      </c>
      <c r="R43" s="123">
        <v>3010</v>
      </c>
      <c r="S43" s="123">
        <v>0</v>
      </c>
      <c r="T43" s="132">
        <f t="shared" ref="T43:T44" si="46">S43/R43*100</f>
        <v>0</v>
      </c>
      <c r="U43" s="117">
        <v>2037</v>
      </c>
      <c r="V43" s="117">
        <v>0</v>
      </c>
      <c r="W43" s="132">
        <f t="shared" ref="W43:W44" si="47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8"/>
      <c r="AT43" s="380"/>
      <c r="AU43" s="121"/>
      <c r="AV43" s="121"/>
      <c r="AW43" s="155"/>
    </row>
    <row r="44" spans="1:49" s="31" customFormat="1" ht="12.75">
      <c r="A44" s="371"/>
      <c r="B44" s="374"/>
      <c r="C44" s="377"/>
      <c r="D44" s="335"/>
      <c r="E44" s="108" t="s">
        <v>44</v>
      </c>
      <c r="F44" s="123">
        <f t="shared" ref="F44:G45" si="48">I44+L44+O44+R44+U44+X44+AA44+AD44+AG44+AJ44+AM44+AP44</f>
        <v>3339.8999999999996</v>
      </c>
      <c r="G44" s="123">
        <f t="shared" si="48"/>
        <v>556</v>
      </c>
      <c r="H44" s="123">
        <f>G44/F44*100</f>
        <v>16.647205006137909</v>
      </c>
      <c r="I44" s="123">
        <v>556</v>
      </c>
      <c r="J44" s="123">
        <v>556</v>
      </c>
      <c r="K44" s="123">
        <f t="shared" si="42"/>
        <v>100</v>
      </c>
      <c r="L44" s="150">
        <v>250</v>
      </c>
      <c r="M44" s="123">
        <v>0</v>
      </c>
      <c r="N44" s="138">
        <f t="shared" si="45"/>
        <v>0</v>
      </c>
      <c r="O44" s="123">
        <v>253</v>
      </c>
      <c r="P44" s="123">
        <v>0</v>
      </c>
      <c r="Q44" s="123">
        <f t="shared" si="43"/>
        <v>0</v>
      </c>
      <c r="R44" s="123">
        <v>50</v>
      </c>
      <c r="S44" s="123">
        <v>0</v>
      </c>
      <c r="T44" s="132">
        <f t="shared" si="46"/>
        <v>0</v>
      </c>
      <c r="U44" s="117">
        <v>452</v>
      </c>
      <c r="V44" s="117">
        <v>0</v>
      </c>
      <c r="W44" s="132">
        <f t="shared" si="47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8"/>
      <c r="AT44" s="380"/>
      <c r="AU44" s="121"/>
      <c r="AV44" s="121"/>
      <c r="AW44" s="155"/>
    </row>
    <row r="45" spans="1:49" s="31" customFormat="1" ht="24">
      <c r="A45" s="372"/>
      <c r="B45" s="375"/>
      <c r="C45" s="378"/>
      <c r="D45" s="336"/>
      <c r="E45" s="109" t="s">
        <v>257</v>
      </c>
      <c r="F45" s="123">
        <f t="shared" si="48"/>
        <v>0</v>
      </c>
      <c r="G45" s="123">
        <f t="shared" si="48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39"/>
      <c r="AT45" s="381"/>
      <c r="AU45" s="121"/>
      <c r="AV45" s="121"/>
      <c r="AW45" s="155"/>
    </row>
    <row r="46" spans="1:49" s="31" customFormat="1" ht="15.75">
      <c r="A46" s="349" t="s">
        <v>368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1"/>
      <c r="AU46" s="121"/>
      <c r="AV46" s="121"/>
      <c r="AW46" s="155"/>
    </row>
    <row r="47" spans="1:49" s="31" customFormat="1" ht="15.75">
      <c r="A47" s="349" t="s">
        <v>369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1"/>
      <c r="AU47" s="121"/>
      <c r="AV47" s="121"/>
      <c r="AW47" s="155"/>
    </row>
    <row r="48" spans="1:49" s="100" customFormat="1" ht="12.75">
      <c r="A48" s="404" t="s">
        <v>270</v>
      </c>
      <c r="B48" s="405"/>
      <c r="C48" s="405"/>
      <c r="D48" s="406"/>
      <c r="E48" s="202" t="s">
        <v>42</v>
      </c>
      <c r="F48" s="203">
        <f>F49+F50+F51</f>
        <v>599.4</v>
      </c>
      <c r="G48" s="203">
        <f t="shared" ref="G48:AR48" si="49">G49+G50+G51</f>
        <v>0</v>
      </c>
      <c r="H48" s="203">
        <f>G48/F48*100</f>
        <v>0</v>
      </c>
      <c r="I48" s="203">
        <f t="shared" si="49"/>
        <v>0</v>
      </c>
      <c r="J48" s="203">
        <f t="shared" si="49"/>
        <v>0</v>
      </c>
      <c r="K48" s="203">
        <v>0</v>
      </c>
      <c r="L48" s="203">
        <f t="shared" si="49"/>
        <v>0</v>
      </c>
      <c r="M48" s="203">
        <f t="shared" si="49"/>
        <v>0</v>
      </c>
      <c r="N48" s="203">
        <v>0</v>
      </c>
      <c r="O48" s="203">
        <f t="shared" si="49"/>
        <v>119.8</v>
      </c>
      <c r="P48" s="203">
        <f t="shared" si="49"/>
        <v>0</v>
      </c>
      <c r="Q48" s="203">
        <f>P48/O48*100</f>
        <v>0</v>
      </c>
      <c r="R48" s="203">
        <f t="shared" si="49"/>
        <v>0</v>
      </c>
      <c r="S48" s="203">
        <f t="shared" si="49"/>
        <v>0</v>
      </c>
      <c r="T48" s="203">
        <v>0</v>
      </c>
      <c r="U48" s="203">
        <f t="shared" si="49"/>
        <v>0</v>
      </c>
      <c r="V48" s="203">
        <f t="shared" si="49"/>
        <v>0</v>
      </c>
      <c r="W48" s="203">
        <f t="shared" si="49"/>
        <v>0</v>
      </c>
      <c r="X48" s="203">
        <f t="shared" si="49"/>
        <v>179.7</v>
      </c>
      <c r="Y48" s="203">
        <f t="shared" si="49"/>
        <v>0</v>
      </c>
      <c r="Z48" s="203">
        <f t="shared" si="49"/>
        <v>0</v>
      </c>
      <c r="AA48" s="203">
        <f t="shared" si="49"/>
        <v>0</v>
      </c>
      <c r="AB48" s="203">
        <f t="shared" si="49"/>
        <v>0</v>
      </c>
      <c r="AC48" s="203">
        <f t="shared" si="49"/>
        <v>0</v>
      </c>
      <c r="AD48" s="203">
        <f t="shared" si="49"/>
        <v>0</v>
      </c>
      <c r="AE48" s="203">
        <f t="shared" si="49"/>
        <v>0</v>
      </c>
      <c r="AF48" s="203">
        <f t="shared" si="49"/>
        <v>0</v>
      </c>
      <c r="AG48" s="203">
        <f t="shared" si="49"/>
        <v>179.7</v>
      </c>
      <c r="AH48" s="203">
        <f t="shared" si="49"/>
        <v>0</v>
      </c>
      <c r="AI48" s="203">
        <f t="shared" si="49"/>
        <v>0</v>
      </c>
      <c r="AJ48" s="203">
        <f t="shared" si="49"/>
        <v>0</v>
      </c>
      <c r="AK48" s="203">
        <f t="shared" si="49"/>
        <v>0</v>
      </c>
      <c r="AL48" s="203">
        <f t="shared" si="49"/>
        <v>0</v>
      </c>
      <c r="AM48" s="203">
        <f t="shared" si="49"/>
        <v>120.2</v>
      </c>
      <c r="AN48" s="203">
        <f t="shared" si="49"/>
        <v>0</v>
      </c>
      <c r="AO48" s="203">
        <f t="shared" si="49"/>
        <v>0</v>
      </c>
      <c r="AP48" s="203">
        <f t="shared" si="49"/>
        <v>0</v>
      </c>
      <c r="AQ48" s="203">
        <f t="shared" si="49"/>
        <v>0</v>
      </c>
      <c r="AR48" s="203">
        <f t="shared" si="49"/>
        <v>0</v>
      </c>
      <c r="AS48" s="316"/>
      <c r="AT48" s="361"/>
      <c r="AU48" s="121"/>
      <c r="AV48" s="121"/>
      <c r="AW48" s="155"/>
    </row>
    <row r="49" spans="1:49" s="100" customFormat="1" ht="36">
      <c r="A49" s="407"/>
      <c r="B49" s="408"/>
      <c r="C49" s="408"/>
      <c r="D49" s="409"/>
      <c r="E49" s="204" t="s">
        <v>3</v>
      </c>
      <c r="F49" s="203">
        <f>F57</f>
        <v>0</v>
      </c>
      <c r="G49" s="203">
        <f t="shared" ref="G49:AR51" si="50">G57</f>
        <v>0</v>
      </c>
      <c r="H49" s="203">
        <v>0</v>
      </c>
      <c r="I49" s="203">
        <f t="shared" si="50"/>
        <v>0</v>
      </c>
      <c r="J49" s="203">
        <f t="shared" si="50"/>
        <v>0</v>
      </c>
      <c r="K49" s="203">
        <v>0</v>
      </c>
      <c r="L49" s="203">
        <f t="shared" si="50"/>
        <v>0</v>
      </c>
      <c r="M49" s="203">
        <f t="shared" si="50"/>
        <v>0</v>
      </c>
      <c r="N49" s="203">
        <v>0</v>
      </c>
      <c r="O49" s="203">
        <f t="shared" si="50"/>
        <v>0</v>
      </c>
      <c r="P49" s="203">
        <f t="shared" si="50"/>
        <v>0</v>
      </c>
      <c r="Q49" s="203">
        <v>0</v>
      </c>
      <c r="R49" s="203">
        <f t="shared" si="50"/>
        <v>0</v>
      </c>
      <c r="S49" s="203">
        <f t="shared" si="50"/>
        <v>0</v>
      </c>
      <c r="T49" s="203">
        <f t="shared" si="50"/>
        <v>0</v>
      </c>
      <c r="U49" s="203">
        <f t="shared" si="50"/>
        <v>0</v>
      </c>
      <c r="V49" s="203">
        <f t="shared" si="50"/>
        <v>0</v>
      </c>
      <c r="W49" s="203">
        <f t="shared" si="50"/>
        <v>0</v>
      </c>
      <c r="X49" s="203">
        <f t="shared" si="50"/>
        <v>0</v>
      </c>
      <c r="Y49" s="203">
        <f t="shared" si="50"/>
        <v>0</v>
      </c>
      <c r="Z49" s="203">
        <f t="shared" si="50"/>
        <v>0</v>
      </c>
      <c r="AA49" s="203">
        <f t="shared" si="50"/>
        <v>0</v>
      </c>
      <c r="AB49" s="203">
        <f t="shared" si="50"/>
        <v>0</v>
      </c>
      <c r="AC49" s="203">
        <f t="shared" si="50"/>
        <v>0</v>
      </c>
      <c r="AD49" s="203">
        <f t="shared" si="50"/>
        <v>0</v>
      </c>
      <c r="AE49" s="203">
        <f t="shared" si="50"/>
        <v>0</v>
      </c>
      <c r="AF49" s="203">
        <f t="shared" si="50"/>
        <v>0</v>
      </c>
      <c r="AG49" s="203">
        <f t="shared" si="50"/>
        <v>0</v>
      </c>
      <c r="AH49" s="203">
        <f t="shared" si="50"/>
        <v>0</v>
      </c>
      <c r="AI49" s="203">
        <f t="shared" si="50"/>
        <v>0</v>
      </c>
      <c r="AJ49" s="203">
        <f t="shared" si="50"/>
        <v>0</v>
      </c>
      <c r="AK49" s="203">
        <f t="shared" si="50"/>
        <v>0</v>
      </c>
      <c r="AL49" s="203">
        <f t="shared" si="50"/>
        <v>0</v>
      </c>
      <c r="AM49" s="203">
        <f t="shared" si="50"/>
        <v>0</v>
      </c>
      <c r="AN49" s="203">
        <f t="shared" si="50"/>
        <v>0</v>
      </c>
      <c r="AO49" s="203">
        <f t="shared" si="50"/>
        <v>0</v>
      </c>
      <c r="AP49" s="203">
        <f t="shared" si="50"/>
        <v>0</v>
      </c>
      <c r="AQ49" s="203">
        <f t="shared" si="50"/>
        <v>0</v>
      </c>
      <c r="AR49" s="203">
        <f t="shared" si="50"/>
        <v>0</v>
      </c>
      <c r="AS49" s="317"/>
      <c r="AT49" s="362"/>
      <c r="AU49" s="121"/>
      <c r="AV49" s="121"/>
      <c r="AW49" s="155"/>
    </row>
    <row r="50" spans="1:49" s="100" customFormat="1" ht="24">
      <c r="A50" s="407"/>
      <c r="B50" s="408"/>
      <c r="C50" s="408"/>
      <c r="D50" s="409"/>
      <c r="E50" s="204" t="s">
        <v>44</v>
      </c>
      <c r="F50" s="203">
        <f>F58</f>
        <v>599.4</v>
      </c>
      <c r="G50" s="203">
        <f t="shared" si="50"/>
        <v>0</v>
      </c>
      <c r="H50" s="203">
        <f>G50/F50*100</f>
        <v>0</v>
      </c>
      <c r="I50" s="203">
        <f t="shared" si="50"/>
        <v>0</v>
      </c>
      <c r="J50" s="203">
        <f t="shared" si="50"/>
        <v>0</v>
      </c>
      <c r="K50" s="203">
        <v>0</v>
      </c>
      <c r="L50" s="203">
        <f t="shared" si="50"/>
        <v>0</v>
      </c>
      <c r="M50" s="203">
        <f t="shared" si="50"/>
        <v>0</v>
      </c>
      <c r="N50" s="203">
        <v>0</v>
      </c>
      <c r="O50" s="203">
        <f t="shared" si="50"/>
        <v>119.8</v>
      </c>
      <c r="P50" s="203">
        <f t="shared" si="50"/>
        <v>0</v>
      </c>
      <c r="Q50" s="203">
        <f t="shared" ref="Q50" si="51">P50/O50*100</f>
        <v>0</v>
      </c>
      <c r="R50" s="203">
        <f t="shared" si="50"/>
        <v>0</v>
      </c>
      <c r="S50" s="203">
        <f t="shared" si="50"/>
        <v>0</v>
      </c>
      <c r="T50" s="203">
        <f t="shared" si="50"/>
        <v>0</v>
      </c>
      <c r="U50" s="203">
        <f t="shared" si="50"/>
        <v>0</v>
      </c>
      <c r="V50" s="203">
        <f t="shared" si="50"/>
        <v>0</v>
      </c>
      <c r="W50" s="203">
        <f t="shared" si="50"/>
        <v>0</v>
      </c>
      <c r="X50" s="203">
        <f t="shared" si="50"/>
        <v>179.7</v>
      </c>
      <c r="Y50" s="203">
        <f t="shared" si="50"/>
        <v>0</v>
      </c>
      <c r="Z50" s="203">
        <f t="shared" si="50"/>
        <v>0</v>
      </c>
      <c r="AA50" s="203">
        <f t="shared" si="50"/>
        <v>0</v>
      </c>
      <c r="AB50" s="203">
        <f t="shared" si="50"/>
        <v>0</v>
      </c>
      <c r="AC50" s="203">
        <f t="shared" si="50"/>
        <v>0</v>
      </c>
      <c r="AD50" s="203">
        <f t="shared" si="50"/>
        <v>0</v>
      </c>
      <c r="AE50" s="203">
        <f t="shared" si="50"/>
        <v>0</v>
      </c>
      <c r="AF50" s="203">
        <f t="shared" si="50"/>
        <v>0</v>
      </c>
      <c r="AG50" s="203">
        <f t="shared" si="50"/>
        <v>179.7</v>
      </c>
      <c r="AH50" s="203">
        <f t="shared" si="50"/>
        <v>0</v>
      </c>
      <c r="AI50" s="203">
        <f t="shared" si="50"/>
        <v>0</v>
      </c>
      <c r="AJ50" s="203">
        <f t="shared" si="50"/>
        <v>0</v>
      </c>
      <c r="AK50" s="203">
        <f t="shared" si="50"/>
        <v>0</v>
      </c>
      <c r="AL50" s="203">
        <f t="shared" si="50"/>
        <v>0</v>
      </c>
      <c r="AM50" s="203">
        <f t="shared" si="50"/>
        <v>120.2</v>
      </c>
      <c r="AN50" s="203">
        <f t="shared" si="50"/>
        <v>0</v>
      </c>
      <c r="AO50" s="203">
        <f t="shared" si="50"/>
        <v>0</v>
      </c>
      <c r="AP50" s="203">
        <f t="shared" si="50"/>
        <v>0</v>
      </c>
      <c r="AQ50" s="203">
        <f t="shared" si="50"/>
        <v>0</v>
      </c>
      <c r="AR50" s="203">
        <f t="shared" si="50"/>
        <v>0</v>
      </c>
      <c r="AS50" s="317"/>
      <c r="AT50" s="362"/>
      <c r="AU50" s="121"/>
      <c r="AV50" s="121"/>
      <c r="AW50" s="155"/>
    </row>
    <row r="51" spans="1:49" s="100" customFormat="1" ht="24">
      <c r="A51" s="410"/>
      <c r="B51" s="411"/>
      <c r="C51" s="411"/>
      <c r="D51" s="412"/>
      <c r="E51" s="205" t="s">
        <v>257</v>
      </c>
      <c r="F51" s="203">
        <f>F59</f>
        <v>0</v>
      </c>
      <c r="G51" s="203">
        <f t="shared" si="50"/>
        <v>0</v>
      </c>
      <c r="H51" s="203">
        <v>0</v>
      </c>
      <c r="I51" s="203">
        <f t="shared" si="50"/>
        <v>0</v>
      </c>
      <c r="J51" s="203">
        <f t="shared" si="50"/>
        <v>0</v>
      </c>
      <c r="K51" s="203">
        <f t="shared" si="50"/>
        <v>0</v>
      </c>
      <c r="L51" s="203">
        <f t="shared" si="50"/>
        <v>0</v>
      </c>
      <c r="M51" s="203">
        <f t="shared" si="50"/>
        <v>0</v>
      </c>
      <c r="N51" s="203">
        <v>0</v>
      </c>
      <c r="O51" s="203">
        <f t="shared" si="50"/>
        <v>0</v>
      </c>
      <c r="P51" s="203">
        <f t="shared" si="50"/>
        <v>0</v>
      </c>
      <c r="Q51" s="203">
        <f t="shared" si="50"/>
        <v>0</v>
      </c>
      <c r="R51" s="203">
        <f t="shared" si="50"/>
        <v>0</v>
      </c>
      <c r="S51" s="203">
        <f t="shared" si="50"/>
        <v>0</v>
      </c>
      <c r="T51" s="203">
        <f t="shared" si="50"/>
        <v>0</v>
      </c>
      <c r="U51" s="203">
        <f t="shared" si="50"/>
        <v>0</v>
      </c>
      <c r="V51" s="203">
        <f t="shared" si="50"/>
        <v>0</v>
      </c>
      <c r="W51" s="203">
        <f t="shared" si="50"/>
        <v>0</v>
      </c>
      <c r="X51" s="203">
        <f t="shared" si="50"/>
        <v>0</v>
      </c>
      <c r="Y51" s="203">
        <f t="shared" si="50"/>
        <v>0</v>
      </c>
      <c r="Z51" s="203">
        <f t="shared" si="50"/>
        <v>0</v>
      </c>
      <c r="AA51" s="203">
        <f t="shared" si="50"/>
        <v>0</v>
      </c>
      <c r="AB51" s="203">
        <f t="shared" si="50"/>
        <v>0</v>
      </c>
      <c r="AC51" s="203">
        <f t="shared" si="50"/>
        <v>0</v>
      </c>
      <c r="AD51" s="203">
        <f t="shared" si="50"/>
        <v>0</v>
      </c>
      <c r="AE51" s="203">
        <f t="shared" si="50"/>
        <v>0</v>
      </c>
      <c r="AF51" s="203">
        <f t="shared" si="50"/>
        <v>0</v>
      </c>
      <c r="AG51" s="203">
        <f t="shared" si="50"/>
        <v>0</v>
      </c>
      <c r="AH51" s="203">
        <f t="shared" si="50"/>
        <v>0</v>
      </c>
      <c r="AI51" s="203">
        <f t="shared" si="50"/>
        <v>0</v>
      </c>
      <c r="AJ51" s="203">
        <f t="shared" si="50"/>
        <v>0</v>
      </c>
      <c r="AK51" s="203">
        <f t="shared" si="50"/>
        <v>0</v>
      </c>
      <c r="AL51" s="203">
        <f t="shared" si="50"/>
        <v>0</v>
      </c>
      <c r="AM51" s="203">
        <f t="shared" si="50"/>
        <v>0</v>
      </c>
      <c r="AN51" s="203">
        <f t="shared" si="50"/>
        <v>0</v>
      </c>
      <c r="AO51" s="203">
        <f t="shared" si="50"/>
        <v>0</v>
      </c>
      <c r="AP51" s="203">
        <f t="shared" si="50"/>
        <v>0</v>
      </c>
      <c r="AQ51" s="203">
        <f t="shared" si="50"/>
        <v>0</v>
      </c>
      <c r="AR51" s="203">
        <f t="shared" si="50"/>
        <v>0</v>
      </c>
      <c r="AS51" s="318"/>
      <c r="AT51" s="363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311</v>
      </c>
      <c r="AT52" s="198"/>
      <c r="AU52" s="121"/>
      <c r="AV52" s="121"/>
      <c r="AW52" s="155"/>
    </row>
    <row r="53" spans="1:49" s="100" customFormat="1" ht="264">
      <c r="A53" s="199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01" t="s">
        <v>306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200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312</v>
      </c>
      <c r="AT54" s="134"/>
      <c r="AU54" s="121"/>
      <c r="AV54" s="121"/>
      <c r="AW54" s="155"/>
    </row>
    <row r="55" spans="1:49" s="100" customFormat="1" ht="84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313</v>
      </c>
      <c r="AT55" s="134"/>
      <c r="AU55" s="121"/>
      <c r="AV55" s="121"/>
      <c r="AW55" s="155"/>
    </row>
    <row r="56" spans="1:49" s="31" customFormat="1" ht="12.75">
      <c r="A56" s="364" t="s">
        <v>382</v>
      </c>
      <c r="B56" s="373" t="s">
        <v>259</v>
      </c>
      <c r="C56" s="413" t="s">
        <v>271</v>
      </c>
      <c r="D56" s="416" t="s">
        <v>383</v>
      </c>
      <c r="E56" s="107" t="s">
        <v>42</v>
      </c>
      <c r="F56" s="104">
        <f>SUM(F57:F59)</f>
        <v>599.4</v>
      </c>
      <c r="G56" s="104">
        <f t="shared" ref="G56" si="52">SUM(G57:G59)</f>
        <v>0</v>
      </c>
      <c r="H56" s="104">
        <f>G56/F56*100</f>
        <v>0</v>
      </c>
      <c r="I56" s="207">
        <f t="shared" ref="I56:AP56" si="53">I57+I58+I59</f>
        <v>0</v>
      </c>
      <c r="J56" s="207">
        <f t="shared" si="53"/>
        <v>0</v>
      </c>
      <c r="K56" s="104">
        <v>0</v>
      </c>
      <c r="L56" s="207">
        <f t="shared" si="53"/>
        <v>0</v>
      </c>
      <c r="M56" s="207">
        <f t="shared" si="53"/>
        <v>0</v>
      </c>
      <c r="N56" s="207">
        <v>0</v>
      </c>
      <c r="O56" s="207">
        <f t="shared" si="53"/>
        <v>119.8</v>
      </c>
      <c r="P56" s="207">
        <f t="shared" si="53"/>
        <v>0</v>
      </c>
      <c r="Q56" s="104">
        <f t="shared" ref="Q56:Q58" si="54">P56/O56*100</f>
        <v>0</v>
      </c>
      <c r="R56" s="207">
        <f t="shared" si="53"/>
        <v>0</v>
      </c>
      <c r="S56" s="207">
        <f t="shared" si="53"/>
        <v>0</v>
      </c>
      <c r="T56" s="207">
        <f t="shared" si="53"/>
        <v>0</v>
      </c>
      <c r="U56" s="207">
        <f t="shared" si="53"/>
        <v>0</v>
      </c>
      <c r="V56" s="207">
        <f t="shared" si="53"/>
        <v>0</v>
      </c>
      <c r="W56" s="104">
        <v>0</v>
      </c>
      <c r="X56" s="207">
        <f t="shared" si="53"/>
        <v>179.7</v>
      </c>
      <c r="Y56" s="207">
        <f t="shared" si="53"/>
        <v>0</v>
      </c>
      <c r="Z56" s="207">
        <f t="shared" si="53"/>
        <v>0</v>
      </c>
      <c r="AA56" s="207">
        <f t="shared" si="53"/>
        <v>0</v>
      </c>
      <c r="AB56" s="207">
        <f t="shared" si="53"/>
        <v>0</v>
      </c>
      <c r="AC56" s="207">
        <f t="shared" si="53"/>
        <v>0</v>
      </c>
      <c r="AD56" s="207">
        <f t="shared" si="53"/>
        <v>0</v>
      </c>
      <c r="AE56" s="207">
        <f t="shared" si="53"/>
        <v>0</v>
      </c>
      <c r="AF56" s="207">
        <f t="shared" si="53"/>
        <v>0</v>
      </c>
      <c r="AG56" s="207">
        <f t="shared" si="53"/>
        <v>179.7</v>
      </c>
      <c r="AH56" s="207">
        <f t="shared" si="53"/>
        <v>0</v>
      </c>
      <c r="AI56" s="105">
        <f>AH56/AG56*100</f>
        <v>0</v>
      </c>
      <c r="AJ56" s="207">
        <f t="shared" si="53"/>
        <v>0</v>
      </c>
      <c r="AK56" s="207">
        <f t="shared" si="53"/>
        <v>0</v>
      </c>
      <c r="AL56" s="207">
        <f t="shared" si="53"/>
        <v>0</v>
      </c>
      <c r="AM56" s="207">
        <f t="shared" si="53"/>
        <v>120.2</v>
      </c>
      <c r="AN56" s="207">
        <f t="shared" si="53"/>
        <v>0</v>
      </c>
      <c r="AO56" s="207">
        <f t="shared" si="53"/>
        <v>0</v>
      </c>
      <c r="AP56" s="207">
        <f t="shared" si="53"/>
        <v>0</v>
      </c>
      <c r="AQ56" s="104"/>
      <c r="AR56" s="104"/>
      <c r="AS56" s="343" t="s">
        <v>314</v>
      </c>
      <c r="AT56" s="419"/>
      <c r="AU56" s="121"/>
      <c r="AV56" s="121"/>
      <c r="AW56" s="155"/>
    </row>
    <row r="57" spans="1:49" s="31" customFormat="1" ht="36">
      <c r="A57" s="365"/>
      <c r="B57" s="374"/>
      <c r="C57" s="414"/>
      <c r="D57" s="417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44"/>
      <c r="AT57" s="420"/>
      <c r="AU57" s="121"/>
      <c r="AV57" s="121"/>
      <c r="AW57" s="155"/>
    </row>
    <row r="58" spans="1:49" s="31" customFormat="1" ht="12.75">
      <c r="A58" s="365"/>
      <c r="B58" s="374"/>
      <c r="C58" s="414"/>
      <c r="D58" s="417"/>
      <c r="E58" s="108" t="s">
        <v>44</v>
      </c>
      <c r="F58" s="104">
        <f t="shared" ref="F58:G59" si="55">I58+L58+O58+R58+U58+X58+AA58+AD58+AG58+AJ58+AM58+AP58</f>
        <v>599.4</v>
      </c>
      <c r="G58" s="104">
        <f t="shared" si="55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v>119.8</v>
      </c>
      <c r="P58" s="104">
        <v>0</v>
      </c>
      <c r="Q58" s="104">
        <f t="shared" si="54"/>
        <v>0</v>
      </c>
      <c r="R58" s="104">
        <v>0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44"/>
      <c r="AT58" s="420"/>
      <c r="AU58" s="121"/>
      <c r="AV58" s="121"/>
      <c r="AW58" s="155"/>
    </row>
    <row r="59" spans="1:49" s="31" customFormat="1" ht="24">
      <c r="A59" s="366"/>
      <c r="B59" s="375"/>
      <c r="C59" s="415"/>
      <c r="D59" s="418"/>
      <c r="E59" s="109" t="s">
        <v>257</v>
      </c>
      <c r="F59" s="104">
        <f t="shared" si="55"/>
        <v>0</v>
      </c>
      <c r="G59" s="104">
        <f t="shared" si="55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45"/>
      <c r="AT59" s="421"/>
      <c r="AU59" s="121"/>
      <c r="AV59" s="121"/>
      <c r="AW59" s="155"/>
    </row>
    <row r="60" spans="1:49" s="31" customFormat="1" ht="15.75">
      <c r="A60" s="349" t="s">
        <v>384</v>
      </c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1"/>
      <c r="AU60" s="121"/>
      <c r="AV60" s="121"/>
      <c r="AW60" s="155"/>
    </row>
    <row r="61" spans="1:49" s="31" customFormat="1" ht="15.75">
      <c r="A61" s="349" t="s">
        <v>385</v>
      </c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350"/>
      <c r="AT61" s="351"/>
      <c r="AU61" s="121"/>
      <c r="AV61" s="121"/>
      <c r="AW61" s="155"/>
    </row>
    <row r="62" spans="1:49" s="100" customFormat="1" ht="12.75">
      <c r="A62" s="352" t="s">
        <v>272</v>
      </c>
      <c r="B62" s="353"/>
      <c r="C62" s="353"/>
      <c r="D62" s="354"/>
      <c r="E62" s="129" t="s">
        <v>42</v>
      </c>
      <c r="F62" s="106">
        <f>F63+F64+F65</f>
        <v>10628.100000000002</v>
      </c>
      <c r="G62" s="106">
        <f t="shared" ref="G62:AP62" si="56">G63+G64+G65</f>
        <v>0</v>
      </c>
      <c r="H62" s="106">
        <f>G62/F62*100</f>
        <v>0</v>
      </c>
      <c r="I62" s="106">
        <f t="shared" si="56"/>
        <v>0</v>
      </c>
      <c r="J62" s="106">
        <f t="shared" si="56"/>
        <v>0</v>
      </c>
      <c r="K62" s="106">
        <v>0</v>
      </c>
      <c r="L62" s="106">
        <f t="shared" si="56"/>
        <v>2337.5</v>
      </c>
      <c r="M62" s="106">
        <f t="shared" si="56"/>
        <v>0</v>
      </c>
      <c r="N62" s="106">
        <f t="shared" si="56"/>
        <v>0</v>
      </c>
      <c r="O62" s="106">
        <f t="shared" si="56"/>
        <v>2141.4</v>
      </c>
      <c r="P62" s="106">
        <f t="shared" si="56"/>
        <v>0</v>
      </c>
      <c r="Q62" s="106">
        <f>P62/O62*100</f>
        <v>0</v>
      </c>
      <c r="R62" s="106">
        <f t="shared" si="56"/>
        <v>328.59999999999997</v>
      </c>
      <c r="S62" s="106">
        <f t="shared" si="56"/>
        <v>0</v>
      </c>
      <c r="T62" s="106">
        <f>S62/R62*100</f>
        <v>0</v>
      </c>
      <c r="U62" s="106">
        <f t="shared" si="56"/>
        <v>1220.6000000000001</v>
      </c>
      <c r="V62" s="106">
        <f t="shared" si="56"/>
        <v>0</v>
      </c>
      <c r="W62" s="106">
        <f t="shared" si="56"/>
        <v>0</v>
      </c>
      <c r="X62" s="106">
        <f t="shared" si="56"/>
        <v>1288.6000000000001</v>
      </c>
      <c r="Y62" s="106">
        <f t="shared" si="56"/>
        <v>0</v>
      </c>
      <c r="Z62" s="106">
        <f t="shared" si="56"/>
        <v>0</v>
      </c>
      <c r="AA62" s="106">
        <f t="shared" si="56"/>
        <v>1075.6000000000001</v>
      </c>
      <c r="AB62" s="106">
        <f t="shared" si="56"/>
        <v>0</v>
      </c>
      <c r="AC62" s="106">
        <f t="shared" si="56"/>
        <v>0</v>
      </c>
      <c r="AD62" s="106">
        <f t="shared" si="56"/>
        <v>150.6</v>
      </c>
      <c r="AE62" s="106">
        <f t="shared" si="56"/>
        <v>0</v>
      </c>
      <c r="AF62" s="106">
        <f t="shared" ref="AF62" si="57">AE62/AD62*100</f>
        <v>0</v>
      </c>
      <c r="AG62" s="106">
        <f t="shared" si="56"/>
        <v>200.6</v>
      </c>
      <c r="AH62" s="106">
        <f t="shared" si="56"/>
        <v>0</v>
      </c>
      <c r="AI62" s="106">
        <f t="shared" si="56"/>
        <v>0</v>
      </c>
      <c r="AJ62" s="106">
        <f t="shared" si="56"/>
        <v>162.6</v>
      </c>
      <c r="AK62" s="106">
        <f t="shared" si="56"/>
        <v>0</v>
      </c>
      <c r="AL62" s="106">
        <f t="shared" si="56"/>
        <v>0</v>
      </c>
      <c r="AM62" s="106">
        <f t="shared" si="56"/>
        <v>1350.0000000000002</v>
      </c>
      <c r="AN62" s="106">
        <f t="shared" si="56"/>
        <v>0</v>
      </c>
      <c r="AO62" s="106">
        <f t="shared" si="56"/>
        <v>0</v>
      </c>
      <c r="AP62" s="106">
        <f t="shared" si="56"/>
        <v>372</v>
      </c>
      <c r="AQ62" s="106">
        <f>AQ92+AQ100</f>
        <v>0</v>
      </c>
      <c r="AR62" s="106">
        <f>AR92+AR100</f>
        <v>0</v>
      </c>
      <c r="AS62" s="316"/>
      <c r="AT62" s="361"/>
      <c r="AU62" s="121"/>
      <c r="AV62" s="121"/>
      <c r="AW62" s="155"/>
    </row>
    <row r="63" spans="1:49" s="100" customFormat="1" ht="36">
      <c r="A63" s="355"/>
      <c r="B63" s="356"/>
      <c r="C63" s="356"/>
      <c r="D63" s="357"/>
      <c r="E63" s="111" t="s">
        <v>3</v>
      </c>
      <c r="F63" s="106">
        <f>F70+F74+F78</f>
        <v>0</v>
      </c>
      <c r="G63" s="106">
        <f t="shared" ref="G63:AR65" si="58">G70+G74+G78</f>
        <v>0</v>
      </c>
      <c r="H63" s="106">
        <v>0</v>
      </c>
      <c r="I63" s="106">
        <f t="shared" si="58"/>
        <v>0</v>
      </c>
      <c r="J63" s="106">
        <f t="shared" si="58"/>
        <v>0</v>
      </c>
      <c r="K63" s="106">
        <v>0</v>
      </c>
      <c r="L63" s="106">
        <f t="shared" si="58"/>
        <v>0</v>
      </c>
      <c r="M63" s="106">
        <f t="shared" si="58"/>
        <v>0</v>
      </c>
      <c r="N63" s="106">
        <f t="shared" si="58"/>
        <v>0</v>
      </c>
      <c r="O63" s="106">
        <f t="shared" si="58"/>
        <v>0</v>
      </c>
      <c r="P63" s="106">
        <f t="shared" si="58"/>
        <v>0</v>
      </c>
      <c r="Q63" s="106">
        <v>0</v>
      </c>
      <c r="R63" s="106">
        <f t="shared" si="58"/>
        <v>0</v>
      </c>
      <c r="S63" s="106">
        <f t="shared" si="58"/>
        <v>0</v>
      </c>
      <c r="T63" s="106">
        <v>0</v>
      </c>
      <c r="U63" s="106">
        <f t="shared" si="58"/>
        <v>0</v>
      </c>
      <c r="V63" s="106">
        <f t="shared" si="58"/>
        <v>0</v>
      </c>
      <c r="W63" s="106">
        <f t="shared" si="58"/>
        <v>0</v>
      </c>
      <c r="X63" s="106">
        <f t="shared" si="58"/>
        <v>0</v>
      </c>
      <c r="Y63" s="106">
        <f t="shared" si="58"/>
        <v>0</v>
      </c>
      <c r="Z63" s="106">
        <f t="shared" si="58"/>
        <v>0</v>
      </c>
      <c r="AA63" s="106">
        <f t="shared" si="58"/>
        <v>0</v>
      </c>
      <c r="AB63" s="106">
        <f t="shared" si="58"/>
        <v>0</v>
      </c>
      <c r="AC63" s="106">
        <f t="shared" si="58"/>
        <v>0</v>
      </c>
      <c r="AD63" s="106">
        <f t="shared" si="58"/>
        <v>0</v>
      </c>
      <c r="AE63" s="106">
        <f t="shared" si="58"/>
        <v>0</v>
      </c>
      <c r="AF63" s="106">
        <f t="shared" si="58"/>
        <v>0</v>
      </c>
      <c r="AG63" s="106">
        <f t="shared" si="58"/>
        <v>0</v>
      </c>
      <c r="AH63" s="106">
        <f t="shared" si="58"/>
        <v>0</v>
      </c>
      <c r="AI63" s="106">
        <f t="shared" si="58"/>
        <v>0</v>
      </c>
      <c r="AJ63" s="106">
        <f t="shared" si="58"/>
        <v>0</v>
      </c>
      <c r="AK63" s="106">
        <f t="shared" si="58"/>
        <v>0</v>
      </c>
      <c r="AL63" s="106">
        <f t="shared" si="58"/>
        <v>0</v>
      </c>
      <c r="AM63" s="106">
        <f t="shared" si="58"/>
        <v>0</v>
      </c>
      <c r="AN63" s="106">
        <f t="shared" si="58"/>
        <v>0</v>
      </c>
      <c r="AO63" s="106">
        <f t="shared" si="58"/>
        <v>0</v>
      </c>
      <c r="AP63" s="106">
        <f t="shared" si="58"/>
        <v>0</v>
      </c>
      <c r="AQ63" s="106">
        <f t="shared" si="58"/>
        <v>0</v>
      </c>
      <c r="AR63" s="106">
        <f t="shared" si="58"/>
        <v>0</v>
      </c>
      <c r="AS63" s="317"/>
      <c r="AT63" s="362"/>
      <c r="AU63" s="121"/>
      <c r="AV63" s="121"/>
      <c r="AW63" s="155"/>
    </row>
    <row r="64" spans="1:49" s="100" customFormat="1" ht="24">
      <c r="A64" s="355"/>
      <c r="B64" s="356"/>
      <c r="C64" s="356"/>
      <c r="D64" s="357"/>
      <c r="E64" s="111" t="s">
        <v>44</v>
      </c>
      <c r="F64" s="106">
        <f>F71+F75+F79</f>
        <v>10628.100000000002</v>
      </c>
      <c r="G64" s="106">
        <f t="shared" si="58"/>
        <v>0</v>
      </c>
      <c r="H64" s="106">
        <f>G64/F64*100</f>
        <v>0</v>
      </c>
      <c r="I64" s="106">
        <f t="shared" si="58"/>
        <v>0</v>
      </c>
      <c r="J64" s="106">
        <f t="shared" si="58"/>
        <v>0</v>
      </c>
      <c r="K64" s="106">
        <v>0</v>
      </c>
      <c r="L64" s="106">
        <f t="shared" si="58"/>
        <v>2337.5</v>
      </c>
      <c r="M64" s="106">
        <f t="shared" si="58"/>
        <v>0</v>
      </c>
      <c r="N64" s="106">
        <f t="shared" si="58"/>
        <v>0</v>
      </c>
      <c r="O64" s="106">
        <f t="shared" si="58"/>
        <v>2141.4</v>
      </c>
      <c r="P64" s="106">
        <f t="shared" si="58"/>
        <v>0</v>
      </c>
      <c r="Q64" s="106">
        <f t="shared" ref="Q64" si="59">P64/O64*100</f>
        <v>0</v>
      </c>
      <c r="R64" s="106">
        <f t="shared" si="58"/>
        <v>328.59999999999997</v>
      </c>
      <c r="S64" s="106">
        <f t="shared" si="58"/>
        <v>0</v>
      </c>
      <c r="T64" s="106">
        <f t="shared" ref="T64" si="60">S64/R64*100</f>
        <v>0</v>
      </c>
      <c r="U64" s="106">
        <f t="shared" si="58"/>
        <v>1220.6000000000001</v>
      </c>
      <c r="V64" s="106">
        <f t="shared" si="58"/>
        <v>0</v>
      </c>
      <c r="W64" s="106">
        <f t="shared" si="58"/>
        <v>0</v>
      </c>
      <c r="X64" s="106">
        <f t="shared" si="58"/>
        <v>1288.6000000000001</v>
      </c>
      <c r="Y64" s="106">
        <f t="shared" si="58"/>
        <v>0</v>
      </c>
      <c r="Z64" s="106">
        <f t="shared" si="58"/>
        <v>0</v>
      </c>
      <c r="AA64" s="106">
        <f t="shared" si="58"/>
        <v>1075.6000000000001</v>
      </c>
      <c r="AB64" s="106">
        <f t="shared" si="58"/>
        <v>0</v>
      </c>
      <c r="AC64" s="106">
        <f t="shared" si="58"/>
        <v>0</v>
      </c>
      <c r="AD64" s="106">
        <f t="shared" si="58"/>
        <v>150.6</v>
      </c>
      <c r="AE64" s="106">
        <f t="shared" si="58"/>
        <v>0</v>
      </c>
      <c r="AF64" s="106">
        <f t="shared" ref="AF64" si="61">AE64/AD64*100</f>
        <v>0</v>
      </c>
      <c r="AG64" s="106">
        <f t="shared" si="58"/>
        <v>200.6</v>
      </c>
      <c r="AH64" s="106">
        <f t="shared" si="58"/>
        <v>0</v>
      </c>
      <c r="AI64" s="106">
        <f t="shared" si="58"/>
        <v>0</v>
      </c>
      <c r="AJ64" s="106">
        <f t="shared" si="58"/>
        <v>162.6</v>
      </c>
      <c r="AK64" s="106">
        <f t="shared" si="58"/>
        <v>0</v>
      </c>
      <c r="AL64" s="106">
        <f t="shared" si="58"/>
        <v>0</v>
      </c>
      <c r="AM64" s="106">
        <f t="shared" si="58"/>
        <v>1350.0000000000002</v>
      </c>
      <c r="AN64" s="106">
        <f t="shared" si="58"/>
        <v>0</v>
      </c>
      <c r="AO64" s="106">
        <f t="shared" si="58"/>
        <v>0</v>
      </c>
      <c r="AP64" s="106">
        <f t="shared" si="58"/>
        <v>372</v>
      </c>
      <c r="AQ64" s="106">
        <f t="shared" si="58"/>
        <v>0</v>
      </c>
      <c r="AR64" s="106">
        <f t="shared" si="58"/>
        <v>0</v>
      </c>
      <c r="AS64" s="317"/>
      <c r="AT64" s="362"/>
      <c r="AU64" s="121"/>
      <c r="AV64" s="121"/>
      <c r="AW64" s="155"/>
    </row>
    <row r="65" spans="1:49" s="100" customFormat="1" ht="24">
      <c r="A65" s="358"/>
      <c r="B65" s="359"/>
      <c r="C65" s="359"/>
      <c r="D65" s="360"/>
      <c r="E65" s="110" t="s">
        <v>257</v>
      </c>
      <c r="F65" s="106">
        <f>F72+F76+F80</f>
        <v>0</v>
      </c>
      <c r="G65" s="106">
        <f t="shared" si="58"/>
        <v>0</v>
      </c>
      <c r="H65" s="106">
        <v>0</v>
      </c>
      <c r="I65" s="106">
        <f t="shared" si="58"/>
        <v>0</v>
      </c>
      <c r="J65" s="106">
        <f t="shared" si="58"/>
        <v>0</v>
      </c>
      <c r="K65" s="106">
        <v>0</v>
      </c>
      <c r="L65" s="106">
        <f t="shared" si="58"/>
        <v>0</v>
      </c>
      <c r="M65" s="106">
        <f t="shared" si="58"/>
        <v>0</v>
      </c>
      <c r="N65" s="106">
        <f t="shared" si="58"/>
        <v>0</v>
      </c>
      <c r="O65" s="106">
        <f t="shared" si="58"/>
        <v>0</v>
      </c>
      <c r="P65" s="106">
        <f t="shared" si="58"/>
        <v>0</v>
      </c>
      <c r="Q65" s="106">
        <v>0</v>
      </c>
      <c r="R65" s="106">
        <f t="shared" si="58"/>
        <v>0</v>
      </c>
      <c r="S65" s="106">
        <f t="shared" si="58"/>
        <v>0</v>
      </c>
      <c r="T65" s="106">
        <v>0</v>
      </c>
      <c r="U65" s="106">
        <f t="shared" si="58"/>
        <v>0</v>
      </c>
      <c r="V65" s="106">
        <f t="shared" si="58"/>
        <v>0</v>
      </c>
      <c r="W65" s="106">
        <f t="shared" si="58"/>
        <v>0</v>
      </c>
      <c r="X65" s="106">
        <f t="shared" si="58"/>
        <v>0</v>
      </c>
      <c r="Y65" s="106">
        <f t="shared" si="58"/>
        <v>0</v>
      </c>
      <c r="Z65" s="106">
        <f t="shared" si="58"/>
        <v>0</v>
      </c>
      <c r="AA65" s="106">
        <f t="shared" si="58"/>
        <v>0</v>
      </c>
      <c r="AB65" s="106">
        <f t="shared" si="58"/>
        <v>0</v>
      </c>
      <c r="AC65" s="106">
        <f t="shared" si="58"/>
        <v>0</v>
      </c>
      <c r="AD65" s="106">
        <f t="shared" si="58"/>
        <v>0</v>
      </c>
      <c r="AE65" s="106">
        <f t="shared" si="58"/>
        <v>0</v>
      </c>
      <c r="AF65" s="106">
        <f t="shared" si="58"/>
        <v>0</v>
      </c>
      <c r="AG65" s="106">
        <f t="shared" si="58"/>
        <v>0</v>
      </c>
      <c r="AH65" s="106">
        <f t="shared" si="58"/>
        <v>0</v>
      </c>
      <c r="AI65" s="106">
        <f t="shared" si="58"/>
        <v>0</v>
      </c>
      <c r="AJ65" s="106">
        <f t="shared" si="58"/>
        <v>0</v>
      </c>
      <c r="AK65" s="106">
        <f t="shared" si="58"/>
        <v>0</v>
      </c>
      <c r="AL65" s="106">
        <f t="shared" si="58"/>
        <v>0</v>
      </c>
      <c r="AM65" s="106">
        <f t="shared" si="58"/>
        <v>0</v>
      </c>
      <c r="AN65" s="106">
        <f t="shared" si="58"/>
        <v>0</v>
      </c>
      <c r="AO65" s="106">
        <f t="shared" si="58"/>
        <v>0</v>
      </c>
      <c r="AP65" s="106">
        <f t="shared" si="58"/>
        <v>0</v>
      </c>
      <c r="AQ65" s="106">
        <f t="shared" si="58"/>
        <v>0</v>
      </c>
      <c r="AR65" s="106">
        <f t="shared" si="58"/>
        <v>0</v>
      </c>
      <c r="AS65" s="318"/>
      <c r="AT65" s="363"/>
      <c r="AU65" s="121"/>
      <c r="AV65" s="121"/>
      <c r="AW65" s="155"/>
    </row>
    <row r="66" spans="1:49" s="100" customFormat="1" ht="144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32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25" t="s">
        <v>395</v>
      </c>
      <c r="B69" s="328" t="s">
        <v>396</v>
      </c>
      <c r="C69" s="331" t="s">
        <v>277</v>
      </c>
      <c r="D69" s="334" t="s">
        <v>397</v>
      </c>
      <c r="E69" s="107" t="s">
        <v>42</v>
      </c>
      <c r="F69" s="123">
        <f>SUM(F70:F72)</f>
        <v>1612.1</v>
      </c>
      <c r="G69" s="123">
        <f t="shared" ref="G69" si="62">SUM(G70:G72)</f>
        <v>0</v>
      </c>
      <c r="H69" s="123">
        <f>G69/F69*100</f>
        <v>0</v>
      </c>
      <c r="I69" s="138">
        <f t="shared" ref="I69:AP69" si="63">I70+I71+I72</f>
        <v>0</v>
      </c>
      <c r="J69" s="138">
        <f t="shared" si="63"/>
        <v>0</v>
      </c>
      <c r="K69" s="123">
        <v>0</v>
      </c>
      <c r="L69" s="138">
        <f t="shared" si="63"/>
        <v>61.4</v>
      </c>
      <c r="M69" s="132">
        <f t="shared" si="63"/>
        <v>0</v>
      </c>
      <c r="N69" s="132">
        <f>M69/L69*100</f>
        <v>0</v>
      </c>
      <c r="O69" s="132">
        <f t="shared" si="63"/>
        <v>207.4</v>
      </c>
      <c r="P69" s="132">
        <f t="shared" si="63"/>
        <v>0</v>
      </c>
      <c r="Q69" s="123">
        <f t="shared" ref="Q69:Q79" si="64">P69/O69*100</f>
        <v>0</v>
      </c>
      <c r="R69" s="132">
        <f t="shared" si="63"/>
        <v>61.4</v>
      </c>
      <c r="S69" s="132">
        <f t="shared" si="63"/>
        <v>0</v>
      </c>
      <c r="T69" s="132">
        <f>S69/R69*100</f>
        <v>0</v>
      </c>
      <c r="U69" s="138">
        <f t="shared" si="63"/>
        <v>61.4</v>
      </c>
      <c r="V69" s="138">
        <f t="shared" si="63"/>
        <v>0</v>
      </c>
      <c r="W69" s="132">
        <f t="shared" ref="W69" si="65">V69/U69*100</f>
        <v>0</v>
      </c>
      <c r="X69" s="132">
        <f t="shared" si="63"/>
        <v>61.4</v>
      </c>
      <c r="Y69" s="132">
        <f t="shared" si="63"/>
        <v>0</v>
      </c>
      <c r="Z69" s="132">
        <f t="shared" ref="Z69" si="66">Y69/X69*100</f>
        <v>0</v>
      </c>
      <c r="AA69" s="132">
        <f t="shared" si="63"/>
        <v>61.4</v>
      </c>
      <c r="AB69" s="132">
        <f t="shared" si="63"/>
        <v>0</v>
      </c>
      <c r="AC69" s="132">
        <f t="shared" ref="AC69" si="67">AB69/AA69*100</f>
        <v>0</v>
      </c>
      <c r="AD69" s="132">
        <f t="shared" si="63"/>
        <v>61.4</v>
      </c>
      <c r="AE69" s="138">
        <f t="shared" si="63"/>
        <v>0</v>
      </c>
      <c r="AF69" s="104">
        <f t="shared" ref="AF69" si="68">AE69/AD69*100</f>
        <v>0</v>
      </c>
      <c r="AG69" s="138">
        <f t="shared" si="63"/>
        <v>61.4</v>
      </c>
      <c r="AH69" s="138">
        <f t="shared" si="63"/>
        <v>0</v>
      </c>
      <c r="AI69" s="132">
        <f t="shared" ref="AI69" si="69">AH69/AG69*100</f>
        <v>0</v>
      </c>
      <c r="AJ69" s="138">
        <f t="shared" si="63"/>
        <v>61.4</v>
      </c>
      <c r="AK69" s="138">
        <f t="shared" si="63"/>
        <v>0</v>
      </c>
      <c r="AL69" s="138">
        <f t="shared" si="63"/>
        <v>0</v>
      </c>
      <c r="AM69" s="138">
        <f t="shared" si="63"/>
        <v>790.7</v>
      </c>
      <c r="AN69" s="138">
        <f t="shared" si="63"/>
        <v>0</v>
      </c>
      <c r="AO69" s="138">
        <f t="shared" si="63"/>
        <v>0</v>
      </c>
      <c r="AP69" s="138">
        <f t="shared" si="63"/>
        <v>122.8</v>
      </c>
      <c r="AQ69" s="104"/>
      <c r="AR69" s="104"/>
      <c r="AS69" s="337" t="s">
        <v>317</v>
      </c>
      <c r="AT69" s="340"/>
      <c r="AU69" s="121"/>
      <c r="AV69" s="121"/>
      <c r="AW69" s="155"/>
    </row>
    <row r="70" spans="1:49" s="31" customFormat="1" ht="36">
      <c r="A70" s="326"/>
      <c r="B70" s="329"/>
      <c r="C70" s="332"/>
      <c r="D70" s="335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8"/>
      <c r="AT70" s="341"/>
      <c r="AU70" s="121"/>
      <c r="AV70" s="121"/>
      <c r="AW70" s="155"/>
    </row>
    <row r="71" spans="1:49" s="31" customFormat="1" ht="12.75">
      <c r="A71" s="326"/>
      <c r="B71" s="329"/>
      <c r="C71" s="332"/>
      <c r="D71" s="335"/>
      <c r="E71" s="108" t="s">
        <v>44</v>
      </c>
      <c r="F71" s="123">
        <f t="shared" ref="F71:G72" si="70">I71+L71+O71+R71+U71+X71+AA71+AD71+AG71+AJ71+AM71+AP71</f>
        <v>1612.1</v>
      </c>
      <c r="G71" s="123">
        <f t="shared" si="70"/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71">M71/L71*100</f>
        <v>0</v>
      </c>
      <c r="O71" s="123">
        <v>207.4</v>
      </c>
      <c r="P71" s="123">
        <v>0</v>
      </c>
      <c r="Q71" s="123">
        <f t="shared" si="64"/>
        <v>0</v>
      </c>
      <c r="R71" s="123">
        <v>61.4</v>
      </c>
      <c r="S71" s="123">
        <v>0</v>
      </c>
      <c r="T71" s="132">
        <f t="shared" ref="T71:T79" si="72">S71/R71*100</f>
        <v>0</v>
      </c>
      <c r="U71" s="117">
        <v>61.4</v>
      </c>
      <c r="V71" s="117">
        <v>0</v>
      </c>
      <c r="W71" s="132">
        <f t="shared" ref="W71" si="73">V71/U71*100</f>
        <v>0</v>
      </c>
      <c r="X71" s="117">
        <v>61.4</v>
      </c>
      <c r="Y71" s="117">
        <v>0</v>
      </c>
      <c r="Z71" s="132">
        <f t="shared" ref="Z71" si="74">Y71/X71*100</f>
        <v>0</v>
      </c>
      <c r="AA71" s="117">
        <v>61.4</v>
      </c>
      <c r="AB71" s="117">
        <v>0</v>
      </c>
      <c r="AC71" s="132">
        <f t="shared" ref="AC71" si="75">AB71/AA71*100</f>
        <v>0</v>
      </c>
      <c r="AD71" s="117">
        <v>61.4</v>
      </c>
      <c r="AE71" s="117">
        <v>0</v>
      </c>
      <c r="AF71" s="132">
        <f t="shared" ref="AF71" si="76">AE71/AD71*100</f>
        <v>0</v>
      </c>
      <c r="AG71" s="117">
        <v>61.4</v>
      </c>
      <c r="AH71" s="117">
        <v>0</v>
      </c>
      <c r="AI71" s="132">
        <f t="shared" ref="AI71" si="77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38"/>
      <c r="AT71" s="341"/>
      <c r="AU71" s="121"/>
      <c r="AV71" s="121"/>
      <c r="AW71" s="155"/>
    </row>
    <row r="72" spans="1:49" s="31" customFormat="1" ht="24">
      <c r="A72" s="327"/>
      <c r="B72" s="330"/>
      <c r="C72" s="333"/>
      <c r="D72" s="336"/>
      <c r="E72" s="109" t="s">
        <v>257</v>
      </c>
      <c r="F72" s="123">
        <f t="shared" si="70"/>
        <v>0</v>
      </c>
      <c r="G72" s="123">
        <f t="shared" si="70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39"/>
      <c r="AT72" s="342"/>
      <c r="AU72" s="121"/>
      <c r="AV72" s="121"/>
      <c r="AW72" s="155"/>
    </row>
    <row r="73" spans="1:49" s="31" customFormat="1" ht="12.75">
      <c r="A73" s="325" t="s">
        <v>398</v>
      </c>
      <c r="B73" s="328" t="s">
        <v>258</v>
      </c>
      <c r="C73" s="331" t="s">
        <v>277</v>
      </c>
      <c r="D73" s="334" t="s">
        <v>400</v>
      </c>
      <c r="E73" s="107" t="s">
        <v>42</v>
      </c>
      <c r="F73" s="123">
        <f>SUM(F74:F76)</f>
        <v>455.1</v>
      </c>
      <c r="G73" s="123">
        <f t="shared" ref="G73" si="78">SUM(G74:G76)</f>
        <v>0</v>
      </c>
      <c r="H73" s="123">
        <f>G73/F73*100</f>
        <v>0</v>
      </c>
      <c r="I73" s="138">
        <f t="shared" ref="I73:AP73" si="79">I74+I75+I76</f>
        <v>0</v>
      </c>
      <c r="J73" s="138">
        <f t="shared" si="79"/>
        <v>0</v>
      </c>
      <c r="K73" s="123">
        <v>0</v>
      </c>
      <c r="L73" s="138">
        <f t="shared" si="79"/>
        <v>0</v>
      </c>
      <c r="M73" s="132">
        <f t="shared" si="79"/>
        <v>0</v>
      </c>
      <c r="N73" s="132">
        <v>0</v>
      </c>
      <c r="O73" s="132">
        <f t="shared" si="79"/>
        <v>0</v>
      </c>
      <c r="P73" s="132">
        <f t="shared" si="79"/>
        <v>0</v>
      </c>
      <c r="Q73" s="123">
        <v>0</v>
      </c>
      <c r="R73" s="132">
        <f t="shared" si="79"/>
        <v>0</v>
      </c>
      <c r="S73" s="132">
        <f t="shared" si="79"/>
        <v>0</v>
      </c>
      <c r="T73" s="132">
        <v>0</v>
      </c>
      <c r="U73" s="132">
        <f t="shared" si="79"/>
        <v>0</v>
      </c>
      <c r="V73" s="132">
        <f t="shared" si="79"/>
        <v>0</v>
      </c>
      <c r="W73" s="132">
        <f t="shared" si="79"/>
        <v>0</v>
      </c>
      <c r="X73" s="132">
        <f t="shared" si="79"/>
        <v>0</v>
      </c>
      <c r="Y73" s="132">
        <f t="shared" si="79"/>
        <v>0</v>
      </c>
      <c r="Z73" s="138">
        <f t="shared" si="79"/>
        <v>0</v>
      </c>
      <c r="AA73" s="138">
        <f t="shared" si="79"/>
        <v>0</v>
      </c>
      <c r="AB73" s="138">
        <f t="shared" si="79"/>
        <v>0</v>
      </c>
      <c r="AC73" s="138">
        <f t="shared" si="79"/>
        <v>0</v>
      </c>
      <c r="AD73" s="132">
        <f t="shared" si="79"/>
        <v>0</v>
      </c>
      <c r="AE73" s="132">
        <f t="shared" si="79"/>
        <v>0</v>
      </c>
      <c r="AF73" s="132">
        <f t="shared" si="79"/>
        <v>0</v>
      </c>
      <c r="AG73" s="132">
        <f t="shared" si="79"/>
        <v>0</v>
      </c>
      <c r="AH73" s="132">
        <f t="shared" si="79"/>
        <v>0</v>
      </c>
      <c r="AI73" s="132">
        <f t="shared" si="79"/>
        <v>0</v>
      </c>
      <c r="AJ73" s="132">
        <f t="shared" si="79"/>
        <v>0</v>
      </c>
      <c r="AK73" s="132">
        <f t="shared" si="79"/>
        <v>0</v>
      </c>
      <c r="AL73" s="132">
        <f t="shared" si="79"/>
        <v>0</v>
      </c>
      <c r="AM73" s="132">
        <f t="shared" si="79"/>
        <v>455.1</v>
      </c>
      <c r="AN73" s="132">
        <f t="shared" si="79"/>
        <v>0</v>
      </c>
      <c r="AO73" s="132">
        <f t="shared" si="79"/>
        <v>0</v>
      </c>
      <c r="AP73" s="132">
        <f t="shared" si="79"/>
        <v>0</v>
      </c>
      <c r="AQ73" s="104"/>
      <c r="AR73" s="104"/>
      <c r="AS73" s="343" t="s">
        <v>281</v>
      </c>
      <c r="AT73" s="346" t="s">
        <v>300</v>
      </c>
      <c r="AU73" s="121"/>
      <c r="AV73" s="121"/>
      <c r="AW73" s="155"/>
    </row>
    <row r="74" spans="1:49" s="31" customFormat="1" ht="36">
      <c r="A74" s="326"/>
      <c r="B74" s="329"/>
      <c r="C74" s="332"/>
      <c r="D74" s="335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4"/>
      <c r="AT74" s="347"/>
      <c r="AU74" s="121"/>
      <c r="AV74" s="121"/>
      <c r="AW74" s="155"/>
    </row>
    <row r="75" spans="1:49" s="31" customFormat="1" ht="12.75">
      <c r="A75" s="326"/>
      <c r="B75" s="329"/>
      <c r="C75" s="332"/>
      <c r="D75" s="335"/>
      <c r="E75" s="108" t="s">
        <v>44</v>
      </c>
      <c r="F75" s="123">
        <f t="shared" ref="F75:G76" si="80">I75+L75+O75+R75+U75+X75+AA75+AD75+AG75+AJ75+AM75+AP75</f>
        <v>455.1</v>
      </c>
      <c r="G75" s="123">
        <f t="shared" si="80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4"/>
      <c r="AT75" s="347"/>
      <c r="AU75" s="121"/>
      <c r="AV75" s="121"/>
      <c r="AW75" s="155"/>
    </row>
    <row r="76" spans="1:49" s="31" customFormat="1" ht="24">
      <c r="A76" s="327"/>
      <c r="B76" s="330"/>
      <c r="C76" s="333"/>
      <c r="D76" s="336"/>
      <c r="E76" s="109" t="s">
        <v>257</v>
      </c>
      <c r="F76" s="123">
        <f t="shared" si="80"/>
        <v>0</v>
      </c>
      <c r="G76" s="123">
        <f t="shared" si="80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5"/>
      <c r="AT76" s="348"/>
      <c r="AU76" s="121"/>
      <c r="AV76" s="121"/>
      <c r="AW76" s="155"/>
    </row>
    <row r="77" spans="1:49" s="31" customFormat="1" ht="12.75">
      <c r="A77" s="325" t="s">
        <v>399</v>
      </c>
      <c r="B77" s="328" t="s">
        <v>295</v>
      </c>
      <c r="C77" s="331" t="s">
        <v>401</v>
      </c>
      <c r="D77" s="334" t="s">
        <v>402</v>
      </c>
      <c r="E77" s="107" t="s">
        <v>42</v>
      </c>
      <c r="F77" s="123">
        <f>SUM(F78:F80)</f>
        <v>8560.9000000000015</v>
      </c>
      <c r="G77" s="123">
        <f t="shared" ref="G77" si="81">SUM(G78:G80)</f>
        <v>0</v>
      </c>
      <c r="H77" s="123">
        <f>G77/F77*100</f>
        <v>0</v>
      </c>
      <c r="I77" s="132">
        <f t="shared" ref="I77:AP77" si="82">I78+I79+I80</f>
        <v>0</v>
      </c>
      <c r="J77" s="132">
        <f t="shared" si="82"/>
        <v>0</v>
      </c>
      <c r="K77" s="123">
        <v>0</v>
      </c>
      <c r="L77" s="132">
        <f t="shared" si="82"/>
        <v>2276.1</v>
      </c>
      <c r="M77" s="132">
        <f t="shared" si="82"/>
        <v>0</v>
      </c>
      <c r="N77" s="132">
        <f>M77/L77*100</f>
        <v>0</v>
      </c>
      <c r="O77" s="132">
        <f t="shared" si="82"/>
        <v>1934</v>
      </c>
      <c r="P77" s="132">
        <f t="shared" si="82"/>
        <v>0</v>
      </c>
      <c r="Q77" s="123">
        <f t="shared" si="64"/>
        <v>0</v>
      </c>
      <c r="R77" s="132">
        <f t="shared" si="82"/>
        <v>267.2</v>
      </c>
      <c r="S77" s="132">
        <f t="shared" si="82"/>
        <v>0</v>
      </c>
      <c r="T77" s="132">
        <f t="shared" si="72"/>
        <v>0</v>
      </c>
      <c r="U77" s="132">
        <f t="shared" si="82"/>
        <v>1159.2</v>
      </c>
      <c r="V77" s="132">
        <f t="shared" si="82"/>
        <v>0</v>
      </c>
      <c r="W77" s="138">
        <f t="shared" ref="W77" si="83">V77/U77*100</f>
        <v>0</v>
      </c>
      <c r="X77" s="132">
        <f t="shared" si="82"/>
        <v>1227.2</v>
      </c>
      <c r="Y77" s="132">
        <f t="shared" si="82"/>
        <v>0</v>
      </c>
      <c r="Z77" s="132">
        <f t="shared" si="82"/>
        <v>0</v>
      </c>
      <c r="AA77" s="132">
        <f t="shared" si="82"/>
        <v>1014.2</v>
      </c>
      <c r="AB77" s="132">
        <f t="shared" si="82"/>
        <v>0</v>
      </c>
      <c r="AC77" s="117">
        <f>AB77/AA77*100</f>
        <v>0</v>
      </c>
      <c r="AD77" s="132">
        <f t="shared" si="82"/>
        <v>89.2</v>
      </c>
      <c r="AE77" s="132">
        <f t="shared" si="82"/>
        <v>0</v>
      </c>
      <c r="AF77" s="104">
        <f t="shared" ref="AF77" si="84">AE77/AD77*100</f>
        <v>0</v>
      </c>
      <c r="AG77" s="132">
        <f t="shared" si="82"/>
        <v>139.19999999999999</v>
      </c>
      <c r="AH77" s="132">
        <f t="shared" si="82"/>
        <v>0</v>
      </c>
      <c r="AI77" s="104">
        <f t="shared" ref="AI77" si="85">AH77/AG77*100</f>
        <v>0</v>
      </c>
      <c r="AJ77" s="132">
        <f t="shared" si="82"/>
        <v>101.2</v>
      </c>
      <c r="AK77" s="132">
        <f t="shared" si="82"/>
        <v>0</v>
      </c>
      <c r="AL77" s="132">
        <f t="shared" si="82"/>
        <v>0</v>
      </c>
      <c r="AM77" s="132">
        <f t="shared" si="82"/>
        <v>104.2</v>
      </c>
      <c r="AN77" s="132">
        <f t="shared" si="82"/>
        <v>0</v>
      </c>
      <c r="AO77" s="132">
        <f t="shared" si="82"/>
        <v>0</v>
      </c>
      <c r="AP77" s="132">
        <f t="shared" si="82"/>
        <v>249.20000000000002</v>
      </c>
      <c r="AQ77" s="104"/>
      <c r="AR77" s="104"/>
      <c r="AS77" s="337" t="s">
        <v>320</v>
      </c>
      <c r="AT77" s="340"/>
      <c r="AU77" s="121"/>
      <c r="AV77" s="121"/>
      <c r="AW77" s="155"/>
    </row>
    <row r="78" spans="1:49" s="31" customFormat="1" ht="36">
      <c r="A78" s="326"/>
      <c r="B78" s="329"/>
      <c r="C78" s="332"/>
      <c r="D78" s="335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8"/>
      <c r="AT78" s="341"/>
      <c r="AU78" s="121"/>
      <c r="AV78" s="121"/>
      <c r="AW78" s="155"/>
    </row>
    <row r="79" spans="1:49" s="31" customFormat="1" ht="12.75">
      <c r="A79" s="326"/>
      <c r="B79" s="329"/>
      <c r="C79" s="332"/>
      <c r="D79" s="335"/>
      <c r="E79" s="108" t="s">
        <v>44</v>
      </c>
      <c r="F79" s="123">
        <f t="shared" ref="F79:G80" si="86">I79+L79+O79+R79+U79+X79+AA79+AD79+AG79+AJ79+AM79+AP79</f>
        <v>8560.9000000000015</v>
      </c>
      <c r="G79" s="123">
        <f t="shared" si="86"/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87">M79/L79*100</f>
        <v>0</v>
      </c>
      <c r="O79" s="123">
        <f>1844+40+50</f>
        <v>1934</v>
      </c>
      <c r="P79" s="123">
        <v>0</v>
      </c>
      <c r="Q79" s="123">
        <f t="shared" si="64"/>
        <v>0</v>
      </c>
      <c r="R79" s="123">
        <f>229.2+38</f>
        <v>267.2</v>
      </c>
      <c r="S79" s="123">
        <v>0</v>
      </c>
      <c r="T79" s="138">
        <f t="shared" si="72"/>
        <v>0</v>
      </c>
      <c r="U79" s="117">
        <f>1129.2+30</f>
        <v>1159.2</v>
      </c>
      <c r="V79" s="117">
        <v>0</v>
      </c>
      <c r="W79" s="138">
        <f t="shared" ref="W79" si="88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89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8"/>
      <c r="AT79" s="341"/>
      <c r="AU79" s="121"/>
      <c r="AV79" s="121"/>
      <c r="AW79" s="155"/>
    </row>
    <row r="80" spans="1:49" s="31" customFormat="1" ht="24">
      <c r="A80" s="327"/>
      <c r="B80" s="330"/>
      <c r="C80" s="333"/>
      <c r="D80" s="336"/>
      <c r="E80" s="109" t="s">
        <v>257</v>
      </c>
      <c r="F80" s="123">
        <f t="shared" si="86"/>
        <v>0</v>
      </c>
      <c r="G80" s="123">
        <f t="shared" si="86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39"/>
      <c r="AT80" s="342"/>
      <c r="AU80" s="121"/>
      <c r="AV80" s="121"/>
      <c r="AW80" s="155"/>
    </row>
    <row r="81" spans="1:48" s="100" customFormat="1" ht="12.75">
      <c r="A81" s="307" t="s">
        <v>256</v>
      </c>
      <c r="B81" s="308"/>
      <c r="C81" s="308"/>
      <c r="D81" s="309"/>
      <c r="E81" s="110" t="s">
        <v>42</v>
      </c>
      <c r="F81" s="106">
        <f>F82+F83+F84</f>
        <v>433024.19999999995</v>
      </c>
      <c r="G81" s="106">
        <f t="shared" ref="G81:AP81" si="90">G82+G83+G84</f>
        <v>25267</v>
      </c>
      <c r="H81" s="106">
        <f>G81/F81*100</f>
        <v>5.8350087593256914</v>
      </c>
      <c r="I81" s="106">
        <f t="shared" si="90"/>
        <v>14942.5</v>
      </c>
      <c r="J81" s="106">
        <f t="shared" si="90"/>
        <v>25267</v>
      </c>
      <c r="K81" s="106">
        <f>J81/I81*100</f>
        <v>169.09486364396855</v>
      </c>
      <c r="L81" s="106">
        <f t="shared" si="90"/>
        <v>45743.000000000007</v>
      </c>
      <c r="M81" s="106">
        <f t="shared" si="90"/>
        <v>0</v>
      </c>
      <c r="N81" s="106">
        <f>M81/L81*100</f>
        <v>0</v>
      </c>
      <c r="O81" s="106">
        <f t="shared" si="90"/>
        <v>37993.800000000003</v>
      </c>
      <c r="P81" s="106">
        <f t="shared" si="90"/>
        <v>0</v>
      </c>
      <c r="Q81" s="106">
        <f>P81/O81*100</f>
        <v>0</v>
      </c>
      <c r="R81" s="106">
        <f t="shared" si="90"/>
        <v>43738.3</v>
      </c>
      <c r="S81" s="106">
        <f t="shared" si="90"/>
        <v>0</v>
      </c>
      <c r="T81" s="106">
        <f>S81/R81*100</f>
        <v>0</v>
      </c>
      <c r="U81" s="106">
        <f t="shared" si="90"/>
        <v>35345.399999999994</v>
      </c>
      <c r="V81" s="106">
        <f t="shared" si="90"/>
        <v>0</v>
      </c>
      <c r="W81" s="106">
        <f t="shared" si="90"/>
        <v>0</v>
      </c>
      <c r="X81" s="106">
        <f t="shared" si="90"/>
        <v>38567</v>
      </c>
      <c r="Y81" s="106">
        <f t="shared" si="90"/>
        <v>0</v>
      </c>
      <c r="Z81" s="106" t="e">
        <f t="shared" si="90"/>
        <v>#REF!</v>
      </c>
      <c r="AA81" s="106">
        <f t="shared" si="90"/>
        <v>50633.4</v>
      </c>
      <c r="AB81" s="106">
        <f t="shared" si="90"/>
        <v>0</v>
      </c>
      <c r="AC81" s="106" t="e">
        <f t="shared" si="90"/>
        <v>#REF!</v>
      </c>
      <c r="AD81" s="106">
        <f t="shared" si="90"/>
        <v>36461.199999999997</v>
      </c>
      <c r="AE81" s="106">
        <f t="shared" si="90"/>
        <v>0</v>
      </c>
      <c r="AF81" s="103">
        <f t="shared" ref="AF81:AF84" si="91">AE81/AD81*100</f>
        <v>0</v>
      </c>
      <c r="AG81" s="106">
        <f t="shared" si="90"/>
        <v>28451.69999999999</v>
      </c>
      <c r="AH81" s="106">
        <f t="shared" si="90"/>
        <v>0</v>
      </c>
      <c r="AI81" s="106" t="e">
        <f t="shared" si="90"/>
        <v>#REF!</v>
      </c>
      <c r="AJ81" s="106">
        <f t="shared" si="90"/>
        <v>24958.799999999999</v>
      </c>
      <c r="AK81" s="106">
        <f t="shared" si="90"/>
        <v>0</v>
      </c>
      <c r="AL81" s="106" t="e">
        <f t="shared" si="90"/>
        <v>#REF!</v>
      </c>
      <c r="AM81" s="106">
        <f t="shared" si="90"/>
        <v>25565.599999999995</v>
      </c>
      <c r="AN81" s="106">
        <f t="shared" si="90"/>
        <v>0</v>
      </c>
      <c r="AO81" s="106" t="e">
        <f t="shared" si="90"/>
        <v>#REF!</v>
      </c>
      <c r="AP81" s="106">
        <f t="shared" si="90"/>
        <v>50623.5</v>
      </c>
      <c r="AQ81" s="103">
        <f t="shared" ref="AQ81:AR81" si="92">SUM(AQ82:AQ84)</f>
        <v>0</v>
      </c>
      <c r="AR81" s="103" t="e">
        <f t="shared" si="92"/>
        <v>#REF!</v>
      </c>
      <c r="AS81" s="316"/>
      <c r="AT81" s="319"/>
      <c r="AU81" s="121"/>
      <c r="AV81" s="127"/>
    </row>
    <row r="82" spans="1:48" s="100" customFormat="1" ht="36">
      <c r="A82" s="310"/>
      <c r="B82" s="311"/>
      <c r="C82" s="311"/>
      <c r="D82" s="312"/>
      <c r="E82" s="111" t="s">
        <v>3</v>
      </c>
      <c r="F82" s="106">
        <f t="shared" ref="F82:G84" si="93">F10+F34+F49+F63</f>
        <v>124591.59999999998</v>
      </c>
      <c r="G82" s="106">
        <f t="shared" si="93"/>
        <v>924.5</v>
      </c>
      <c r="H82" s="106">
        <f>G82/F82*100</f>
        <v>0.7420243419299537</v>
      </c>
      <c r="I82" s="106">
        <f t="shared" ref="I82:J84" si="94">I10+I34+I49+I63</f>
        <v>949.99999999999989</v>
      </c>
      <c r="J82" s="106">
        <f t="shared" si="94"/>
        <v>924.5</v>
      </c>
      <c r="K82" s="106">
        <f t="shared" ref="K82:K84" si="95">J82/I82*100</f>
        <v>97.31578947368422</v>
      </c>
      <c r="L82" s="106">
        <f t="shared" ref="L82:M84" si="96">L10+L34+L49+L63</f>
        <v>8876.4</v>
      </c>
      <c r="M82" s="106">
        <f t="shared" si="96"/>
        <v>0</v>
      </c>
      <c r="N82" s="106">
        <f t="shared" ref="N82:N84" si="97">M82/L82*100</f>
        <v>0</v>
      </c>
      <c r="O82" s="106">
        <f t="shared" ref="O82:P84" si="98">O10+O34+O49+O63</f>
        <v>9433.7999999999993</v>
      </c>
      <c r="P82" s="106">
        <f t="shared" si="98"/>
        <v>0</v>
      </c>
      <c r="Q82" s="106">
        <f t="shared" ref="Q82:Q84" si="99">P82/O82*100</f>
        <v>0</v>
      </c>
      <c r="R82" s="106">
        <f t="shared" ref="R82:S84" si="100">R10+R34+R49+R63</f>
        <v>10145.4</v>
      </c>
      <c r="S82" s="106">
        <f t="shared" si="100"/>
        <v>0</v>
      </c>
      <c r="T82" s="106">
        <f t="shared" ref="T82:T84" si="101">S82/R82*100</f>
        <v>0</v>
      </c>
      <c r="U82" s="106">
        <f t="shared" ref="U82:AE84" si="102">U10+U34+U49+U63</f>
        <v>8496.3999999999978</v>
      </c>
      <c r="V82" s="106">
        <f t="shared" si="102"/>
        <v>0</v>
      </c>
      <c r="W82" s="106">
        <f t="shared" si="102"/>
        <v>0</v>
      </c>
      <c r="X82" s="106">
        <f t="shared" si="102"/>
        <v>10177.699999999999</v>
      </c>
      <c r="Y82" s="106">
        <f t="shared" si="102"/>
        <v>0</v>
      </c>
      <c r="Z82" s="106" t="e">
        <f t="shared" si="102"/>
        <v>#REF!</v>
      </c>
      <c r="AA82" s="106">
        <f t="shared" si="102"/>
        <v>11495.900000000001</v>
      </c>
      <c r="AB82" s="106">
        <f t="shared" si="102"/>
        <v>0</v>
      </c>
      <c r="AC82" s="106" t="e">
        <f t="shared" si="102"/>
        <v>#REF!</v>
      </c>
      <c r="AD82" s="106">
        <f t="shared" si="102"/>
        <v>11156.3</v>
      </c>
      <c r="AE82" s="106">
        <f t="shared" si="102"/>
        <v>0</v>
      </c>
      <c r="AF82" s="103">
        <f t="shared" si="91"/>
        <v>0</v>
      </c>
      <c r="AG82" s="106">
        <f t="shared" ref="AG82:AR84" si="103">AG10+AG34+AG49+AG63</f>
        <v>9422.9</v>
      </c>
      <c r="AH82" s="106">
        <f t="shared" si="103"/>
        <v>0</v>
      </c>
      <c r="AI82" s="106" t="e">
        <f t="shared" si="103"/>
        <v>#REF!</v>
      </c>
      <c r="AJ82" s="106">
        <f t="shared" si="103"/>
        <v>9978.1999999999989</v>
      </c>
      <c r="AK82" s="106">
        <f t="shared" si="103"/>
        <v>0</v>
      </c>
      <c r="AL82" s="106" t="e">
        <f t="shared" si="103"/>
        <v>#REF!</v>
      </c>
      <c r="AM82" s="106">
        <f t="shared" si="103"/>
        <v>8872.0999999999985</v>
      </c>
      <c r="AN82" s="106">
        <f t="shared" si="103"/>
        <v>0</v>
      </c>
      <c r="AO82" s="106" t="e">
        <f t="shared" si="103"/>
        <v>#REF!</v>
      </c>
      <c r="AP82" s="106">
        <f t="shared" si="103"/>
        <v>25586.5</v>
      </c>
      <c r="AQ82" s="106">
        <f t="shared" si="103"/>
        <v>0</v>
      </c>
      <c r="AR82" s="106" t="e">
        <f t="shared" si="103"/>
        <v>#REF!</v>
      </c>
      <c r="AS82" s="317"/>
      <c r="AT82" s="320"/>
      <c r="AU82" s="121"/>
      <c r="AV82" s="127"/>
    </row>
    <row r="83" spans="1:48" s="100" customFormat="1" ht="24">
      <c r="A83" s="310"/>
      <c r="B83" s="311"/>
      <c r="C83" s="311"/>
      <c r="D83" s="312"/>
      <c r="E83" s="111" t="s">
        <v>44</v>
      </c>
      <c r="F83" s="106">
        <f t="shared" si="93"/>
        <v>302600.5</v>
      </c>
      <c r="G83" s="106">
        <f t="shared" si="93"/>
        <v>24342.5</v>
      </c>
      <c r="H83" s="106">
        <f>G83/F83*100</f>
        <v>8.044434824132809</v>
      </c>
      <c r="I83" s="106">
        <f t="shared" si="94"/>
        <v>13730.7</v>
      </c>
      <c r="J83" s="106">
        <f t="shared" si="94"/>
        <v>24342.5</v>
      </c>
      <c r="K83" s="106">
        <f t="shared" si="95"/>
        <v>177.2852076004865</v>
      </c>
      <c r="L83" s="106">
        <f t="shared" si="96"/>
        <v>36530.100000000006</v>
      </c>
      <c r="M83" s="106">
        <f t="shared" si="96"/>
        <v>0</v>
      </c>
      <c r="N83" s="106">
        <f t="shared" si="97"/>
        <v>0</v>
      </c>
      <c r="O83" s="106">
        <f t="shared" si="98"/>
        <v>27748.7</v>
      </c>
      <c r="P83" s="106">
        <f t="shared" si="98"/>
        <v>0</v>
      </c>
      <c r="Q83" s="106">
        <f t="shared" si="99"/>
        <v>0</v>
      </c>
      <c r="R83" s="106">
        <f t="shared" si="100"/>
        <v>32852.300000000003</v>
      </c>
      <c r="S83" s="106">
        <f t="shared" si="100"/>
        <v>0</v>
      </c>
      <c r="T83" s="106">
        <f t="shared" si="101"/>
        <v>0</v>
      </c>
      <c r="U83" s="106">
        <f t="shared" si="102"/>
        <v>26369.299999999996</v>
      </c>
      <c r="V83" s="106">
        <f t="shared" si="102"/>
        <v>0</v>
      </c>
      <c r="W83" s="106">
        <f t="shared" si="102"/>
        <v>0</v>
      </c>
      <c r="X83" s="106">
        <f t="shared" si="102"/>
        <v>28036.499999999996</v>
      </c>
      <c r="Y83" s="106">
        <f t="shared" si="102"/>
        <v>0</v>
      </c>
      <c r="Z83" s="106" t="e">
        <f t="shared" si="102"/>
        <v>#REF!</v>
      </c>
      <c r="AA83" s="106">
        <f t="shared" si="102"/>
        <v>38312</v>
      </c>
      <c r="AB83" s="106">
        <f t="shared" si="102"/>
        <v>0</v>
      </c>
      <c r="AC83" s="106" t="e">
        <f t="shared" si="102"/>
        <v>#REF!</v>
      </c>
      <c r="AD83" s="106">
        <f t="shared" si="102"/>
        <v>24785.899999999998</v>
      </c>
      <c r="AE83" s="106">
        <f t="shared" si="102"/>
        <v>0</v>
      </c>
      <c r="AF83" s="106">
        <f t="shared" si="91"/>
        <v>0</v>
      </c>
      <c r="AG83" s="106">
        <f t="shared" si="103"/>
        <v>18727.199999999993</v>
      </c>
      <c r="AH83" s="106">
        <f t="shared" si="103"/>
        <v>0</v>
      </c>
      <c r="AI83" s="106" t="e">
        <f t="shared" si="103"/>
        <v>#REF!</v>
      </c>
      <c r="AJ83" s="106">
        <f t="shared" si="103"/>
        <v>14416.000000000002</v>
      </c>
      <c r="AK83" s="106">
        <f t="shared" si="103"/>
        <v>0</v>
      </c>
      <c r="AL83" s="106" t="e">
        <f t="shared" si="103"/>
        <v>#REF!</v>
      </c>
      <c r="AM83" s="106">
        <f t="shared" si="103"/>
        <v>16251.799999999997</v>
      </c>
      <c r="AN83" s="106">
        <f t="shared" si="103"/>
        <v>0</v>
      </c>
      <c r="AO83" s="106" t="e">
        <f t="shared" si="103"/>
        <v>#REF!</v>
      </c>
      <c r="AP83" s="106">
        <f t="shared" si="103"/>
        <v>24839.999999999996</v>
      </c>
      <c r="AQ83" s="106">
        <f t="shared" si="103"/>
        <v>0</v>
      </c>
      <c r="AR83" s="106" t="e">
        <f t="shared" si="103"/>
        <v>#REF!</v>
      </c>
      <c r="AS83" s="317"/>
      <c r="AT83" s="320"/>
      <c r="AU83" s="121"/>
      <c r="AV83" s="127"/>
    </row>
    <row r="84" spans="1:48" s="100" customFormat="1" ht="24">
      <c r="A84" s="313"/>
      <c r="B84" s="314"/>
      <c r="C84" s="314"/>
      <c r="D84" s="315"/>
      <c r="E84" s="110" t="s">
        <v>257</v>
      </c>
      <c r="F84" s="106">
        <f t="shared" si="93"/>
        <v>5832.1</v>
      </c>
      <c r="G84" s="106">
        <f t="shared" si="93"/>
        <v>0</v>
      </c>
      <c r="H84" s="106">
        <f>G84/F84*100</f>
        <v>0</v>
      </c>
      <c r="I84" s="106">
        <f t="shared" si="94"/>
        <v>261.8</v>
      </c>
      <c r="J84" s="106">
        <f t="shared" si="94"/>
        <v>0</v>
      </c>
      <c r="K84" s="106">
        <f t="shared" si="95"/>
        <v>0</v>
      </c>
      <c r="L84" s="106">
        <f t="shared" si="96"/>
        <v>336.5</v>
      </c>
      <c r="M84" s="106">
        <f t="shared" si="96"/>
        <v>0</v>
      </c>
      <c r="N84" s="106">
        <f t="shared" si="97"/>
        <v>0</v>
      </c>
      <c r="O84" s="106">
        <f t="shared" si="98"/>
        <v>811.3</v>
      </c>
      <c r="P84" s="106">
        <f t="shared" si="98"/>
        <v>0</v>
      </c>
      <c r="Q84" s="106">
        <f t="shared" si="99"/>
        <v>0</v>
      </c>
      <c r="R84" s="106">
        <f t="shared" si="100"/>
        <v>740.6</v>
      </c>
      <c r="S84" s="106">
        <f t="shared" si="100"/>
        <v>0</v>
      </c>
      <c r="T84" s="106">
        <f t="shared" si="101"/>
        <v>0</v>
      </c>
      <c r="U84" s="106">
        <f t="shared" si="102"/>
        <v>479.7</v>
      </c>
      <c r="V84" s="106">
        <f t="shared" si="102"/>
        <v>0</v>
      </c>
      <c r="W84" s="106">
        <f t="shared" si="102"/>
        <v>0</v>
      </c>
      <c r="X84" s="106">
        <f t="shared" si="102"/>
        <v>352.8</v>
      </c>
      <c r="Y84" s="106">
        <f t="shared" si="102"/>
        <v>0</v>
      </c>
      <c r="Z84" s="106" t="e">
        <f t="shared" si="102"/>
        <v>#REF!</v>
      </c>
      <c r="AA84" s="106">
        <f t="shared" si="102"/>
        <v>825.5</v>
      </c>
      <c r="AB84" s="106">
        <f t="shared" si="102"/>
        <v>0</v>
      </c>
      <c r="AC84" s="106" t="e">
        <f t="shared" si="102"/>
        <v>#REF!</v>
      </c>
      <c r="AD84" s="106">
        <f t="shared" si="102"/>
        <v>519</v>
      </c>
      <c r="AE84" s="106">
        <f t="shared" si="102"/>
        <v>0</v>
      </c>
      <c r="AF84" s="106">
        <f t="shared" si="91"/>
        <v>0</v>
      </c>
      <c r="AG84" s="106">
        <f t="shared" si="103"/>
        <v>301.60000000000002</v>
      </c>
      <c r="AH84" s="106">
        <f t="shared" si="103"/>
        <v>0</v>
      </c>
      <c r="AI84" s="106" t="e">
        <f t="shared" si="103"/>
        <v>#REF!</v>
      </c>
      <c r="AJ84" s="106">
        <f t="shared" si="103"/>
        <v>564.6</v>
      </c>
      <c r="AK84" s="106">
        <f t="shared" si="103"/>
        <v>0</v>
      </c>
      <c r="AL84" s="106" t="e">
        <f t="shared" si="103"/>
        <v>#REF!</v>
      </c>
      <c r="AM84" s="106">
        <f t="shared" si="103"/>
        <v>441.7</v>
      </c>
      <c r="AN84" s="106">
        <f t="shared" si="103"/>
        <v>0</v>
      </c>
      <c r="AO84" s="106" t="e">
        <f t="shared" si="103"/>
        <v>#REF!</v>
      </c>
      <c r="AP84" s="106">
        <f t="shared" si="103"/>
        <v>197</v>
      </c>
      <c r="AQ84" s="106">
        <f t="shared" si="103"/>
        <v>0</v>
      </c>
      <c r="AR84" s="106" t="e">
        <f t="shared" si="103"/>
        <v>#REF!</v>
      </c>
      <c r="AS84" s="318"/>
      <c r="AT84" s="321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22"/>
      <c r="C86" s="322"/>
      <c r="D86" s="322"/>
      <c r="E86" s="323"/>
      <c r="F86" s="324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6" t="s">
        <v>282</v>
      </c>
      <c r="B88" s="306"/>
      <c r="C88" s="306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6" t="s">
        <v>283</v>
      </c>
      <c r="B89" s="306"/>
      <c r="C89" s="306"/>
      <c r="D89" s="306"/>
      <c r="E89" s="306"/>
      <c r="F89" s="306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6"/>
      <c r="B90" s="306"/>
      <c r="C90" s="306"/>
      <c r="D90" s="306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6"/>
      <c r="B92" s="306"/>
      <c r="C92" s="306"/>
      <c r="D92" s="306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6" t="s">
        <v>404</v>
      </c>
      <c r="B96" s="306"/>
      <c r="C96" s="306"/>
      <c r="D96" s="306"/>
      <c r="AS96" s="131"/>
    </row>
    <row r="97" spans="1:45">
      <c r="A97" s="306" t="s">
        <v>291</v>
      </c>
      <c r="B97" s="306"/>
      <c r="C97" s="306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</mergeCells>
  <conditionalFormatting sqref="H91 H69:H80 H56:H59 H48:H51 H42:H45 H30:H31 H27:H28 H24 H14 H19">
    <cfRule type="cellIs" dxfId="2" priority="1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AP69" activePane="bottomRight" state="frozen"/>
      <selection pane="topRight" activeCell="E1" sqref="E1"/>
      <selection pane="bottomLeft" activeCell="A9" sqref="A9"/>
      <selection pane="bottomRight" activeCell="AT69" sqref="AT69:AT72"/>
    </sheetView>
  </sheetViews>
  <sheetFormatPr defaultRowHeight="15"/>
  <cols>
    <col min="2" max="3" width="23.7109375" customWidth="1"/>
    <col min="4" max="4" width="11.14062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customWidth="1"/>
    <col min="14" max="14" width="9.140625" customWidth="1"/>
    <col min="16" max="16" width="9.140625" customWidth="1"/>
    <col min="17" max="17" width="10.7109375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400" t="s">
        <v>405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196"/>
    </row>
    <row r="3" spans="1:49" s="118" customFormat="1" ht="15.75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197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12.75">
      <c r="A5" s="399" t="s">
        <v>0</v>
      </c>
      <c r="B5" s="399" t="s">
        <v>261</v>
      </c>
      <c r="C5" s="402" t="s">
        <v>47</v>
      </c>
      <c r="D5" s="402" t="s">
        <v>262</v>
      </c>
      <c r="E5" s="399" t="s">
        <v>1</v>
      </c>
      <c r="F5" s="399" t="s">
        <v>263</v>
      </c>
      <c r="G5" s="399"/>
      <c r="H5" s="399"/>
      <c r="I5" s="399" t="s">
        <v>18</v>
      </c>
      <c r="J5" s="399"/>
      <c r="K5" s="399"/>
      <c r="L5" s="399" t="s">
        <v>19</v>
      </c>
      <c r="M5" s="399"/>
      <c r="N5" s="399"/>
      <c r="O5" s="399" t="s">
        <v>23</v>
      </c>
      <c r="P5" s="399"/>
      <c r="Q5" s="399"/>
      <c r="R5" s="399" t="s">
        <v>25</v>
      </c>
      <c r="S5" s="399"/>
      <c r="T5" s="399"/>
      <c r="U5" s="399" t="s">
        <v>26</v>
      </c>
      <c r="V5" s="399"/>
      <c r="W5" s="399"/>
      <c r="X5" s="399" t="s">
        <v>27</v>
      </c>
      <c r="Y5" s="399"/>
      <c r="Z5" s="399"/>
      <c r="AA5" s="399" t="s">
        <v>29</v>
      </c>
      <c r="AB5" s="399"/>
      <c r="AC5" s="399"/>
      <c r="AD5" s="399" t="s">
        <v>30</v>
      </c>
      <c r="AE5" s="399"/>
      <c r="AF5" s="399"/>
      <c r="AG5" s="399" t="s">
        <v>31</v>
      </c>
      <c r="AH5" s="399"/>
      <c r="AI5" s="399"/>
      <c r="AJ5" s="399" t="s">
        <v>33</v>
      </c>
      <c r="AK5" s="399"/>
      <c r="AL5" s="399"/>
      <c r="AM5" s="399" t="s">
        <v>34</v>
      </c>
      <c r="AN5" s="399"/>
      <c r="AO5" s="399"/>
      <c r="AP5" s="399" t="s">
        <v>35</v>
      </c>
      <c r="AQ5" s="399"/>
      <c r="AR5" s="399"/>
      <c r="AS5" s="397" t="s">
        <v>273</v>
      </c>
      <c r="AT5" s="398" t="s">
        <v>274</v>
      </c>
      <c r="AU5" s="32"/>
      <c r="AV5" s="32"/>
    </row>
    <row r="6" spans="1:49" s="31" customFormat="1" ht="25.5">
      <c r="A6" s="399"/>
      <c r="B6" s="399"/>
      <c r="C6" s="403"/>
      <c r="D6" s="403"/>
      <c r="E6" s="399"/>
      <c r="F6" s="195" t="s">
        <v>264</v>
      </c>
      <c r="G6" s="195" t="s">
        <v>265</v>
      </c>
      <c r="H6" s="128" t="s">
        <v>266</v>
      </c>
      <c r="I6" s="195" t="s">
        <v>264</v>
      </c>
      <c r="J6" s="195" t="s">
        <v>265</v>
      </c>
      <c r="K6" s="128" t="s">
        <v>266</v>
      </c>
      <c r="L6" s="195" t="s">
        <v>264</v>
      </c>
      <c r="M6" s="195" t="s">
        <v>265</v>
      </c>
      <c r="N6" s="128" t="s">
        <v>266</v>
      </c>
      <c r="O6" s="195" t="s">
        <v>264</v>
      </c>
      <c r="P6" s="195" t="s">
        <v>265</v>
      </c>
      <c r="Q6" s="128" t="s">
        <v>266</v>
      </c>
      <c r="R6" s="195" t="s">
        <v>264</v>
      </c>
      <c r="S6" s="195" t="s">
        <v>265</v>
      </c>
      <c r="T6" s="128" t="s">
        <v>266</v>
      </c>
      <c r="U6" s="195" t="s">
        <v>264</v>
      </c>
      <c r="V6" s="195" t="s">
        <v>265</v>
      </c>
      <c r="W6" s="128" t="s">
        <v>266</v>
      </c>
      <c r="X6" s="195" t="s">
        <v>264</v>
      </c>
      <c r="Y6" s="195" t="s">
        <v>265</v>
      </c>
      <c r="Z6" s="128" t="s">
        <v>266</v>
      </c>
      <c r="AA6" s="195" t="s">
        <v>264</v>
      </c>
      <c r="AB6" s="195" t="s">
        <v>265</v>
      </c>
      <c r="AC6" s="128" t="s">
        <v>266</v>
      </c>
      <c r="AD6" s="195" t="s">
        <v>264</v>
      </c>
      <c r="AE6" s="195" t="s">
        <v>265</v>
      </c>
      <c r="AF6" s="128" t="s">
        <v>266</v>
      </c>
      <c r="AG6" s="195" t="s">
        <v>264</v>
      </c>
      <c r="AH6" s="195" t="s">
        <v>265</v>
      </c>
      <c r="AI6" s="128" t="s">
        <v>266</v>
      </c>
      <c r="AJ6" s="195" t="s">
        <v>264</v>
      </c>
      <c r="AK6" s="195" t="s">
        <v>265</v>
      </c>
      <c r="AL6" s="128" t="s">
        <v>266</v>
      </c>
      <c r="AM6" s="195" t="s">
        <v>264</v>
      </c>
      <c r="AN6" s="195" t="s">
        <v>265</v>
      </c>
      <c r="AO6" s="128" t="s">
        <v>266</v>
      </c>
      <c r="AP6" s="195" t="s">
        <v>264</v>
      </c>
      <c r="AQ6" s="195" t="s">
        <v>265</v>
      </c>
      <c r="AR6" s="128" t="s">
        <v>266</v>
      </c>
      <c r="AS6" s="397"/>
      <c r="AT6" s="398"/>
    </row>
    <row r="7" spans="1:49" s="31" customFormat="1" ht="15.75">
      <c r="A7" s="349" t="s">
        <v>322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1"/>
    </row>
    <row r="8" spans="1:49" s="31" customFormat="1" ht="15.75">
      <c r="A8" s="349" t="s">
        <v>294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1"/>
    </row>
    <row r="9" spans="1:49" s="100" customFormat="1" ht="12.75">
      <c r="A9" s="385" t="s">
        <v>267</v>
      </c>
      <c r="B9" s="386"/>
      <c r="C9" s="386"/>
      <c r="D9" s="387"/>
      <c r="E9" s="129" t="s">
        <v>42</v>
      </c>
      <c r="F9" s="106">
        <f>F10+F11+F12</f>
        <v>388439.29999999993</v>
      </c>
      <c r="G9" s="106">
        <f t="shared" ref="G9:AP9" si="0">G10+G11+G12</f>
        <v>82185.999999999985</v>
      </c>
      <c r="H9" s="106">
        <f t="shared" ref="H9:H17" si="1">G9/F9*100</f>
        <v>21.158003322526838</v>
      </c>
      <c r="I9" s="106">
        <f t="shared" si="0"/>
        <v>13186.399999999998</v>
      </c>
      <c r="J9" s="106">
        <f t="shared" si="0"/>
        <v>24711</v>
      </c>
      <c r="K9" s="106">
        <f>J9/I9*100</f>
        <v>187.39762179214952</v>
      </c>
      <c r="L9" s="106">
        <f t="shared" si="0"/>
        <v>40103.200000000004</v>
      </c>
      <c r="M9" s="106">
        <f t="shared" si="0"/>
        <v>31148.600000000002</v>
      </c>
      <c r="N9" s="106">
        <f>M9/L9*100</f>
        <v>77.67110853996688</v>
      </c>
      <c r="O9" s="106">
        <f t="shared" si="0"/>
        <v>34440.199999999997</v>
      </c>
      <c r="P9" s="106">
        <f t="shared" si="0"/>
        <v>26326.399999999998</v>
      </c>
      <c r="Q9" s="106">
        <f>P9/O9*100</f>
        <v>76.440903362930527</v>
      </c>
      <c r="R9" s="106">
        <f t="shared" si="0"/>
        <v>39588</v>
      </c>
      <c r="S9" s="106">
        <f t="shared" si="0"/>
        <v>0</v>
      </c>
      <c r="T9" s="106">
        <f>S9/R9*100</f>
        <v>0</v>
      </c>
      <c r="U9" s="106">
        <f t="shared" si="0"/>
        <v>31792.799999999996</v>
      </c>
      <c r="V9" s="106">
        <f t="shared" si="0"/>
        <v>0</v>
      </c>
      <c r="W9" s="106">
        <f>V9/U9*100</f>
        <v>0</v>
      </c>
      <c r="X9" s="106">
        <f t="shared" si="0"/>
        <v>37441.399999999994</v>
      </c>
      <c r="Y9" s="106">
        <f t="shared" si="0"/>
        <v>0</v>
      </c>
      <c r="Z9" s="106" t="e">
        <f t="shared" si="0"/>
        <v>#REF!</v>
      </c>
      <c r="AA9" s="106">
        <f t="shared" si="0"/>
        <v>46006.5</v>
      </c>
      <c r="AB9" s="106">
        <f t="shared" si="0"/>
        <v>0</v>
      </c>
      <c r="AC9" s="106" t="e">
        <f t="shared" si="0"/>
        <v>#REF!</v>
      </c>
      <c r="AD9" s="106">
        <f t="shared" si="0"/>
        <v>33870.399999999994</v>
      </c>
      <c r="AE9" s="106">
        <f t="shared" si="0"/>
        <v>0</v>
      </c>
      <c r="AF9" s="106">
        <f>AE9/AD9*100</f>
        <v>0</v>
      </c>
      <c r="AG9" s="106">
        <f t="shared" si="0"/>
        <v>24791.399999999998</v>
      </c>
      <c r="AH9" s="106">
        <f t="shared" si="0"/>
        <v>0</v>
      </c>
      <c r="AI9" s="106" t="e">
        <f t="shared" si="0"/>
        <v>#REF!</v>
      </c>
      <c r="AJ9" s="106">
        <f t="shared" si="0"/>
        <v>21830.899999999998</v>
      </c>
      <c r="AK9" s="106">
        <f t="shared" si="0"/>
        <v>0</v>
      </c>
      <c r="AL9" s="106" t="e">
        <f t="shared" si="0"/>
        <v>#REF!</v>
      </c>
      <c r="AM9" s="106">
        <f t="shared" si="0"/>
        <v>21887.199999999997</v>
      </c>
      <c r="AN9" s="106">
        <f t="shared" si="0"/>
        <v>0</v>
      </c>
      <c r="AO9" s="106" t="e">
        <f t="shared" si="0"/>
        <v>#REF!</v>
      </c>
      <c r="AP9" s="106">
        <f t="shared" si="0"/>
        <v>43500.899999999994</v>
      </c>
      <c r="AQ9" s="106" t="e">
        <f>#REF!+#REF!</f>
        <v>#REF!</v>
      </c>
      <c r="AR9" s="106" t="e">
        <f>#REF!+#REF!</f>
        <v>#REF!</v>
      </c>
      <c r="AS9" s="316"/>
      <c r="AT9" s="394"/>
      <c r="AU9" s="127"/>
    </row>
    <row r="10" spans="1:49" s="100" customFormat="1" ht="36">
      <c r="A10" s="388"/>
      <c r="B10" s="389"/>
      <c r="C10" s="389"/>
      <c r="D10" s="390"/>
      <c r="E10" s="111" t="s">
        <v>3</v>
      </c>
      <c r="F10" s="106">
        <f>F14+F18+F23+F26+F30</f>
        <v>94533.999999999971</v>
      </c>
      <c r="G10" s="106">
        <f>G14+G18+G23+G26+G30</f>
        <v>13891.1</v>
      </c>
      <c r="H10" s="106">
        <f t="shared" si="1"/>
        <v>14.694289885120702</v>
      </c>
      <c r="I10" s="106">
        <f>I14+I18+I23+I26+I30</f>
        <v>849.99999999999989</v>
      </c>
      <c r="J10" s="106">
        <f>J14+J18+J23+J26+J30</f>
        <v>826.6</v>
      </c>
      <c r="K10" s="106">
        <f t="shared" ref="K10:K12" si="2">J10/I10*100</f>
        <v>97.247058823529429</v>
      </c>
      <c r="L10" s="106">
        <f>L14+L18+L23+L26+L30</f>
        <v>6698.4</v>
      </c>
      <c r="M10" s="106">
        <f>M14+M18+M23+M26+M30</f>
        <v>6531.9000000000005</v>
      </c>
      <c r="N10" s="106">
        <f t="shared" ref="N10:N12" si="3">M10/L10*100</f>
        <v>97.514331780723779</v>
      </c>
      <c r="O10" s="106">
        <f>O14+O18+O23+O26+O30</f>
        <v>7010.7999999999993</v>
      </c>
      <c r="P10" s="106">
        <f>P14+P18+P23+P26+P30</f>
        <v>6532.6</v>
      </c>
      <c r="Q10" s="106">
        <f t="shared" ref="Q10:Q12" si="4">P10/O10*100</f>
        <v>93.179095110401107</v>
      </c>
      <c r="R10" s="106">
        <f>R14+R18+R23+R26+R30</f>
        <v>7150.7999999999993</v>
      </c>
      <c r="S10" s="106">
        <f>S14+S18+S23+S26+S30</f>
        <v>0</v>
      </c>
      <c r="T10" s="106">
        <f t="shared" ref="T10:T12" si="5">S10/R10*100</f>
        <v>0</v>
      </c>
      <c r="U10" s="106">
        <f>U14+U18+U23+U26+U30</f>
        <v>6616.3999999999987</v>
      </c>
      <c r="V10" s="106">
        <f>V14+V18+V23+V26+V30</f>
        <v>0</v>
      </c>
      <c r="W10" s="106">
        <f t="shared" ref="W10:W12" si="6">V10/U10*100</f>
        <v>0</v>
      </c>
      <c r="X10" s="106">
        <f>X14+X18+X23+X26+X30</f>
        <v>7788.7999999999993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8153.3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9168.0999999999985</v>
      </c>
      <c r="AE10" s="106">
        <f>AE14+AE18+AE23+AE26+AE30</f>
        <v>0</v>
      </c>
      <c r="AF10" s="106">
        <f t="shared" ref="AF10:AF25" si="7">AE10/AD10*100</f>
        <v>0</v>
      </c>
      <c r="AG10" s="106">
        <f>AG14+AG18+AG23+AG26+AG30</f>
        <v>6977.7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7065.1999999999989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7081.0999999999995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19973.399999999998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7"/>
      <c r="AT10" s="395"/>
      <c r="AU10" s="127"/>
    </row>
    <row r="11" spans="1:49" s="100" customFormat="1" ht="24">
      <c r="A11" s="388"/>
      <c r="B11" s="389"/>
      <c r="C11" s="389"/>
      <c r="D11" s="390"/>
      <c r="E11" s="111" t="s">
        <v>44</v>
      </c>
      <c r="F11" s="106">
        <f>F15+F19+F24+F27+F31</f>
        <v>288073.19999999995</v>
      </c>
      <c r="G11" s="106">
        <f>G15+G19+G24+G27+G31</f>
        <v>67488.999999999985</v>
      </c>
      <c r="H11" s="106">
        <f t="shared" si="1"/>
        <v>23.427726008528388</v>
      </c>
      <c r="I11" s="106">
        <f>I15+I19+I24+I27+I31</f>
        <v>12074.599999999999</v>
      </c>
      <c r="J11" s="106">
        <f>J15+J19+J24+J27+J31</f>
        <v>23884.400000000001</v>
      </c>
      <c r="K11" s="106">
        <f t="shared" si="2"/>
        <v>197.80696669040799</v>
      </c>
      <c r="L11" s="106">
        <f>L15+L19+L24+L27+L31</f>
        <v>33068.300000000003</v>
      </c>
      <c r="M11" s="106">
        <f>M15+M19+M24+M27+M31</f>
        <v>24395.100000000002</v>
      </c>
      <c r="N11" s="106">
        <f t="shared" si="3"/>
        <v>73.771860059331757</v>
      </c>
      <c r="O11" s="106">
        <f>O15+O19+O24+O27+O31</f>
        <v>26703.1</v>
      </c>
      <c r="P11" s="106">
        <f>P15+P19+P24+P27+P31</f>
        <v>19209.5</v>
      </c>
      <c r="Q11" s="106">
        <f t="shared" si="4"/>
        <v>71.937340608393782</v>
      </c>
      <c r="R11" s="106">
        <f>R15+R19+R24+R27+R31</f>
        <v>31696.600000000002</v>
      </c>
      <c r="S11" s="106">
        <f>S15+S19+S24+S27+S31</f>
        <v>0</v>
      </c>
      <c r="T11" s="106">
        <f t="shared" si="5"/>
        <v>0</v>
      </c>
      <c r="U11" s="106">
        <f>U15+U19+U24+U27+U31</f>
        <v>24696.699999999997</v>
      </c>
      <c r="V11" s="106">
        <f>V15+V19+V24+V27+V31</f>
        <v>0</v>
      </c>
      <c r="W11" s="106">
        <f t="shared" si="6"/>
        <v>0</v>
      </c>
      <c r="X11" s="106">
        <f>X15+X19+X24+X27+X31</f>
        <v>29200.899999999994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37184.1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7"/>
        <v>0</v>
      </c>
      <c r="AG11" s="106">
        <f>AG15+AG19+AG24+AG27+AG31</f>
        <v>17512.099999999999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14201.1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14279.699999999997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23272.699999999997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7"/>
      <c r="AT11" s="395"/>
      <c r="AU11" s="127"/>
    </row>
    <row r="12" spans="1:49" s="100" customFormat="1" ht="24">
      <c r="A12" s="391"/>
      <c r="B12" s="392"/>
      <c r="C12" s="392"/>
      <c r="D12" s="393"/>
      <c r="E12" s="110" t="s">
        <v>257</v>
      </c>
      <c r="F12" s="106">
        <f>F16+F20+F28</f>
        <v>5832.0999999999995</v>
      </c>
      <c r="G12" s="106">
        <f>G16+G20+G28</f>
        <v>805.9</v>
      </c>
      <c r="H12" s="106">
        <f t="shared" si="1"/>
        <v>13.818350165463556</v>
      </c>
      <c r="I12" s="106">
        <f>I16+I20+I28</f>
        <v>261.8</v>
      </c>
      <c r="J12" s="106">
        <f>J16+J20+J28</f>
        <v>0</v>
      </c>
      <c r="K12" s="106">
        <f t="shared" si="2"/>
        <v>0</v>
      </c>
      <c r="L12" s="106">
        <f>L16+L20+L28</f>
        <v>336.5</v>
      </c>
      <c r="M12" s="106">
        <f>M16+M20+M28</f>
        <v>221.6</v>
      </c>
      <c r="N12" s="106">
        <f t="shared" si="3"/>
        <v>65.854383358098062</v>
      </c>
      <c r="O12" s="106">
        <f>O16+O20+O28</f>
        <v>726.3</v>
      </c>
      <c r="P12" s="106">
        <f>P16+P20+P28</f>
        <v>584.29999999999995</v>
      </c>
      <c r="Q12" s="106">
        <f t="shared" si="4"/>
        <v>80.448850337326178</v>
      </c>
      <c r="R12" s="106">
        <f>R16+R20+R28</f>
        <v>740.6</v>
      </c>
      <c r="S12" s="106">
        <f>S16+S20+S28</f>
        <v>0</v>
      </c>
      <c r="T12" s="106">
        <f t="shared" si="5"/>
        <v>0</v>
      </c>
      <c r="U12" s="106">
        <f>U16+U20+U28</f>
        <v>479.7</v>
      </c>
      <c r="V12" s="106">
        <f>V16+V20+V28</f>
        <v>0</v>
      </c>
      <c r="W12" s="106">
        <f t="shared" si="6"/>
        <v>0</v>
      </c>
      <c r="X12" s="106">
        <f>X16+X20+X28</f>
        <v>451.70000000000005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669.1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7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526.4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254.8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8"/>
      <c r="AT12" s="396"/>
      <c r="AU12" s="127"/>
    </row>
    <row r="13" spans="1:49" s="31" customFormat="1" ht="12.75">
      <c r="A13" s="364" t="s">
        <v>323</v>
      </c>
      <c r="B13" s="328" t="s">
        <v>324</v>
      </c>
      <c r="C13" s="331" t="s">
        <v>325</v>
      </c>
      <c r="D13" s="331" t="s">
        <v>326</v>
      </c>
      <c r="E13" s="107" t="s">
        <v>42</v>
      </c>
      <c r="F13" s="104">
        <f>SUM(F14:F16)</f>
        <v>301286.39999999991</v>
      </c>
      <c r="G13" s="123">
        <f t="shared" ref="G13:P13" si="8">SUM(G14:G16)</f>
        <v>61490.299999999996</v>
      </c>
      <c r="H13" s="123">
        <f t="shared" si="1"/>
        <v>20.40925179496984</v>
      </c>
      <c r="I13" s="123">
        <f t="shared" si="8"/>
        <v>6660</v>
      </c>
      <c r="J13" s="123">
        <f t="shared" si="8"/>
        <v>18204.3</v>
      </c>
      <c r="K13" s="123">
        <f>J13/I13*100</f>
        <v>273.33783783783781</v>
      </c>
      <c r="L13" s="123">
        <f t="shared" si="8"/>
        <v>32305.4</v>
      </c>
      <c r="M13" s="123">
        <f t="shared" si="8"/>
        <v>23626.699999999997</v>
      </c>
      <c r="N13" s="123">
        <f>M13/L13*100</f>
        <v>73.135451039145153</v>
      </c>
      <c r="O13" s="123">
        <f t="shared" si="8"/>
        <v>27055.399999999998</v>
      </c>
      <c r="P13" s="123">
        <f t="shared" si="8"/>
        <v>19659.3</v>
      </c>
      <c r="Q13" s="123">
        <f>P13/O13*100</f>
        <v>72.66312824796529</v>
      </c>
      <c r="R13" s="123">
        <f t="shared" ref="R13:AR13" si="9">SUM(R14:R16)</f>
        <v>31994.9</v>
      </c>
      <c r="S13" s="123">
        <f t="shared" si="9"/>
        <v>0</v>
      </c>
      <c r="T13" s="123">
        <f>S13/R13*100</f>
        <v>0</v>
      </c>
      <c r="U13" s="123">
        <f t="shared" si="9"/>
        <v>24241.5</v>
      </c>
      <c r="V13" s="123">
        <f t="shared" si="9"/>
        <v>0</v>
      </c>
      <c r="W13" s="123">
        <f>V13/U13*100</f>
        <v>0</v>
      </c>
      <c r="X13" s="123">
        <f t="shared" si="9"/>
        <v>27456.999999999996</v>
      </c>
      <c r="Y13" s="123">
        <f t="shared" si="9"/>
        <v>0</v>
      </c>
      <c r="Z13" s="123">
        <f t="shared" si="9"/>
        <v>0</v>
      </c>
      <c r="AA13" s="104">
        <f t="shared" si="9"/>
        <v>37585.5</v>
      </c>
      <c r="AB13" s="123">
        <f t="shared" si="9"/>
        <v>0</v>
      </c>
      <c r="AC13" s="123">
        <f t="shared" si="9"/>
        <v>0</v>
      </c>
      <c r="AD13" s="104">
        <f t="shared" si="9"/>
        <v>26895.1</v>
      </c>
      <c r="AE13" s="104">
        <f t="shared" si="9"/>
        <v>0</v>
      </c>
      <c r="AF13" s="104">
        <f t="shared" si="7"/>
        <v>0</v>
      </c>
      <c r="AG13" s="104">
        <f t="shared" si="9"/>
        <v>18474.699999999997</v>
      </c>
      <c r="AH13" s="123">
        <f t="shared" si="9"/>
        <v>0</v>
      </c>
      <c r="AI13" s="123">
        <v>0</v>
      </c>
      <c r="AJ13" s="123">
        <f t="shared" si="9"/>
        <v>15428.3</v>
      </c>
      <c r="AK13" s="123">
        <f t="shared" si="9"/>
        <v>0</v>
      </c>
      <c r="AL13" s="123">
        <f t="shared" si="9"/>
        <v>0</v>
      </c>
      <c r="AM13" s="104">
        <f t="shared" si="9"/>
        <v>16324.299999999997</v>
      </c>
      <c r="AN13" s="123">
        <f t="shared" si="9"/>
        <v>0</v>
      </c>
      <c r="AO13" s="123">
        <f t="shared" si="9"/>
        <v>0</v>
      </c>
      <c r="AP13" s="104">
        <f t="shared" si="9"/>
        <v>36864.300000000003</v>
      </c>
      <c r="AQ13" s="123">
        <f t="shared" si="9"/>
        <v>0</v>
      </c>
      <c r="AR13" s="123">
        <f t="shared" si="9"/>
        <v>0</v>
      </c>
      <c r="AS13" s="337" t="s">
        <v>430</v>
      </c>
      <c r="AT13" s="443" t="s">
        <v>428</v>
      </c>
      <c r="AU13" s="121"/>
      <c r="AV13" s="121"/>
      <c r="AW13" s="155"/>
    </row>
    <row r="14" spans="1:49" s="31" customFormat="1" ht="36">
      <c r="A14" s="365"/>
      <c r="B14" s="329"/>
      <c r="C14" s="332"/>
      <c r="D14" s="332"/>
      <c r="E14" s="108" t="s">
        <v>3</v>
      </c>
      <c r="F14" s="123">
        <f>I14+L14+O14+R14+U14+X14+AA14+AD14+AG14+AJ14+AM14+AP14</f>
        <v>91986.599999999977</v>
      </c>
      <c r="G14" s="123">
        <f>J14+M14+P14+S14+V14+Y14+AB14+AE14+AH14+AK14+AN14+AQ14</f>
        <v>13734.2</v>
      </c>
      <c r="H14" s="123">
        <f t="shared" si="1"/>
        <v>14.930652942928649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6488.1</v>
      </c>
      <c r="N14" s="123">
        <f>M14/L14*100</f>
        <v>98.694838680235492</v>
      </c>
      <c r="O14" s="123">
        <f>5300+79.4+1165.4-6.3+184.6-147.7+295.4</f>
        <v>6870.7999999999993</v>
      </c>
      <c r="P14" s="123">
        <v>6419.5</v>
      </c>
      <c r="Q14" s="123">
        <f>P14/O14*100</f>
        <v>93.431623682831699</v>
      </c>
      <c r="R14" s="123">
        <f>5300+226+5+1479.9</f>
        <v>7010.9</v>
      </c>
      <c r="S14" s="123">
        <v>0</v>
      </c>
      <c r="T14" s="123">
        <v>0</v>
      </c>
      <c r="U14" s="117">
        <f>5300+19.7+79.4+21+897.9+136</f>
        <v>6453.9999999999991</v>
      </c>
      <c r="V14" s="117">
        <v>0</v>
      </c>
      <c r="W14" s="117">
        <v>0</v>
      </c>
      <c r="X14" s="117">
        <f>6259+53.9+5+1168.2-27.8+0.1</f>
        <v>7458.4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7486+216.1+5+1166.4-53.2</f>
        <v>8820.2999999999993</v>
      </c>
      <c r="AE14" s="117">
        <v>0</v>
      </c>
      <c r="AF14" s="117">
        <v>0</v>
      </c>
      <c r="AG14" s="117">
        <f>108.1+5300+71+123+136.5+561.4+365.7-0.1</f>
        <v>6665.5999999999995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11.1+17482.4+151.9+226.6+1870.8-217.2-85+395.6-82.8</f>
        <v>19753.399999999998</v>
      </c>
      <c r="AQ14" s="123"/>
      <c r="AR14" s="123"/>
      <c r="AS14" s="338"/>
      <c r="AT14" s="444"/>
      <c r="AU14" s="121"/>
      <c r="AV14" s="121"/>
      <c r="AW14" s="155"/>
    </row>
    <row r="15" spans="1:49" s="31" customFormat="1" ht="12.75">
      <c r="A15" s="365"/>
      <c r="B15" s="329"/>
      <c r="C15" s="332"/>
      <c r="D15" s="332"/>
      <c r="E15" s="108" t="s">
        <v>44</v>
      </c>
      <c r="F15" s="123">
        <f t="shared" ref="F15:G16" si="10">I15+L15+O15+R15+U15+X15+AA15+AD15+AG15+AJ15+AM15+AP15</f>
        <v>203467.69999999998</v>
      </c>
      <c r="G15" s="123">
        <f t="shared" si="10"/>
        <v>46950.2</v>
      </c>
      <c r="H15" s="123">
        <f t="shared" si="1"/>
        <v>23.075013871980662</v>
      </c>
      <c r="I15" s="123">
        <v>5548.2</v>
      </c>
      <c r="J15" s="123">
        <v>17377.7</v>
      </c>
      <c r="K15" s="123">
        <f>J15/I15*100</f>
        <v>313.213294401788</v>
      </c>
      <c r="L15" s="123">
        <f>517.2+2195.7+21252+496.8+361.9+645.7-74+0.3-0.6</f>
        <v>25395.000000000004</v>
      </c>
      <c r="M15" s="123">
        <v>16917</v>
      </c>
      <c r="N15" s="123">
        <f t="shared" ref="N15:N22" si="11">M15/L15*100</f>
        <v>66.615475487300628</v>
      </c>
      <c r="O15" s="123">
        <f>938.9+1669.1+15140.2+361.8+251.7+81+61.3-1+41.1+913.8+0.4</f>
        <v>19458.3</v>
      </c>
      <c r="P15" s="123">
        <v>12655.5</v>
      </c>
      <c r="Q15" s="123">
        <f t="shared" ref="Q15:Q22" si="12">P15/O15*100</f>
        <v>65.039083578729901</v>
      </c>
      <c r="R15" s="123">
        <f>662.3+2139.5+21249.9+500+398.9+68.6+40-815.8</f>
        <v>24243.4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334.2+1608.2+15696.6+500+535.6+174.6-0.2-122.8+820.7</f>
        <v>19546.899999999998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410.5+1275+9041.8+500+537.9+527.3-0.2-784.8</f>
        <v>11507.499999999998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257+1140.6+13806+958+795.4-41.1-98+74.1-0.3+0.6-36.2</f>
        <v>16856.099999999999</v>
      </c>
      <c r="AQ15" s="123"/>
      <c r="AR15" s="123"/>
      <c r="AS15" s="338"/>
      <c r="AT15" s="444"/>
      <c r="AU15" s="121"/>
      <c r="AV15" s="121"/>
      <c r="AW15" s="155"/>
    </row>
    <row r="16" spans="1:49" s="31" customFormat="1" ht="71.25" customHeight="1">
      <c r="A16" s="366"/>
      <c r="B16" s="330"/>
      <c r="C16" s="333"/>
      <c r="D16" s="333"/>
      <c r="E16" s="109" t="s">
        <v>257</v>
      </c>
      <c r="F16" s="123">
        <f t="shared" si="10"/>
        <v>5832.0999999999995</v>
      </c>
      <c r="G16" s="123">
        <f t="shared" si="10"/>
        <v>805.9</v>
      </c>
      <c r="H16" s="123">
        <f t="shared" si="1"/>
        <v>13.818350165463556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221.6</v>
      </c>
      <c r="N16" s="123">
        <f t="shared" si="11"/>
        <v>65.854383358098062</v>
      </c>
      <c r="O16" s="123">
        <f>811.3-84.7-0.3</f>
        <v>726.3</v>
      </c>
      <c r="P16" s="123">
        <v>584.29999999999995</v>
      </c>
      <c r="Q16" s="123">
        <f t="shared" si="12"/>
        <v>80.448850337326178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f>352.8+98.9</f>
        <v>451.70000000000005</v>
      </c>
      <c r="Y16" s="117">
        <v>0</v>
      </c>
      <c r="Z16" s="117">
        <v>0</v>
      </c>
      <c r="AA16" s="123">
        <f>825.5-156.4</f>
        <v>669.1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f>441.7+84.7</f>
        <v>526.4</v>
      </c>
      <c r="AN16" s="117">
        <v>0</v>
      </c>
      <c r="AO16" s="117">
        <v>0</v>
      </c>
      <c r="AP16" s="117">
        <f>197+57.8</f>
        <v>254.8</v>
      </c>
      <c r="AQ16" s="123"/>
      <c r="AR16" s="123"/>
      <c r="AS16" s="339"/>
      <c r="AT16" s="445"/>
      <c r="AU16" s="121"/>
      <c r="AV16" s="121"/>
      <c r="AW16" s="155"/>
    </row>
    <row r="17" spans="1:49" s="31" customFormat="1" ht="12.75">
      <c r="A17" s="364" t="s">
        <v>327</v>
      </c>
      <c r="B17" s="328" t="s">
        <v>328</v>
      </c>
      <c r="C17" s="331" t="s">
        <v>329</v>
      </c>
      <c r="D17" s="334" t="s">
        <v>330</v>
      </c>
      <c r="E17" s="107" t="s">
        <v>42</v>
      </c>
      <c r="F17" s="123">
        <f>SUM(F18:F20)</f>
        <v>77800</v>
      </c>
      <c r="G17" s="123">
        <f t="shared" ref="G17:P17" si="15">SUM(G18:G20)</f>
        <v>18872.599999999999</v>
      </c>
      <c r="H17" s="123">
        <f t="shared" si="1"/>
        <v>24.257840616966579</v>
      </c>
      <c r="I17" s="123">
        <f t="shared" si="15"/>
        <v>6091.6</v>
      </c>
      <c r="J17" s="123">
        <f t="shared" si="15"/>
        <v>6082.4</v>
      </c>
      <c r="K17" s="123">
        <f>J17/I17*100</f>
        <v>99.848972355374599</v>
      </c>
      <c r="L17" s="123">
        <f t="shared" si="15"/>
        <v>6886.9</v>
      </c>
      <c r="M17" s="123">
        <f t="shared" si="15"/>
        <v>6744.5</v>
      </c>
      <c r="N17" s="123">
        <f t="shared" si="11"/>
        <v>97.932306262614532</v>
      </c>
      <c r="O17" s="123">
        <f t="shared" si="15"/>
        <v>6537.7</v>
      </c>
      <c r="P17" s="123">
        <f t="shared" si="15"/>
        <v>6045.7</v>
      </c>
      <c r="Q17" s="123">
        <f t="shared" si="12"/>
        <v>92.474417608639129</v>
      </c>
      <c r="R17" s="123">
        <f t="shared" ref="R17:AB17" si="16">SUM(R18:R20)</f>
        <v>6898.7</v>
      </c>
      <c r="S17" s="123">
        <f t="shared" si="16"/>
        <v>0</v>
      </c>
      <c r="T17" s="123">
        <f t="shared" si="13"/>
        <v>0</v>
      </c>
      <c r="U17" s="123">
        <f t="shared" si="16"/>
        <v>6826.3</v>
      </c>
      <c r="V17" s="123">
        <f t="shared" si="16"/>
        <v>0</v>
      </c>
      <c r="W17" s="123">
        <f t="shared" ref="W17" si="17">V17/U17*100</f>
        <v>0</v>
      </c>
      <c r="X17" s="123">
        <f t="shared" si="16"/>
        <v>9052.9</v>
      </c>
      <c r="Y17" s="123">
        <f t="shared" si="16"/>
        <v>0</v>
      </c>
      <c r="Z17" s="123">
        <f>Y17/X17*100</f>
        <v>0</v>
      </c>
      <c r="AA17" s="104">
        <f t="shared" si="16"/>
        <v>7429.2</v>
      </c>
      <c r="AB17" s="123">
        <f t="shared" si="16"/>
        <v>0</v>
      </c>
      <c r="AC17" s="123">
        <f>SUM(AC18:AC20)</f>
        <v>0</v>
      </c>
      <c r="AD17" s="104">
        <f t="shared" ref="AD17:AR17" si="18">SUM(AD18:AD20)</f>
        <v>6016.2</v>
      </c>
      <c r="AE17" s="104">
        <f t="shared" si="18"/>
        <v>0</v>
      </c>
      <c r="AF17" s="104">
        <f t="shared" si="7"/>
        <v>0</v>
      </c>
      <c r="AG17" s="104">
        <f t="shared" si="18"/>
        <v>5470</v>
      </c>
      <c r="AH17" s="123">
        <f t="shared" si="18"/>
        <v>0</v>
      </c>
      <c r="AI17" s="123">
        <f t="shared" si="18"/>
        <v>0</v>
      </c>
      <c r="AJ17" s="123">
        <f t="shared" si="18"/>
        <v>5538.5</v>
      </c>
      <c r="AK17" s="123">
        <f t="shared" si="18"/>
        <v>0</v>
      </c>
      <c r="AL17" s="123">
        <f t="shared" si="18"/>
        <v>0</v>
      </c>
      <c r="AM17" s="104">
        <f t="shared" si="18"/>
        <v>5036.7</v>
      </c>
      <c r="AN17" s="123">
        <f t="shared" si="18"/>
        <v>0</v>
      </c>
      <c r="AO17" s="123">
        <f t="shared" si="18"/>
        <v>0</v>
      </c>
      <c r="AP17" s="104">
        <f t="shared" si="18"/>
        <v>6015.3</v>
      </c>
      <c r="AQ17" s="123">
        <f t="shared" si="18"/>
        <v>0</v>
      </c>
      <c r="AR17" s="123">
        <f t="shared" si="18"/>
        <v>0</v>
      </c>
      <c r="AS17" s="337" t="s">
        <v>408</v>
      </c>
      <c r="AT17" s="443" t="s">
        <v>406</v>
      </c>
      <c r="AU17" s="121"/>
      <c r="AV17" s="121"/>
      <c r="AW17" s="155"/>
    </row>
    <row r="18" spans="1:49" s="31" customFormat="1" ht="36">
      <c r="A18" s="365"/>
      <c r="B18" s="329"/>
      <c r="C18" s="332"/>
      <c r="D18" s="335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8"/>
      <c r="AT18" s="444"/>
      <c r="AU18" s="121"/>
      <c r="AV18" s="121"/>
      <c r="AW18" s="155"/>
    </row>
    <row r="19" spans="1:49" s="31" customFormat="1" ht="12.75">
      <c r="A19" s="365"/>
      <c r="B19" s="329"/>
      <c r="C19" s="332"/>
      <c r="D19" s="335"/>
      <c r="E19" s="108" t="s">
        <v>44</v>
      </c>
      <c r="F19" s="123">
        <f t="shared" ref="F19:G20" si="19">I19+L19+O19+R19+U19+X19+AA19+AD19+AG19+AJ19+AM19+AP19</f>
        <v>77800</v>
      </c>
      <c r="G19" s="123">
        <f t="shared" si="19"/>
        <v>18872.599999999999</v>
      </c>
      <c r="H19" s="123">
        <f>G19/F19*100</f>
        <v>24.257840616966579</v>
      </c>
      <c r="I19" s="123">
        <v>6091.6</v>
      </c>
      <c r="J19" s="123">
        <v>6082.4</v>
      </c>
      <c r="K19" s="123">
        <f t="shared" ref="K19" si="20">J19/I19*100</f>
        <v>99.848972355374599</v>
      </c>
      <c r="L19" s="123">
        <v>6886.9</v>
      </c>
      <c r="M19" s="123">
        <v>6744.5</v>
      </c>
      <c r="N19" s="123">
        <v>0</v>
      </c>
      <c r="O19" s="123">
        <v>6537.7</v>
      </c>
      <c r="P19" s="123">
        <v>6045.7</v>
      </c>
      <c r="Q19" s="123">
        <v>0</v>
      </c>
      <c r="R19" s="123">
        <v>6898.7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9052.9</v>
      </c>
      <c r="Y19" s="117">
        <v>0</v>
      </c>
      <c r="Z19" s="117">
        <v>0</v>
      </c>
      <c r="AA19" s="123">
        <v>7429.2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5538.5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6015.3</v>
      </c>
      <c r="AQ19" s="123"/>
      <c r="AR19" s="123"/>
      <c r="AS19" s="338"/>
      <c r="AT19" s="444"/>
      <c r="AU19" s="121"/>
      <c r="AV19" s="121"/>
      <c r="AW19" s="155"/>
    </row>
    <row r="20" spans="1:49" s="31" customFormat="1" ht="73.5" customHeight="1">
      <c r="A20" s="366"/>
      <c r="B20" s="330"/>
      <c r="C20" s="333"/>
      <c r="D20" s="336"/>
      <c r="E20" s="109" t="s">
        <v>257</v>
      </c>
      <c r="F20" s="123">
        <f t="shared" si="19"/>
        <v>0</v>
      </c>
      <c r="G20" s="123">
        <f t="shared" si="19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39"/>
      <c r="AT20" s="445"/>
      <c r="AU20" s="121"/>
      <c r="AV20" s="121"/>
      <c r="AW20" s="155"/>
    </row>
    <row r="21" spans="1:49" s="31" customFormat="1" ht="59.25" customHeight="1">
      <c r="A21" s="190" t="s">
        <v>331</v>
      </c>
      <c r="B21" s="210" t="s">
        <v>332</v>
      </c>
      <c r="C21" s="186" t="s">
        <v>333</v>
      </c>
      <c r="D21" s="187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88"/>
      <c r="AT21" s="189"/>
      <c r="AU21" s="121"/>
      <c r="AV21" s="121"/>
      <c r="AW21" s="155"/>
    </row>
    <row r="22" spans="1:49" s="31" customFormat="1" ht="12.75">
      <c r="A22" s="364" t="s">
        <v>334</v>
      </c>
      <c r="B22" s="328" t="s">
        <v>335</v>
      </c>
      <c r="C22" s="331" t="s">
        <v>268</v>
      </c>
      <c r="D22" s="334" t="s">
        <v>336</v>
      </c>
      <c r="E22" s="107" t="s">
        <v>42</v>
      </c>
      <c r="F22" s="123">
        <f>SUM(F23:F24)</f>
        <v>3987.3</v>
      </c>
      <c r="G22" s="123">
        <f>SUM(G23:G24)</f>
        <v>954.4</v>
      </c>
      <c r="H22" s="123">
        <f>G22/F22*100</f>
        <v>23.935996789807636</v>
      </c>
      <c r="I22" s="123">
        <f>SUM(I23:I24)</f>
        <v>326</v>
      </c>
      <c r="J22" s="123">
        <f>SUM(J23:J24)</f>
        <v>326.39999999999998</v>
      </c>
      <c r="K22" s="123">
        <f t="shared" ref="K22:K26" si="21">J22/I22*100</f>
        <v>100.12269938650307</v>
      </c>
      <c r="L22" s="123">
        <f>SUM(L23:L24)</f>
        <v>326</v>
      </c>
      <c r="M22" s="123">
        <f>SUM(M23:M24)</f>
        <v>313.89999999999998</v>
      </c>
      <c r="N22" s="123">
        <f t="shared" si="11"/>
        <v>96.288343558282193</v>
      </c>
      <c r="O22" s="123">
        <f>SUM(O23:O24)</f>
        <v>326</v>
      </c>
      <c r="P22" s="123">
        <f>SUM(P23:P24)</f>
        <v>314.10000000000002</v>
      </c>
      <c r="Q22" s="123">
        <f t="shared" si="12"/>
        <v>96.349693251533751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2">V22/U22*100</f>
        <v>0</v>
      </c>
      <c r="X22" s="123">
        <f t="shared" ref="X22:AE22" si="23">SUM(X23:X24)</f>
        <v>326</v>
      </c>
      <c r="Y22" s="123">
        <f t="shared" si="23"/>
        <v>0</v>
      </c>
      <c r="Z22" s="123">
        <f t="shared" si="23"/>
        <v>0</v>
      </c>
      <c r="AA22" s="104">
        <f t="shared" si="23"/>
        <v>326</v>
      </c>
      <c r="AB22" s="123">
        <f t="shared" si="23"/>
        <v>0</v>
      </c>
      <c r="AC22" s="123">
        <f t="shared" si="23"/>
        <v>0</v>
      </c>
      <c r="AD22" s="104">
        <f t="shared" si="23"/>
        <v>326</v>
      </c>
      <c r="AE22" s="104">
        <f t="shared" si="23"/>
        <v>0</v>
      </c>
      <c r="AF22" s="104">
        <f t="shared" si="7"/>
        <v>0</v>
      </c>
      <c r="AG22" s="104">
        <f t="shared" ref="AG22:AR22" si="24">SUM(AG23:AG24)</f>
        <v>326</v>
      </c>
      <c r="AH22" s="123">
        <f t="shared" si="24"/>
        <v>0</v>
      </c>
      <c r="AI22" s="123">
        <f t="shared" si="24"/>
        <v>0</v>
      </c>
      <c r="AJ22" s="123">
        <f t="shared" si="24"/>
        <v>326</v>
      </c>
      <c r="AK22" s="123">
        <f t="shared" si="24"/>
        <v>0</v>
      </c>
      <c r="AL22" s="123">
        <f t="shared" si="24"/>
        <v>0</v>
      </c>
      <c r="AM22" s="104">
        <f t="shared" si="24"/>
        <v>326</v>
      </c>
      <c r="AN22" s="123">
        <f t="shared" si="24"/>
        <v>0</v>
      </c>
      <c r="AO22" s="123">
        <f t="shared" si="24"/>
        <v>0</v>
      </c>
      <c r="AP22" s="104">
        <f t="shared" si="24"/>
        <v>401.3</v>
      </c>
      <c r="AQ22" s="123">
        <f t="shared" si="24"/>
        <v>0</v>
      </c>
      <c r="AR22" s="123">
        <f t="shared" si="24"/>
        <v>0</v>
      </c>
      <c r="AS22" s="337" t="s">
        <v>410</v>
      </c>
      <c r="AT22" s="340"/>
      <c r="AU22" s="121"/>
      <c r="AV22" s="121"/>
      <c r="AW22" s="155"/>
    </row>
    <row r="23" spans="1:49" s="31" customFormat="1" ht="36">
      <c r="A23" s="365"/>
      <c r="B23" s="329"/>
      <c r="C23" s="332"/>
      <c r="D23" s="335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8"/>
      <c r="AT23" s="341"/>
      <c r="AU23" s="121"/>
      <c r="AV23" s="121"/>
      <c r="AW23" s="155"/>
    </row>
    <row r="24" spans="1:49" s="31" customFormat="1" ht="23.25" customHeight="1">
      <c r="A24" s="365"/>
      <c r="B24" s="329"/>
      <c r="C24" s="332"/>
      <c r="D24" s="335"/>
      <c r="E24" s="108" t="s">
        <v>44</v>
      </c>
      <c r="F24" s="123">
        <f t="shared" ref="F24:G24" si="25">I24+L24+O24+R24+U24+X24+AA24+AD24+AG24+AJ24+AM24+AP24</f>
        <v>3987.3</v>
      </c>
      <c r="G24" s="123">
        <f t="shared" si="25"/>
        <v>954.4</v>
      </c>
      <c r="H24" s="123">
        <v>0</v>
      </c>
      <c r="I24" s="123">
        <v>326</v>
      </c>
      <c r="J24" s="123">
        <v>326.39999999999998</v>
      </c>
      <c r="K24" s="123">
        <f t="shared" si="21"/>
        <v>100.12269938650307</v>
      </c>
      <c r="L24" s="123">
        <v>326</v>
      </c>
      <c r="M24" s="123">
        <v>313.89999999999998</v>
      </c>
      <c r="N24" s="123">
        <f t="shared" ref="N24" si="26">M24/L24*100</f>
        <v>96.288343558282193</v>
      </c>
      <c r="O24" s="123">
        <v>326</v>
      </c>
      <c r="P24" s="123">
        <v>314.10000000000002</v>
      </c>
      <c r="Q24" s="123">
        <f t="shared" ref="Q24" si="27">P24/O24*100</f>
        <v>96.349693251533751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8"/>
      <c r="AT24" s="341"/>
      <c r="AU24" s="121"/>
      <c r="AV24" s="121"/>
      <c r="AW24" s="155"/>
    </row>
    <row r="25" spans="1:49" s="31" customFormat="1" ht="12.75">
      <c r="A25" s="364" t="s">
        <v>337</v>
      </c>
      <c r="B25" s="373" t="s">
        <v>338</v>
      </c>
      <c r="C25" s="331" t="s">
        <v>339</v>
      </c>
      <c r="D25" s="334" t="s">
        <v>340</v>
      </c>
      <c r="E25" s="107" t="s">
        <v>42</v>
      </c>
      <c r="F25" s="123">
        <f>SUM(F26:F28)</f>
        <v>5215.6000000000004</v>
      </c>
      <c r="G25" s="123">
        <f t="shared" ref="G25:P25" si="28">SUM(G26:G28)</f>
        <v>868.69999999999993</v>
      </c>
      <c r="H25" s="123">
        <f>G25/F25*100</f>
        <v>16.655801825293349</v>
      </c>
      <c r="I25" s="123">
        <f t="shared" si="28"/>
        <v>108.8</v>
      </c>
      <c r="J25" s="123">
        <f t="shared" si="28"/>
        <v>97.9</v>
      </c>
      <c r="K25" s="123">
        <f t="shared" si="21"/>
        <v>89.981617647058826</v>
      </c>
      <c r="L25" s="123">
        <f t="shared" si="28"/>
        <v>584.9</v>
      </c>
      <c r="M25" s="123">
        <f t="shared" si="28"/>
        <v>463.5</v>
      </c>
      <c r="N25" s="123">
        <f t="shared" ref="N25:N26" si="29">M25/L25*100</f>
        <v>79.244315267567117</v>
      </c>
      <c r="O25" s="123">
        <f t="shared" si="28"/>
        <v>371.1</v>
      </c>
      <c r="P25" s="123">
        <f t="shared" si="28"/>
        <v>307.29999999999995</v>
      </c>
      <c r="Q25" s="123">
        <f t="shared" ref="Q25:Q26" si="30">P25/O25*100</f>
        <v>82.807868499056838</v>
      </c>
      <c r="R25" s="123">
        <f t="shared" ref="R25:Z25" si="31">SUM(R26:R28)</f>
        <v>368.4</v>
      </c>
      <c r="S25" s="123">
        <f t="shared" si="31"/>
        <v>0</v>
      </c>
      <c r="T25" s="123">
        <v>0</v>
      </c>
      <c r="U25" s="123">
        <f t="shared" si="31"/>
        <v>399</v>
      </c>
      <c r="V25" s="123">
        <f t="shared" si="31"/>
        <v>0</v>
      </c>
      <c r="W25" s="123">
        <f t="shared" si="31"/>
        <v>0</v>
      </c>
      <c r="X25" s="123">
        <f t="shared" si="31"/>
        <v>605.5</v>
      </c>
      <c r="Y25" s="123">
        <f t="shared" si="31"/>
        <v>0</v>
      </c>
      <c r="Z25" s="123">
        <f t="shared" si="31"/>
        <v>0</v>
      </c>
      <c r="AA25" s="104">
        <f t="shared" ref="AA25:AB25" si="32">SUM(AA26:AA28)</f>
        <v>665.80000000000007</v>
      </c>
      <c r="AB25" s="123">
        <f t="shared" si="32"/>
        <v>0</v>
      </c>
      <c r="AC25" s="123">
        <f>SUM(AC26:AC28)</f>
        <v>0</v>
      </c>
      <c r="AD25" s="104">
        <f t="shared" ref="AD25:AR25" si="33">SUM(AD26:AD28)</f>
        <v>633.1</v>
      </c>
      <c r="AE25" s="104">
        <f t="shared" si="33"/>
        <v>0</v>
      </c>
      <c r="AF25" s="104">
        <f t="shared" si="7"/>
        <v>0</v>
      </c>
      <c r="AG25" s="104">
        <f t="shared" si="33"/>
        <v>520.70000000000005</v>
      </c>
      <c r="AH25" s="123">
        <f t="shared" si="33"/>
        <v>0</v>
      </c>
      <c r="AI25" s="104">
        <f t="shared" ref="AI25" si="34">AH25/AG25*100</f>
        <v>0</v>
      </c>
      <c r="AJ25" s="123">
        <f t="shared" si="33"/>
        <v>538.09999999999991</v>
      </c>
      <c r="AK25" s="123">
        <f t="shared" si="33"/>
        <v>0</v>
      </c>
      <c r="AL25" s="123">
        <f t="shared" si="33"/>
        <v>0</v>
      </c>
      <c r="AM25" s="104">
        <f t="shared" si="33"/>
        <v>200.2</v>
      </c>
      <c r="AN25" s="123">
        <f t="shared" si="33"/>
        <v>0</v>
      </c>
      <c r="AO25" s="123">
        <f t="shared" si="33"/>
        <v>0</v>
      </c>
      <c r="AP25" s="104">
        <f t="shared" si="33"/>
        <v>220</v>
      </c>
      <c r="AQ25" s="123">
        <f t="shared" si="33"/>
        <v>0</v>
      </c>
      <c r="AR25" s="123">
        <f t="shared" si="33"/>
        <v>0</v>
      </c>
      <c r="AS25" s="337" t="s">
        <v>407</v>
      </c>
      <c r="AT25" s="425" t="s">
        <v>409</v>
      </c>
      <c r="AU25" s="121"/>
      <c r="AV25" s="121"/>
      <c r="AW25" s="155"/>
    </row>
    <row r="26" spans="1:49" s="31" customFormat="1" ht="36">
      <c r="A26" s="365"/>
      <c r="B26" s="374"/>
      <c r="C26" s="332"/>
      <c r="D26" s="335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156.89999999999998</v>
      </c>
      <c r="H26" s="123">
        <f>G26/F26*100</f>
        <v>6.1592211666797505</v>
      </c>
      <c r="I26" s="104">
        <v>0</v>
      </c>
      <c r="J26" s="104">
        <v>0</v>
      </c>
      <c r="K26" s="123" t="e">
        <f t="shared" si="21"/>
        <v>#DIV/0!</v>
      </c>
      <c r="L26" s="126">
        <v>124.5</v>
      </c>
      <c r="M26" s="104">
        <v>43.8</v>
      </c>
      <c r="N26" s="123">
        <f t="shared" si="29"/>
        <v>35.180722891566262</v>
      </c>
      <c r="O26" s="104">
        <f>124.6+15.4</f>
        <v>140</v>
      </c>
      <c r="P26" s="104">
        <v>113.1</v>
      </c>
      <c r="Q26" s="123">
        <f t="shared" si="30"/>
        <v>80.785714285714278</v>
      </c>
      <c r="R26" s="104">
        <f>124.5+15.4</f>
        <v>139.9</v>
      </c>
      <c r="S26" s="104">
        <v>0</v>
      </c>
      <c r="T26" s="123">
        <v>0</v>
      </c>
      <c r="U26" s="105">
        <f>141.4+21</f>
        <v>162.4</v>
      </c>
      <c r="V26" s="105">
        <v>0</v>
      </c>
      <c r="W26" s="105">
        <v>0</v>
      </c>
      <c r="X26" s="105">
        <f>141.4+189</f>
        <v>330.4</v>
      </c>
      <c r="Y26" s="105">
        <v>0</v>
      </c>
      <c r="Z26" s="105">
        <f>Y26/X26*100</f>
        <v>0</v>
      </c>
      <c r="AA26" s="105">
        <f>165.8+183.4</f>
        <v>349.20000000000005</v>
      </c>
      <c r="AB26" s="105">
        <v>0</v>
      </c>
      <c r="AC26" s="105">
        <f>AB26/AA26*100</f>
        <v>0</v>
      </c>
      <c r="AD26" s="105">
        <f>165.8+182</f>
        <v>347.8</v>
      </c>
      <c r="AE26" s="105">
        <v>0</v>
      </c>
      <c r="AF26" s="105">
        <f>AE26/AD26*100</f>
        <v>0</v>
      </c>
      <c r="AG26" s="105">
        <f>140.4+122.7+49</f>
        <v>312.10000000000002</v>
      </c>
      <c r="AH26" s="105">
        <v>0</v>
      </c>
      <c r="AI26" s="105">
        <f>AH26/AG26*100</f>
        <v>0</v>
      </c>
      <c r="AJ26" s="104">
        <f>235.9+21</f>
        <v>256.89999999999998</v>
      </c>
      <c r="AK26" s="104">
        <v>0</v>
      </c>
      <c r="AL26" s="104">
        <v>0</v>
      </c>
      <c r="AM26" s="105">
        <f>143.2+21</f>
        <v>164.2</v>
      </c>
      <c r="AN26" s="105">
        <v>0</v>
      </c>
      <c r="AO26" s="105">
        <v>0</v>
      </c>
      <c r="AP26" s="104">
        <v>220</v>
      </c>
      <c r="AQ26" s="104"/>
      <c r="AR26" s="104"/>
      <c r="AS26" s="338"/>
      <c r="AT26" s="426"/>
      <c r="AU26" s="121"/>
      <c r="AV26" s="121"/>
      <c r="AW26" s="155"/>
    </row>
    <row r="27" spans="1:49" s="31" customFormat="1" ht="12.75">
      <c r="A27" s="365"/>
      <c r="B27" s="374"/>
      <c r="C27" s="332"/>
      <c r="D27" s="335"/>
      <c r="E27" s="108" t="s">
        <v>44</v>
      </c>
      <c r="F27" s="123">
        <f t="shared" ref="F27:G28" si="35">I27+L27+O27+R27+U27+X27+AA27+AD27+AG27+AJ27+AM27+AP27</f>
        <v>2668.2</v>
      </c>
      <c r="G27" s="123">
        <f t="shared" si="35"/>
        <v>711.8</v>
      </c>
      <c r="H27" s="123">
        <v>0</v>
      </c>
      <c r="I27" s="123">
        <v>108.8</v>
      </c>
      <c r="J27" s="123">
        <v>97.9</v>
      </c>
      <c r="K27" s="123">
        <v>0</v>
      </c>
      <c r="L27" s="123">
        <v>460.4</v>
      </c>
      <c r="M27" s="123">
        <v>419.7</v>
      </c>
      <c r="N27" s="123">
        <v>0</v>
      </c>
      <c r="O27" s="123">
        <v>231.1</v>
      </c>
      <c r="P27" s="123">
        <v>194.2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36</v>
      </c>
      <c r="AN27" s="117">
        <v>0</v>
      </c>
      <c r="AO27" s="117">
        <v>0</v>
      </c>
      <c r="AP27" s="117">
        <v>0</v>
      </c>
      <c r="AQ27" s="123"/>
      <c r="AR27" s="123"/>
      <c r="AS27" s="338"/>
      <c r="AT27" s="426"/>
      <c r="AU27" s="121"/>
      <c r="AV27" s="121"/>
      <c r="AW27" s="155"/>
    </row>
    <row r="28" spans="1:49" s="31" customFormat="1" ht="87" customHeight="1">
      <c r="A28" s="366"/>
      <c r="B28" s="375"/>
      <c r="C28" s="333"/>
      <c r="D28" s="336"/>
      <c r="E28" s="109" t="s">
        <v>257</v>
      </c>
      <c r="F28" s="123">
        <f t="shared" si="35"/>
        <v>0</v>
      </c>
      <c r="G28" s="123">
        <f t="shared" si="35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39"/>
      <c r="AT28" s="427"/>
      <c r="AU28" s="121"/>
      <c r="AV28" s="121"/>
      <c r="AW28" s="155"/>
    </row>
    <row r="29" spans="1:49" s="31" customFormat="1" ht="12.75">
      <c r="A29" s="364" t="s">
        <v>341</v>
      </c>
      <c r="B29" s="328" t="s">
        <v>342</v>
      </c>
      <c r="C29" s="331" t="s">
        <v>268</v>
      </c>
      <c r="D29" s="334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6">SUM(U30:U31)</f>
        <v>0</v>
      </c>
      <c r="V29" s="123">
        <f t="shared" si="36"/>
        <v>0</v>
      </c>
      <c r="W29" s="123">
        <f t="shared" si="36"/>
        <v>0</v>
      </c>
      <c r="X29" s="123">
        <f t="shared" si="36"/>
        <v>0</v>
      </c>
      <c r="Y29" s="123">
        <f t="shared" si="36"/>
        <v>0</v>
      </c>
      <c r="Z29" s="123">
        <f t="shared" si="36"/>
        <v>0</v>
      </c>
      <c r="AA29" s="104">
        <f t="shared" si="36"/>
        <v>0</v>
      </c>
      <c r="AB29" s="123">
        <f t="shared" si="36"/>
        <v>0</v>
      </c>
      <c r="AC29" s="123">
        <f t="shared" si="36"/>
        <v>0</v>
      </c>
      <c r="AD29" s="104">
        <f t="shared" si="36"/>
        <v>0</v>
      </c>
      <c r="AE29" s="104">
        <f t="shared" si="36"/>
        <v>0</v>
      </c>
      <c r="AF29" s="104">
        <f t="shared" si="36"/>
        <v>0</v>
      </c>
      <c r="AG29" s="104">
        <f t="shared" si="36"/>
        <v>0</v>
      </c>
      <c r="AH29" s="123">
        <f t="shared" si="36"/>
        <v>0</v>
      </c>
      <c r="AI29" s="117">
        <v>0</v>
      </c>
      <c r="AJ29" s="123">
        <f t="shared" ref="AJ29:AR29" si="37">SUM(AJ30:AJ31)</f>
        <v>0</v>
      </c>
      <c r="AK29" s="123">
        <f t="shared" si="37"/>
        <v>0</v>
      </c>
      <c r="AL29" s="123">
        <f t="shared" si="37"/>
        <v>0</v>
      </c>
      <c r="AM29" s="104">
        <f t="shared" si="37"/>
        <v>0</v>
      </c>
      <c r="AN29" s="123">
        <f t="shared" si="37"/>
        <v>0</v>
      </c>
      <c r="AO29" s="123">
        <f t="shared" si="37"/>
        <v>0</v>
      </c>
      <c r="AP29" s="104">
        <f t="shared" si="37"/>
        <v>0</v>
      </c>
      <c r="AQ29" s="123">
        <f t="shared" si="37"/>
        <v>0</v>
      </c>
      <c r="AR29" s="123">
        <f t="shared" si="37"/>
        <v>0</v>
      </c>
      <c r="AS29" s="337"/>
      <c r="AT29" s="440" t="s">
        <v>411</v>
      </c>
      <c r="AU29" s="121"/>
      <c r="AV29" s="121"/>
      <c r="AW29" s="155"/>
    </row>
    <row r="30" spans="1:49" s="31" customFormat="1" ht="36">
      <c r="A30" s="365"/>
      <c r="B30" s="329"/>
      <c r="C30" s="332"/>
      <c r="D30" s="335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8"/>
      <c r="AT30" s="441"/>
      <c r="AU30" s="121"/>
      <c r="AV30" s="121"/>
      <c r="AW30" s="155"/>
    </row>
    <row r="31" spans="1:49" s="31" customFormat="1" ht="49.5" customHeight="1">
      <c r="A31" s="365"/>
      <c r="B31" s="329"/>
      <c r="C31" s="332"/>
      <c r="D31" s="335"/>
      <c r="E31" s="108" t="s">
        <v>44</v>
      </c>
      <c r="F31" s="123">
        <f t="shared" ref="F31:G31" si="38">I31+L31+O31+R31+U31+X31+AA31+AD31+AG31+AJ31+AM31+AP31</f>
        <v>150</v>
      </c>
      <c r="G31" s="123">
        <f t="shared" si="38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8"/>
      <c r="AT31" s="442"/>
      <c r="AU31" s="121"/>
      <c r="AV31" s="121"/>
      <c r="AW31" s="155"/>
    </row>
    <row r="32" spans="1:49" s="31" customFormat="1" ht="15.75">
      <c r="A32" s="349" t="s">
        <v>344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1"/>
    </row>
    <row r="33" spans="1:49" s="100" customFormat="1" ht="12.75">
      <c r="A33" s="352" t="s">
        <v>345</v>
      </c>
      <c r="B33" s="353"/>
      <c r="C33" s="353"/>
      <c r="D33" s="354"/>
      <c r="E33" s="129" t="s">
        <v>42</v>
      </c>
      <c r="F33" s="106">
        <f>F34+F35+F36</f>
        <v>33940.800000000003</v>
      </c>
      <c r="G33" s="106">
        <f t="shared" ref="G33:AR33" si="39">G34+G35+G36</f>
        <v>5142.1000000000004</v>
      </c>
      <c r="H33" s="106">
        <f>G33/F33*100</f>
        <v>15.150202705887899</v>
      </c>
      <c r="I33" s="106">
        <f t="shared" si="39"/>
        <v>556</v>
      </c>
      <c r="J33" s="106">
        <f t="shared" si="39"/>
        <v>556</v>
      </c>
      <c r="K33" s="106">
        <f>J33/I33*100</f>
        <v>100</v>
      </c>
      <c r="L33" s="106">
        <f t="shared" si="39"/>
        <v>2428</v>
      </c>
      <c r="M33" s="106">
        <f t="shared" si="39"/>
        <v>2369.3000000000002</v>
      </c>
      <c r="N33" s="106">
        <f>M33/L33*100</f>
        <v>97.582372322899516</v>
      </c>
      <c r="O33" s="106">
        <f t="shared" si="39"/>
        <v>2242</v>
      </c>
      <c r="P33" s="106">
        <f t="shared" si="39"/>
        <v>2216.8000000000002</v>
      </c>
      <c r="Q33" s="106">
        <f>P33/O33*100</f>
        <v>98.876003568242652</v>
      </c>
      <c r="R33" s="106">
        <f t="shared" si="39"/>
        <v>3060</v>
      </c>
      <c r="S33" s="106">
        <f t="shared" si="39"/>
        <v>0</v>
      </c>
      <c r="T33" s="106">
        <f>S33/R33*100</f>
        <v>0</v>
      </c>
      <c r="U33" s="106">
        <f t="shared" si="39"/>
        <v>2489</v>
      </c>
      <c r="V33" s="106">
        <f t="shared" si="39"/>
        <v>0</v>
      </c>
      <c r="W33" s="106">
        <f t="shared" si="39"/>
        <v>0</v>
      </c>
      <c r="X33" s="106">
        <f t="shared" si="39"/>
        <v>2628</v>
      </c>
      <c r="Y33" s="106">
        <f t="shared" si="39"/>
        <v>0</v>
      </c>
      <c r="Z33" s="106">
        <f t="shared" si="39"/>
        <v>0</v>
      </c>
      <c r="AA33" s="106">
        <f t="shared" si="39"/>
        <v>3576</v>
      </c>
      <c r="AB33" s="106">
        <f t="shared" si="39"/>
        <v>0</v>
      </c>
      <c r="AC33" s="106">
        <f t="shared" si="39"/>
        <v>0</v>
      </c>
      <c r="AD33" s="106">
        <f t="shared" si="39"/>
        <v>2569</v>
      </c>
      <c r="AE33" s="106">
        <f t="shared" si="39"/>
        <v>0</v>
      </c>
      <c r="AF33" s="106">
        <f t="shared" ref="AF33:AF35" si="40">AE33/AD33*100</f>
        <v>0</v>
      </c>
      <c r="AG33" s="106">
        <f t="shared" si="39"/>
        <v>2544</v>
      </c>
      <c r="AH33" s="106">
        <f t="shared" si="39"/>
        <v>0</v>
      </c>
      <c r="AI33" s="106">
        <f t="shared" si="39"/>
        <v>0</v>
      </c>
      <c r="AJ33" s="106">
        <f t="shared" si="39"/>
        <v>2984</v>
      </c>
      <c r="AK33" s="106">
        <f t="shared" si="39"/>
        <v>0</v>
      </c>
      <c r="AL33" s="106">
        <f t="shared" si="39"/>
        <v>0</v>
      </c>
      <c r="AM33" s="106">
        <f t="shared" si="39"/>
        <v>2265.6</v>
      </c>
      <c r="AN33" s="106">
        <f t="shared" si="39"/>
        <v>0</v>
      </c>
      <c r="AO33" s="106">
        <f t="shared" si="39"/>
        <v>0</v>
      </c>
      <c r="AP33" s="106">
        <f t="shared" si="39"/>
        <v>6599.2</v>
      </c>
      <c r="AQ33" s="106">
        <f t="shared" si="39"/>
        <v>0</v>
      </c>
      <c r="AR33" s="106">
        <f t="shared" si="39"/>
        <v>0</v>
      </c>
      <c r="AS33" s="367"/>
      <c r="AT33" s="361"/>
      <c r="AU33" s="121"/>
      <c r="AV33" s="121"/>
      <c r="AW33" s="155"/>
    </row>
    <row r="34" spans="1:49" s="100" customFormat="1" ht="36">
      <c r="A34" s="355"/>
      <c r="B34" s="356"/>
      <c r="C34" s="356"/>
      <c r="D34" s="357"/>
      <c r="E34" s="111" t="s">
        <v>3</v>
      </c>
      <c r="F34" s="106">
        <f>F43</f>
        <v>30600.9</v>
      </c>
      <c r="G34" s="106">
        <f t="shared" ref="G34:AR36" si="41">G43</f>
        <v>4083.1000000000004</v>
      </c>
      <c r="H34" s="106">
        <f>G34/F34*100</f>
        <v>13.343071609004964</v>
      </c>
      <c r="I34" s="106">
        <f t="shared" si="41"/>
        <v>0</v>
      </c>
      <c r="J34" s="106">
        <f t="shared" si="41"/>
        <v>0</v>
      </c>
      <c r="K34" s="106" t="e">
        <f t="shared" ref="K34:K35" si="42">J34/I34*100</f>
        <v>#DIV/0!</v>
      </c>
      <c r="L34" s="106">
        <f t="shared" si="41"/>
        <v>2178</v>
      </c>
      <c r="M34" s="106">
        <f t="shared" si="41"/>
        <v>2119.3000000000002</v>
      </c>
      <c r="N34" s="106">
        <f t="shared" ref="N34:N35" si="43">M34/L34*100</f>
        <v>97.304866850321403</v>
      </c>
      <c r="O34" s="106">
        <f t="shared" si="41"/>
        <v>1989</v>
      </c>
      <c r="P34" s="106">
        <f t="shared" si="41"/>
        <v>1963.8</v>
      </c>
      <c r="Q34" s="106">
        <f t="shared" ref="Q34:Q35" si="44">P34/O34*100</f>
        <v>98.733031674208135</v>
      </c>
      <c r="R34" s="106">
        <f t="shared" si="41"/>
        <v>3010</v>
      </c>
      <c r="S34" s="106">
        <f t="shared" si="41"/>
        <v>0</v>
      </c>
      <c r="T34" s="106">
        <f t="shared" ref="T34:T35" si="45">S34/R34*100</f>
        <v>0</v>
      </c>
      <c r="U34" s="106">
        <f t="shared" si="41"/>
        <v>2037</v>
      </c>
      <c r="V34" s="106">
        <f t="shared" si="41"/>
        <v>0</v>
      </c>
      <c r="W34" s="106">
        <f t="shared" si="41"/>
        <v>0</v>
      </c>
      <c r="X34" s="106">
        <f t="shared" si="41"/>
        <v>2578</v>
      </c>
      <c r="Y34" s="106">
        <f t="shared" si="41"/>
        <v>0</v>
      </c>
      <c r="Z34" s="106">
        <f t="shared" si="41"/>
        <v>0</v>
      </c>
      <c r="AA34" s="106">
        <f t="shared" si="41"/>
        <v>3526</v>
      </c>
      <c r="AB34" s="106">
        <f t="shared" si="41"/>
        <v>0</v>
      </c>
      <c r="AC34" s="106">
        <f t="shared" si="41"/>
        <v>0</v>
      </c>
      <c r="AD34" s="106">
        <f t="shared" si="41"/>
        <v>2117</v>
      </c>
      <c r="AE34" s="106">
        <f t="shared" si="41"/>
        <v>0</v>
      </c>
      <c r="AF34" s="106">
        <f t="shared" si="40"/>
        <v>0</v>
      </c>
      <c r="AG34" s="106">
        <f t="shared" si="41"/>
        <v>2494</v>
      </c>
      <c r="AH34" s="106">
        <f t="shared" si="41"/>
        <v>0</v>
      </c>
      <c r="AI34" s="106">
        <f t="shared" si="41"/>
        <v>0</v>
      </c>
      <c r="AJ34" s="106">
        <f t="shared" si="41"/>
        <v>2934</v>
      </c>
      <c r="AK34" s="106">
        <f t="shared" si="41"/>
        <v>0</v>
      </c>
      <c r="AL34" s="106">
        <f t="shared" si="41"/>
        <v>0</v>
      </c>
      <c r="AM34" s="106">
        <f t="shared" si="41"/>
        <v>1812</v>
      </c>
      <c r="AN34" s="106">
        <f t="shared" si="41"/>
        <v>0</v>
      </c>
      <c r="AO34" s="106">
        <f t="shared" si="41"/>
        <v>0</v>
      </c>
      <c r="AP34" s="106">
        <f t="shared" si="41"/>
        <v>5925.9</v>
      </c>
      <c r="AQ34" s="106">
        <f t="shared" si="41"/>
        <v>0</v>
      </c>
      <c r="AR34" s="106">
        <f t="shared" si="41"/>
        <v>0</v>
      </c>
      <c r="AS34" s="368"/>
      <c r="AT34" s="362"/>
      <c r="AU34" s="121"/>
      <c r="AV34" s="121"/>
      <c r="AW34" s="155"/>
    </row>
    <row r="35" spans="1:49" s="100" customFormat="1" ht="24">
      <c r="A35" s="355"/>
      <c r="B35" s="356"/>
      <c r="C35" s="356"/>
      <c r="D35" s="357"/>
      <c r="E35" s="111" t="s">
        <v>44</v>
      </c>
      <c r="F35" s="106">
        <f>F44</f>
        <v>3339.8999999999996</v>
      </c>
      <c r="G35" s="106">
        <f t="shared" si="41"/>
        <v>1059</v>
      </c>
      <c r="H35" s="106">
        <f>G35/F35*100</f>
        <v>31.70753615377706</v>
      </c>
      <c r="I35" s="106">
        <f t="shared" si="41"/>
        <v>556</v>
      </c>
      <c r="J35" s="106">
        <f t="shared" si="41"/>
        <v>556</v>
      </c>
      <c r="K35" s="106">
        <f t="shared" si="42"/>
        <v>100</v>
      </c>
      <c r="L35" s="106">
        <f t="shared" si="41"/>
        <v>250</v>
      </c>
      <c r="M35" s="106">
        <f t="shared" si="41"/>
        <v>250</v>
      </c>
      <c r="N35" s="106">
        <f t="shared" si="43"/>
        <v>100</v>
      </c>
      <c r="O35" s="106">
        <f t="shared" si="41"/>
        <v>253</v>
      </c>
      <c r="P35" s="106">
        <f t="shared" si="41"/>
        <v>253</v>
      </c>
      <c r="Q35" s="106">
        <f t="shared" si="44"/>
        <v>100</v>
      </c>
      <c r="R35" s="106">
        <f t="shared" si="41"/>
        <v>50</v>
      </c>
      <c r="S35" s="106">
        <f t="shared" si="41"/>
        <v>0</v>
      </c>
      <c r="T35" s="106">
        <f t="shared" si="45"/>
        <v>0</v>
      </c>
      <c r="U35" s="106">
        <f t="shared" si="41"/>
        <v>452</v>
      </c>
      <c r="V35" s="106">
        <f t="shared" si="41"/>
        <v>0</v>
      </c>
      <c r="W35" s="106">
        <f t="shared" si="41"/>
        <v>0</v>
      </c>
      <c r="X35" s="106">
        <f t="shared" si="41"/>
        <v>50</v>
      </c>
      <c r="Y35" s="106">
        <f t="shared" si="41"/>
        <v>0</v>
      </c>
      <c r="Z35" s="106">
        <f t="shared" si="41"/>
        <v>0</v>
      </c>
      <c r="AA35" s="106">
        <f t="shared" si="41"/>
        <v>50</v>
      </c>
      <c r="AB35" s="106">
        <f t="shared" si="41"/>
        <v>0</v>
      </c>
      <c r="AC35" s="106">
        <f t="shared" si="41"/>
        <v>0</v>
      </c>
      <c r="AD35" s="106">
        <f t="shared" si="41"/>
        <v>452</v>
      </c>
      <c r="AE35" s="106">
        <f t="shared" si="41"/>
        <v>0</v>
      </c>
      <c r="AF35" s="106">
        <f t="shared" si="40"/>
        <v>0</v>
      </c>
      <c r="AG35" s="106">
        <f t="shared" si="41"/>
        <v>50</v>
      </c>
      <c r="AH35" s="106">
        <f t="shared" si="41"/>
        <v>0</v>
      </c>
      <c r="AI35" s="106">
        <f t="shared" si="41"/>
        <v>0</v>
      </c>
      <c r="AJ35" s="106">
        <f t="shared" si="41"/>
        <v>50</v>
      </c>
      <c r="AK35" s="106">
        <f t="shared" si="41"/>
        <v>0</v>
      </c>
      <c r="AL35" s="106">
        <f t="shared" si="41"/>
        <v>0</v>
      </c>
      <c r="AM35" s="106">
        <f t="shared" si="41"/>
        <v>453.6</v>
      </c>
      <c r="AN35" s="106">
        <f t="shared" si="41"/>
        <v>0</v>
      </c>
      <c r="AO35" s="106">
        <f t="shared" si="41"/>
        <v>0</v>
      </c>
      <c r="AP35" s="106">
        <f t="shared" si="41"/>
        <v>673.3</v>
      </c>
      <c r="AQ35" s="106">
        <f t="shared" si="41"/>
        <v>0</v>
      </c>
      <c r="AR35" s="106">
        <f t="shared" si="41"/>
        <v>0</v>
      </c>
      <c r="AS35" s="368"/>
      <c r="AT35" s="362"/>
      <c r="AU35" s="121"/>
      <c r="AV35" s="121"/>
      <c r="AW35" s="155"/>
    </row>
    <row r="36" spans="1:49" s="100" customFormat="1" ht="24">
      <c r="A36" s="358"/>
      <c r="B36" s="359"/>
      <c r="C36" s="359"/>
      <c r="D36" s="360"/>
      <c r="E36" s="110" t="s">
        <v>257</v>
      </c>
      <c r="F36" s="106">
        <f>F45</f>
        <v>0</v>
      </c>
      <c r="G36" s="106">
        <f t="shared" si="41"/>
        <v>0</v>
      </c>
      <c r="H36" s="106">
        <v>0</v>
      </c>
      <c r="I36" s="106">
        <f t="shared" si="41"/>
        <v>0</v>
      </c>
      <c r="J36" s="106">
        <f t="shared" si="41"/>
        <v>0</v>
      </c>
      <c r="K36" s="106">
        <v>0</v>
      </c>
      <c r="L36" s="106">
        <f t="shared" si="41"/>
        <v>0</v>
      </c>
      <c r="M36" s="106">
        <f t="shared" si="41"/>
        <v>0</v>
      </c>
      <c r="N36" s="106">
        <v>0</v>
      </c>
      <c r="O36" s="106">
        <f t="shared" si="41"/>
        <v>0</v>
      </c>
      <c r="P36" s="106">
        <f t="shared" si="41"/>
        <v>0</v>
      </c>
      <c r="Q36" s="106">
        <f t="shared" si="41"/>
        <v>0</v>
      </c>
      <c r="R36" s="106">
        <f t="shared" si="41"/>
        <v>0</v>
      </c>
      <c r="S36" s="106">
        <f t="shared" si="41"/>
        <v>0</v>
      </c>
      <c r="T36" s="106">
        <v>0</v>
      </c>
      <c r="U36" s="106">
        <f t="shared" si="41"/>
        <v>0</v>
      </c>
      <c r="V36" s="106">
        <f t="shared" si="41"/>
        <v>0</v>
      </c>
      <c r="W36" s="106">
        <f t="shared" si="41"/>
        <v>0</v>
      </c>
      <c r="X36" s="106">
        <f t="shared" si="41"/>
        <v>0</v>
      </c>
      <c r="Y36" s="106">
        <f t="shared" si="41"/>
        <v>0</v>
      </c>
      <c r="Z36" s="106">
        <f t="shared" si="41"/>
        <v>0</v>
      </c>
      <c r="AA36" s="106">
        <f t="shared" si="41"/>
        <v>0</v>
      </c>
      <c r="AB36" s="106">
        <f t="shared" si="41"/>
        <v>0</v>
      </c>
      <c r="AC36" s="106">
        <f t="shared" si="41"/>
        <v>0</v>
      </c>
      <c r="AD36" s="106">
        <f t="shared" si="41"/>
        <v>0</v>
      </c>
      <c r="AE36" s="106">
        <f t="shared" si="41"/>
        <v>0</v>
      </c>
      <c r="AF36" s="106">
        <f t="shared" si="41"/>
        <v>0</v>
      </c>
      <c r="AG36" s="106">
        <f t="shared" si="41"/>
        <v>0</v>
      </c>
      <c r="AH36" s="106">
        <f t="shared" si="41"/>
        <v>0</v>
      </c>
      <c r="AI36" s="106">
        <f t="shared" si="41"/>
        <v>0</v>
      </c>
      <c r="AJ36" s="106">
        <f t="shared" si="41"/>
        <v>0</v>
      </c>
      <c r="AK36" s="106">
        <f t="shared" si="41"/>
        <v>0</v>
      </c>
      <c r="AL36" s="106">
        <f t="shared" si="41"/>
        <v>0</v>
      </c>
      <c r="AM36" s="106">
        <f t="shared" si="41"/>
        <v>0</v>
      </c>
      <c r="AN36" s="106">
        <f t="shared" si="41"/>
        <v>0</v>
      </c>
      <c r="AO36" s="106">
        <f t="shared" si="41"/>
        <v>0</v>
      </c>
      <c r="AP36" s="106">
        <f t="shared" si="41"/>
        <v>0</v>
      </c>
      <c r="AQ36" s="106">
        <f t="shared" si="41"/>
        <v>0</v>
      </c>
      <c r="AR36" s="106">
        <f t="shared" si="41"/>
        <v>0</v>
      </c>
      <c r="AS36" s="369"/>
      <c r="AT36" s="363"/>
      <c r="AU36" s="121"/>
      <c r="AV36" s="121"/>
      <c r="AW36" s="155"/>
    </row>
    <row r="37" spans="1:49" s="100" customFormat="1" ht="190.5" customHeight="1">
      <c r="A37" s="191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413</v>
      </c>
      <c r="AT37" s="134"/>
      <c r="AU37" s="121"/>
      <c r="AV37" s="121"/>
      <c r="AW37" s="155"/>
    </row>
    <row r="38" spans="1:49" s="100" customFormat="1" ht="108">
      <c r="A38" s="185" t="s">
        <v>351</v>
      </c>
      <c r="B38" s="19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414</v>
      </c>
      <c r="AT38" s="134"/>
      <c r="AU38" s="121"/>
      <c r="AV38" s="121"/>
      <c r="AW38" s="155"/>
    </row>
    <row r="39" spans="1:49" s="100" customFormat="1" ht="129.75" customHeight="1">
      <c r="A39" s="191" t="s">
        <v>355</v>
      </c>
      <c r="B39" s="19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209" t="s">
        <v>415</v>
      </c>
      <c r="AT39" s="134"/>
      <c r="AU39" s="121"/>
      <c r="AV39" s="121"/>
      <c r="AW39" s="155"/>
    </row>
    <row r="40" spans="1:49" s="100" customFormat="1" ht="217.5" customHeight="1">
      <c r="A40" s="191" t="s">
        <v>359</v>
      </c>
      <c r="B40" s="19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416</v>
      </c>
      <c r="AT40" s="134"/>
      <c r="AU40" s="121"/>
      <c r="AV40" s="121"/>
      <c r="AW40" s="155"/>
    </row>
    <row r="41" spans="1:49" s="100" customFormat="1" ht="54" customHeight="1">
      <c r="A41" s="191" t="s">
        <v>361</v>
      </c>
      <c r="B41" s="19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417</v>
      </c>
      <c r="AT41" s="134"/>
      <c r="AU41" s="121"/>
      <c r="AV41" s="121"/>
      <c r="AW41" s="155"/>
    </row>
    <row r="42" spans="1:49" s="31" customFormat="1" ht="12.75">
      <c r="A42" s="370" t="s">
        <v>365</v>
      </c>
      <c r="B42" s="373" t="s">
        <v>366</v>
      </c>
      <c r="C42" s="376" t="s">
        <v>269</v>
      </c>
      <c r="D42" s="334" t="s">
        <v>367</v>
      </c>
      <c r="E42" s="107" t="s">
        <v>42</v>
      </c>
      <c r="F42" s="123">
        <f>SUM(F43:F45)</f>
        <v>33940.800000000003</v>
      </c>
      <c r="G42" s="123">
        <f t="shared" ref="G42" si="46">SUM(G43:G45)</f>
        <v>5142.1000000000004</v>
      </c>
      <c r="H42" s="123">
        <f>G42/F42*100</f>
        <v>15.150202705887899</v>
      </c>
      <c r="I42" s="132">
        <f>I43+I44+I45</f>
        <v>556</v>
      </c>
      <c r="J42" s="132">
        <f>J43+J44+J45</f>
        <v>556</v>
      </c>
      <c r="K42" s="123">
        <f t="shared" ref="K42:K44" si="47">J42/I42*100</f>
        <v>100</v>
      </c>
      <c r="L42" s="132">
        <f>L43+L44+L45</f>
        <v>2428</v>
      </c>
      <c r="M42" s="132">
        <f>M43+M44+M45</f>
        <v>2369.3000000000002</v>
      </c>
      <c r="N42" s="132">
        <f>M42/L42*100</f>
        <v>97.582372322899516</v>
      </c>
      <c r="O42" s="132">
        <f>O43+O44+O45</f>
        <v>2242</v>
      </c>
      <c r="P42" s="132">
        <f>P43+P44+P45</f>
        <v>2216.8000000000002</v>
      </c>
      <c r="Q42" s="123">
        <f t="shared" ref="Q42:Q44" si="48">P42/O42*100</f>
        <v>98.876003568242652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9">U43+U44+U45</f>
        <v>2489</v>
      </c>
      <c r="V42" s="132">
        <f t="shared" si="49"/>
        <v>0</v>
      </c>
      <c r="W42" s="132">
        <f>V42/U42*100</f>
        <v>0</v>
      </c>
      <c r="X42" s="132">
        <f t="shared" si="49"/>
        <v>2628</v>
      </c>
      <c r="Y42" s="132">
        <f t="shared" si="49"/>
        <v>0</v>
      </c>
      <c r="Z42" s="132">
        <f>Y42/X42*100</f>
        <v>0</v>
      </c>
      <c r="AA42" s="132">
        <f t="shared" si="49"/>
        <v>3576</v>
      </c>
      <c r="AB42" s="132">
        <f t="shared" si="49"/>
        <v>0</v>
      </c>
      <c r="AC42" s="132">
        <f>AB42/AA42*100</f>
        <v>0</v>
      </c>
      <c r="AD42" s="132">
        <f t="shared" si="49"/>
        <v>2569</v>
      </c>
      <c r="AE42" s="132">
        <f t="shared" si="49"/>
        <v>0</v>
      </c>
      <c r="AF42" s="132">
        <f>AE42/AD42*100</f>
        <v>0</v>
      </c>
      <c r="AG42" s="132">
        <f t="shared" si="49"/>
        <v>2544</v>
      </c>
      <c r="AH42" s="132">
        <f t="shared" si="49"/>
        <v>0</v>
      </c>
      <c r="AI42" s="117">
        <f>AH42/AG42*100</f>
        <v>0</v>
      </c>
      <c r="AJ42" s="132">
        <f t="shared" si="49"/>
        <v>2984</v>
      </c>
      <c r="AK42" s="132">
        <f t="shared" si="49"/>
        <v>0</v>
      </c>
      <c r="AL42" s="132">
        <f t="shared" si="49"/>
        <v>0</v>
      </c>
      <c r="AM42" s="132">
        <f t="shared" si="49"/>
        <v>2265.6</v>
      </c>
      <c r="AN42" s="132">
        <f t="shared" si="49"/>
        <v>0</v>
      </c>
      <c r="AO42" s="132">
        <f t="shared" si="49"/>
        <v>0</v>
      </c>
      <c r="AP42" s="132">
        <f t="shared" si="49"/>
        <v>6599.2</v>
      </c>
      <c r="AQ42" s="104"/>
      <c r="AR42" s="104"/>
      <c r="AS42" s="337" t="s">
        <v>418</v>
      </c>
      <c r="AT42" s="437" t="s">
        <v>412</v>
      </c>
      <c r="AU42" s="121"/>
      <c r="AV42" s="121"/>
      <c r="AW42" s="155"/>
    </row>
    <row r="43" spans="1:49" s="31" customFormat="1" ht="36">
      <c r="A43" s="371"/>
      <c r="B43" s="374"/>
      <c r="C43" s="377"/>
      <c r="D43" s="335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4083.1000000000004</v>
      </c>
      <c r="H43" s="123">
        <f>G43/F43*100</f>
        <v>13.343071609004964</v>
      </c>
      <c r="I43" s="123">
        <v>0</v>
      </c>
      <c r="J43" s="123">
        <v>0</v>
      </c>
      <c r="K43" s="123">
        <v>0</v>
      </c>
      <c r="L43" s="150">
        <v>2178</v>
      </c>
      <c r="M43" s="123">
        <v>2119.3000000000002</v>
      </c>
      <c r="N43" s="138">
        <f t="shared" ref="N43:N44" si="50">M43/L43*100</f>
        <v>97.304866850321403</v>
      </c>
      <c r="O43" s="123">
        <v>1989</v>
      </c>
      <c r="P43" s="123">
        <v>1963.8</v>
      </c>
      <c r="Q43" s="123">
        <f t="shared" si="48"/>
        <v>98.733031674208135</v>
      </c>
      <c r="R43" s="123">
        <v>3010</v>
      </c>
      <c r="S43" s="123">
        <v>0</v>
      </c>
      <c r="T43" s="132">
        <f t="shared" ref="T43:T44" si="51">S43/R43*100</f>
        <v>0</v>
      </c>
      <c r="U43" s="117">
        <v>2037</v>
      </c>
      <c r="V43" s="117">
        <v>0</v>
      </c>
      <c r="W43" s="132">
        <f t="shared" ref="W43:W44" si="52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8"/>
      <c r="AT43" s="438"/>
      <c r="AU43" s="121"/>
      <c r="AV43" s="121"/>
      <c r="AW43" s="155"/>
    </row>
    <row r="44" spans="1:49" s="31" customFormat="1" ht="33.75" customHeight="1">
      <c r="A44" s="371"/>
      <c r="B44" s="374"/>
      <c r="C44" s="377"/>
      <c r="D44" s="335"/>
      <c r="E44" s="108" t="s">
        <v>44</v>
      </c>
      <c r="F44" s="123">
        <f t="shared" ref="F44:G45" si="53">I44+L44+O44+R44+U44+X44+AA44+AD44+AG44+AJ44+AM44+AP44</f>
        <v>3339.8999999999996</v>
      </c>
      <c r="G44" s="123">
        <f t="shared" si="53"/>
        <v>1059</v>
      </c>
      <c r="H44" s="123">
        <f>G44/F44*100</f>
        <v>31.70753615377706</v>
      </c>
      <c r="I44" s="123">
        <v>556</v>
      </c>
      <c r="J44" s="123">
        <v>556</v>
      </c>
      <c r="K44" s="123">
        <f t="shared" si="47"/>
        <v>100</v>
      </c>
      <c r="L44" s="150">
        <v>250</v>
      </c>
      <c r="M44" s="123">
        <v>250</v>
      </c>
      <c r="N44" s="138">
        <f t="shared" si="50"/>
        <v>100</v>
      </c>
      <c r="O44" s="123">
        <v>253</v>
      </c>
      <c r="P44" s="123">
        <v>253</v>
      </c>
      <c r="Q44" s="123">
        <f t="shared" si="48"/>
        <v>100</v>
      </c>
      <c r="R44" s="123">
        <v>50</v>
      </c>
      <c r="S44" s="123">
        <v>0</v>
      </c>
      <c r="T44" s="132">
        <f t="shared" si="51"/>
        <v>0</v>
      </c>
      <c r="U44" s="117">
        <v>452</v>
      </c>
      <c r="V44" s="117">
        <v>0</v>
      </c>
      <c r="W44" s="132">
        <f t="shared" si="52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8"/>
      <c r="AT44" s="438"/>
      <c r="AU44" s="121"/>
      <c r="AV44" s="121"/>
      <c r="AW44" s="155"/>
    </row>
    <row r="45" spans="1:49" s="31" customFormat="1" ht="63" customHeight="1">
      <c r="A45" s="372"/>
      <c r="B45" s="375"/>
      <c r="C45" s="378"/>
      <c r="D45" s="336"/>
      <c r="E45" s="109" t="s">
        <v>257</v>
      </c>
      <c r="F45" s="123">
        <f t="shared" si="53"/>
        <v>0</v>
      </c>
      <c r="G45" s="123">
        <f t="shared" si="53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39"/>
      <c r="AT45" s="439"/>
      <c r="AU45" s="121"/>
      <c r="AV45" s="121"/>
      <c r="AW45" s="155"/>
    </row>
    <row r="46" spans="1:49" s="31" customFormat="1" ht="15.75">
      <c r="A46" s="428" t="s">
        <v>368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29"/>
      <c r="AT46" s="430"/>
      <c r="AU46" s="121"/>
      <c r="AV46" s="121"/>
      <c r="AW46" s="155"/>
    </row>
    <row r="47" spans="1:49" s="31" customFormat="1" ht="15.75">
      <c r="A47" s="428" t="s">
        <v>369</v>
      </c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29"/>
      <c r="AT47" s="430"/>
      <c r="AU47" s="121"/>
      <c r="AV47" s="121"/>
      <c r="AW47" s="155"/>
    </row>
    <row r="48" spans="1:49" s="100" customFormat="1" ht="12.75">
      <c r="A48" s="352" t="s">
        <v>270</v>
      </c>
      <c r="B48" s="353"/>
      <c r="C48" s="353"/>
      <c r="D48" s="354"/>
      <c r="E48" s="129" t="s">
        <v>42</v>
      </c>
      <c r="F48" s="106">
        <f>F49+F50+F51</f>
        <v>599.4</v>
      </c>
      <c r="G48" s="106">
        <f t="shared" ref="G48:AR48" si="54">G49+G50+G51</f>
        <v>0</v>
      </c>
      <c r="H48" s="106">
        <f>G48/F48*100</f>
        <v>0</v>
      </c>
      <c r="I48" s="106">
        <f t="shared" si="54"/>
        <v>0</v>
      </c>
      <c r="J48" s="106">
        <f t="shared" si="54"/>
        <v>0</v>
      </c>
      <c r="K48" s="106">
        <v>0</v>
      </c>
      <c r="L48" s="106">
        <f t="shared" si="54"/>
        <v>0</v>
      </c>
      <c r="M48" s="106">
        <f t="shared" si="54"/>
        <v>0</v>
      </c>
      <c r="N48" s="106">
        <v>0</v>
      </c>
      <c r="O48" s="106">
        <f t="shared" si="54"/>
        <v>0</v>
      </c>
      <c r="P48" s="106">
        <f t="shared" si="54"/>
        <v>0</v>
      </c>
      <c r="Q48" s="106" t="e">
        <f>P48/O48*100</f>
        <v>#DIV/0!</v>
      </c>
      <c r="R48" s="106">
        <f t="shared" si="54"/>
        <v>119.8</v>
      </c>
      <c r="S48" s="106">
        <f t="shared" si="54"/>
        <v>0</v>
      </c>
      <c r="T48" s="106">
        <v>0</v>
      </c>
      <c r="U48" s="106">
        <f t="shared" si="54"/>
        <v>0</v>
      </c>
      <c r="V48" s="106">
        <f t="shared" si="54"/>
        <v>0</v>
      </c>
      <c r="W48" s="106">
        <f t="shared" si="54"/>
        <v>0</v>
      </c>
      <c r="X48" s="106">
        <f t="shared" si="54"/>
        <v>179.7</v>
      </c>
      <c r="Y48" s="106">
        <f t="shared" si="54"/>
        <v>0</v>
      </c>
      <c r="Z48" s="106">
        <f t="shared" si="54"/>
        <v>0</v>
      </c>
      <c r="AA48" s="106">
        <f t="shared" si="54"/>
        <v>0</v>
      </c>
      <c r="AB48" s="106">
        <f t="shared" si="54"/>
        <v>0</v>
      </c>
      <c r="AC48" s="106">
        <f t="shared" si="54"/>
        <v>0</v>
      </c>
      <c r="AD48" s="106">
        <f t="shared" si="54"/>
        <v>0</v>
      </c>
      <c r="AE48" s="106">
        <f t="shared" si="54"/>
        <v>0</v>
      </c>
      <c r="AF48" s="106">
        <f t="shared" si="54"/>
        <v>0</v>
      </c>
      <c r="AG48" s="106">
        <f t="shared" si="54"/>
        <v>179.7</v>
      </c>
      <c r="AH48" s="106">
        <f t="shared" si="54"/>
        <v>0</v>
      </c>
      <c r="AI48" s="106">
        <f t="shared" si="54"/>
        <v>0</v>
      </c>
      <c r="AJ48" s="106">
        <f t="shared" si="54"/>
        <v>0</v>
      </c>
      <c r="AK48" s="106">
        <f t="shared" si="54"/>
        <v>0</v>
      </c>
      <c r="AL48" s="106">
        <f t="shared" si="54"/>
        <v>0</v>
      </c>
      <c r="AM48" s="106">
        <f t="shared" si="54"/>
        <v>120.2</v>
      </c>
      <c r="AN48" s="106">
        <f t="shared" si="54"/>
        <v>0</v>
      </c>
      <c r="AO48" s="106">
        <f t="shared" si="54"/>
        <v>0</v>
      </c>
      <c r="AP48" s="106">
        <f t="shared" si="54"/>
        <v>0</v>
      </c>
      <c r="AQ48" s="106">
        <f t="shared" si="54"/>
        <v>0</v>
      </c>
      <c r="AR48" s="106">
        <f t="shared" si="54"/>
        <v>0</v>
      </c>
      <c r="AS48" s="431"/>
      <c r="AT48" s="434"/>
      <c r="AU48" s="121"/>
      <c r="AV48" s="121"/>
      <c r="AW48" s="155"/>
    </row>
    <row r="49" spans="1:49" s="100" customFormat="1" ht="36">
      <c r="A49" s="355"/>
      <c r="B49" s="356"/>
      <c r="C49" s="356"/>
      <c r="D49" s="357"/>
      <c r="E49" s="111" t="s">
        <v>3</v>
      </c>
      <c r="F49" s="106">
        <f>F57</f>
        <v>0</v>
      </c>
      <c r="G49" s="106">
        <f t="shared" ref="G49:AR51" si="55">G57</f>
        <v>0</v>
      </c>
      <c r="H49" s="106">
        <v>0</v>
      </c>
      <c r="I49" s="106">
        <f t="shared" si="55"/>
        <v>0</v>
      </c>
      <c r="J49" s="106">
        <f t="shared" si="55"/>
        <v>0</v>
      </c>
      <c r="K49" s="106">
        <v>0</v>
      </c>
      <c r="L49" s="106">
        <f t="shared" si="55"/>
        <v>0</v>
      </c>
      <c r="M49" s="106">
        <f t="shared" si="55"/>
        <v>0</v>
      </c>
      <c r="N49" s="106">
        <v>0</v>
      </c>
      <c r="O49" s="106">
        <f t="shared" si="55"/>
        <v>0</v>
      </c>
      <c r="P49" s="106">
        <f t="shared" si="55"/>
        <v>0</v>
      </c>
      <c r="Q49" s="106">
        <v>0</v>
      </c>
      <c r="R49" s="106">
        <f t="shared" si="55"/>
        <v>0</v>
      </c>
      <c r="S49" s="106">
        <f t="shared" si="55"/>
        <v>0</v>
      </c>
      <c r="T49" s="106">
        <f t="shared" si="55"/>
        <v>0</v>
      </c>
      <c r="U49" s="106">
        <f t="shared" si="55"/>
        <v>0</v>
      </c>
      <c r="V49" s="106">
        <f t="shared" si="55"/>
        <v>0</v>
      </c>
      <c r="W49" s="106">
        <f t="shared" si="55"/>
        <v>0</v>
      </c>
      <c r="X49" s="106">
        <f t="shared" si="55"/>
        <v>0</v>
      </c>
      <c r="Y49" s="106">
        <f t="shared" si="55"/>
        <v>0</v>
      </c>
      <c r="Z49" s="106">
        <f t="shared" si="55"/>
        <v>0</v>
      </c>
      <c r="AA49" s="106">
        <f t="shared" si="55"/>
        <v>0</v>
      </c>
      <c r="AB49" s="106">
        <f t="shared" si="55"/>
        <v>0</v>
      </c>
      <c r="AC49" s="106">
        <f t="shared" si="55"/>
        <v>0</v>
      </c>
      <c r="AD49" s="106">
        <f t="shared" si="55"/>
        <v>0</v>
      </c>
      <c r="AE49" s="106">
        <f t="shared" si="55"/>
        <v>0</v>
      </c>
      <c r="AF49" s="106">
        <f t="shared" si="55"/>
        <v>0</v>
      </c>
      <c r="AG49" s="106">
        <f t="shared" si="55"/>
        <v>0</v>
      </c>
      <c r="AH49" s="106">
        <f t="shared" si="55"/>
        <v>0</v>
      </c>
      <c r="AI49" s="106">
        <f t="shared" si="55"/>
        <v>0</v>
      </c>
      <c r="AJ49" s="106">
        <f t="shared" si="55"/>
        <v>0</v>
      </c>
      <c r="AK49" s="106">
        <f t="shared" si="55"/>
        <v>0</v>
      </c>
      <c r="AL49" s="106">
        <f t="shared" si="55"/>
        <v>0</v>
      </c>
      <c r="AM49" s="106">
        <f t="shared" si="55"/>
        <v>0</v>
      </c>
      <c r="AN49" s="106">
        <f t="shared" si="55"/>
        <v>0</v>
      </c>
      <c r="AO49" s="106">
        <f t="shared" si="55"/>
        <v>0</v>
      </c>
      <c r="AP49" s="106">
        <f t="shared" si="55"/>
        <v>0</v>
      </c>
      <c r="AQ49" s="106">
        <f t="shared" si="55"/>
        <v>0</v>
      </c>
      <c r="AR49" s="106">
        <f t="shared" si="55"/>
        <v>0</v>
      </c>
      <c r="AS49" s="432"/>
      <c r="AT49" s="435"/>
      <c r="AU49" s="121"/>
      <c r="AV49" s="121"/>
      <c r="AW49" s="155"/>
    </row>
    <row r="50" spans="1:49" s="100" customFormat="1" ht="24">
      <c r="A50" s="355"/>
      <c r="B50" s="356"/>
      <c r="C50" s="356"/>
      <c r="D50" s="357"/>
      <c r="E50" s="111" t="s">
        <v>44</v>
      </c>
      <c r="F50" s="106">
        <f>F58</f>
        <v>599.4</v>
      </c>
      <c r="G50" s="106">
        <f t="shared" si="55"/>
        <v>0</v>
      </c>
      <c r="H50" s="106">
        <f>G50/F50*100</f>
        <v>0</v>
      </c>
      <c r="I50" s="106">
        <f t="shared" si="55"/>
        <v>0</v>
      </c>
      <c r="J50" s="106">
        <f t="shared" si="55"/>
        <v>0</v>
      </c>
      <c r="K50" s="106">
        <v>0</v>
      </c>
      <c r="L50" s="106">
        <f t="shared" si="55"/>
        <v>0</v>
      </c>
      <c r="M50" s="106">
        <f t="shared" si="55"/>
        <v>0</v>
      </c>
      <c r="N50" s="106">
        <v>0</v>
      </c>
      <c r="O50" s="106">
        <f t="shared" si="55"/>
        <v>0</v>
      </c>
      <c r="P50" s="106">
        <f t="shared" si="55"/>
        <v>0</v>
      </c>
      <c r="Q50" s="106" t="e">
        <f t="shared" ref="Q50" si="56">P50/O50*100</f>
        <v>#DIV/0!</v>
      </c>
      <c r="R50" s="106">
        <f t="shared" si="55"/>
        <v>119.8</v>
      </c>
      <c r="S50" s="106">
        <f t="shared" si="55"/>
        <v>0</v>
      </c>
      <c r="T50" s="106">
        <f t="shared" si="55"/>
        <v>0</v>
      </c>
      <c r="U50" s="106">
        <f t="shared" si="55"/>
        <v>0</v>
      </c>
      <c r="V50" s="106">
        <f t="shared" si="55"/>
        <v>0</v>
      </c>
      <c r="W50" s="106">
        <f t="shared" si="55"/>
        <v>0</v>
      </c>
      <c r="X50" s="106">
        <f t="shared" si="55"/>
        <v>179.7</v>
      </c>
      <c r="Y50" s="106">
        <f t="shared" si="55"/>
        <v>0</v>
      </c>
      <c r="Z50" s="106">
        <f t="shared" si="55"/>
        <v>0</v>
      </c>
      <c r="AA50" s="106">
        <f t="shared" si="55"/>
        <v>0</v>
      </c>
      <c r="AB50" s="106">
        <f t="shared" si="55"/>
        <v>0</v>
      </c>
      <c r="AC50" s="106">
        <f t="shared" si="55"/>
        <v>0</v>
      </c>
      <c r="AD50" s="106">
        <f t="shared" si="55"/>
        <v>0</v>
      </c>
      <c r="AE50" s="106">
        <f t="shared" si="55"/>
        <v>0</v>
      </c>
      <c r="AF50" s="106">
        <f t="shared" si="55"/>
        <v>0</v>
      </c>
      <c r="AG50" s="106">
        <f t="shared" si="55"/>
        <v>179.7</v>
      </c>
      <c r="AH50" s="106">
        <f t="shared" si="55"/>
        <v>0</v>
      </c>
      <c r="AI50" s="106">
        <f t="shared" si="55"/>
        <v>0</v>
      </c>
      <c r="AJ50" s="106">
        <f t="shared" si="55"/>
        <v>0</v>
      </c>
      <c r="AK50" s="106">
        <f t="shared" si="55"/>
        <v>0</v>
      </c>
      <c r="AL50" s="106">
        <f t="shared" si="55"/>
        <v>0</v>
      </c>
      <c r="AM50" s="106">
        <f t="shared" si="55"/>
        <v>120.2</v>
      </c>
      <c r="AN50" s="106">
        <f t="shared" si="55"/>
        <v>0</v>
      </c>
      <c r="AO50" s="106">
        <f t="shared" si="55"/>
        <v>0</v>
      </c>
      <c r="AP50" s="106">
        <f t="shared" si="55"/>
        <v>0</v>
      </c>
      <c r="AQ50" s="106">
        <f t="shared" si="55"/>
        <v>0</v>
      </c>
      <c r="AR50" s="106">
        <f t="shared" si="55"/>
        <v>0</v>
      </c>
      <c r="AS50" s="432"/>
      <c r="AT50" s="435"/>
      <c r="AU50" s="121"/>
      <c r="AV50" s="121"/>
      <c r="AW50" s="155"/>
    </row>
    <row r="51" spans="1:49" s="100" customFormat="1" ht="24">
      <c r="A51" s="358"/>
      <c r="B51" s="359"/>
      <c r="C51" s="359"/>
      <c r="D51" s="360"/>
      <c r="E51" s="110" t="s">
        <v>257</v>
      </c>
      <c r="F51" s="106">
        <f>F59</f>
        <v>0</v>
      </c>
      <c r="G51" s="106">
        <f t="shared" si="55"/>
        <v>0</v>
      </c>
      <c r="H51" s="106">
        <v>0</v>
      </c>
      <c r="I51" s="106">
        <f t="shared" si="55"/>
        <v>0</v>
      </c>
      <c r="J51" s="106">
        <f t="shared" si="55"/>
        <v>0</v>
      </c>
      <c r="K51" s="106">
        <f t="shared" si="55"/>
        <v>0</v>
      </c>
      <c r="L51" s="106">
        <f t="shared" si="55"/>
        <v>0</v>
      </c>
      <c r="M51" s="106">
        <f t="shared" si="55"/>
        <v>0</v>
      </c>
      <c r="N51" s="106">
        <v>0</v>
      </c>
      <c r="O51" s="106">
        <f t="shared" si="55"/>
        <v>0</v>
      </c>
      <c r="P51" s="106">
        <f t="shared" si="55"/>
        <v>0</v>
      </c>
      <c r="Q51" s="106">
        <f t="shared" si="55"/>
        <v>0</v>
      </c>
      <c r="R51" s="106">
        <f t="shared" si="55"/>
        <v>0</v>
      </c>
      <c r="S51" s="106">
        <f t="shared" si="55"/>
        <v>0</v>
      </c>
      <c r="T51" s="106">
        <f t="shared" si="55"/>
        <v>0</v>
      </c>
      <c r="U51" s="106">
        <f t="shared" si="55"/>
        <v>0</v>
      </c>
      <c r="V51" s="106">
        <f t="shared" si="55"/>
        <v>0</v>
      </c>
      <c r="W51" s="106">
        <f t="shared" si="55"/>
        <v>0</v>
      </c>
      <c r="X51" s="106">
        <f t="shared" si="55"/>
        <v>0</v>
      </c>
      <c r="Y51" s="106">
        <f t="shared" si="55"/>
        <v>0</v>
      </c>
      <c r="Z51" s="106">
        <f t="shared" si="55"/>
        <v>0</v>
      </c>
      <c r="AA51" s="106">
        <f t="shared" si="55"/>
        <v>0</v>
      </c>
      <c r="AB51" s="106">
        <f t="shared" si="55"/>
        <v>0</v>
      </c>
      <c r="AC51" s="106">
        <f t="shared" si="55"/>
        <v>0</v>
      </c>
      <c r="AD51" s="106">
        <f t="shared" si="55"/>
        <v>0</v>
      </c>
      <c r="AE51" s="106">
        <f t="shared" si="55"/>
        <v>0</v>
      </c>
      <c r="AF51" s="106">
        <f t="shared" si="55"/>
        <v>0</v>
      </c>
      <c r="AG51" s="106">
        <f t="shared" si="55"/>
        <v>0</v>
      </c>
      <c r="AH51" s="106">
        <f t="shared" si="55"/>
        <v>0</v>
      </c>
      <c r="AI51" s="106">
        <f t="shared" si="55"/>
        <v>0</v>
      </c>
      <c r="AJ51" s="106">
        <f t="shared" si="55"/>
        <v>0</v>
      </c>
      <c r="AK51" s="106">
        <f t="shared" si="55"/>
        <v>0</v>
      </c>
      <c r="AL51" s="106">
        <f t="shared" si="55"/>
        <v>0</v>
      </c>
      <c r="AM51" s="106">
        <f t="shared" si="55"/>
        <v>0</v>
      </c>
      <c r="AN51" s="106">
        <f t="shared" si="55"/>
        <v>0</v>
      </c>
      <c r="AO51" s="106">
        <f t="shared" si="55"/>
        <v>0</v>
      </c>
      <c r="AP51" s="106">
        <f t="shared" si="55"/>
        <v>0</v>
      </c>
      <c r="AQ51" s="106">
        <f t="shared" si="55"/>
        <v>0</v>
      </c>
      <c r="AR51" s="106">
        <f t="shared" si="55"/>
        <v>0</v>
      </c>
      <c r="AS51" s="433"/>
      <c r="AT51" s="436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431</v>
      </c>
      <c r="AT52" s="194"/>
      <c r="AU52" s="121"/>
      <c r="AV52" s="121"/>
      <c r="AW52" s="155"/>
    </row>
    <row r="53" spans="1:49" s="100" customFormat="1" ht="84">
      <c r="A53" s="191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11" t="s">
        <v>432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192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433</v>
      </c>
      <c r="AT54" s="134"/>
      <c r="AU54" s="121"/>
      <c r="AV54" s="121"/>
      <c r="AW54" s="155"/>
    </row>
    <row r="55" spans="1:49" s="100" customFormat="1" ht="48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434</v>
      </c>
      <c r="AT55" s="134"/>
      <c r="AU55" s="121"/>
      <c r="AV55" s="121"/>
      <c r="AW55" s="155"/>
    </row>
    <row r="56" spans="1:49" s="31" customFormat="1" ht="12.75">
      <c r="A56" s="364" t="s">
        <v>382</v>
      </c>
      <c r="B56" s="373" t="s">
        <v>259</v>
      </c>
      <c r="C56" s="413" t="s">
        <v>271</v>
      </c>
      <c r="D56" s="416" t="s">
        <v>383</v>
      </c>
      <c r="E56" s="107" t="s">
        <v>42</v>
      </c>
      <c r="F56" s="104">
        <f>SUM(F57:F59)</f>
        <v>599.4</v>
      </c>
      <c r="G56" s="104">
        <f t="shared" ref="G56" si="57">SUM(G57:G59)</f>
        <v>0</v>
      </c>
      <c r="H56" s="104">
        <f>G56/F56*100</f>
        <v>0</v>
      </c>
      <c r="I56" s="207">
        <f t="shared" ref="I56:AP56" si="58">I57+I58+I59</f>
        <v>0</v>
      </c>
      <c r="J56" s="207">
        <f t="shared" si="58"/>
        <v>0</v>
      </c>
      <c r="K56" s="104">
        <v>0</v>
      </c>
      <c r="L56" s="207">
        <f t="shared" si="58"/>
        <v>0</v>
      </c>
      <c r="M56" s="207">
        <f t="shared" si="58"/>
        <v>0</v>
      </c>
      <c r="N56" s="207">
        <v>0</v>
      </c>
      <c r="O56" s="207">
        <f t="shared" si="58"/>
        <v>0</v>
      </c>
      <c r="P56" s="207">
        <f t="shared" si="58"/>
        <v>0</v>
      </c>
      <c r="Q56" s="104" t="e">
        <f t="shared" ref="Q56:Q58" si="59">P56/O56*100</f>
        <v>#DIV/0!</v>
      </c>
      <c r="R56" s="207">
        <f t="shared" si="58"/>
        <v>119.8</v>
      </c>
      <c r="S56" s="207">
        <f t="shared" si="58"/>
        <v>0</v>
      </c>
      <c r="T56" s="207">
        <f t="shared" si="58"/>
        <v>0</v>
      </c>
      <c r="U56" s="207">
        <f t="shared" si="58"/>
        <v>0</v>
      </c>
      <c r="V56" s="207">
        <f t="shared" si="58"/>
        <v>0</v>
      </c>
      <c r="W56" s="104">
        <v>0</v>
      </c>
      <c r="X56" s="207">
        <f t="shared" si="58"/>
        <v>179.7</v>
      </c>
      <c r="Y56" s="207">
        <f t="shared" si="58"/>
        <v>0</v>
      </c>
      <c r="Z56" s="207">
        <f t="shared" si="58"/>
        <v>0</v>
      </c>
      <c r="AA56" s="207">
        <f t="shared" si="58"/>
        <v>0</v>
      </c>
      <c r="AB56" s="207">
        <f t="shared" si="58"/>
        <v>0</v>
      </c>
      <c r="AC56" s="207">
        <f t="shared" si="58"/>
        <v>0</v>
      </c>
      <c r="AD56" s="207">
        <f t="shared" si="58"/>
        <v>0</v>
      </c>
      <c r="AE56" s="207">
        <f t="shared" si="58"/>
        <v>0</v>
      </c>
      <c r="AF56" s="207">
        <f t="shared" si="58"/>
        <v>0</v>
      </c>
      <c r="AG56" s="207">
        <f t="shared" si="58"/>
        <v>179.7</v>
      </c>
      <c r="AH56" s="207">
        <f t="shared" si="58"/>
        <v>0</v>
      </c>
      <c r="AI56" s="105">
        <f>AH56/AG56*100</f>
        <v>0</v>
      </c>
      <c r="AJ56" s="207">
        <f t="shared" si="58"/>
        <v>0</v>
      </c>
      <c r="AK56" s="207">
        <f t="shared" si="58"/>
        <v>0</v>
      </c>
      <c r="AL56" s="207">
        <f t="shared" si="58"/>
        <v>0</v>
      </c>
      <c r="AM56" s="207">
        <f t="shared" si="58"/>
        <v>120.2</v>
      </c>
      <c r="AN56" s="207">
        <f t="shared" si="58"/>
        <v>0</v>
      </c>
      <c r="AO56" s="207">
        <f t="shared" si="58"/>
        <v>0</v>
      </c>
      <c r="AP56" s="207">
        <f t="shared" si="58"/>
        <v>0</v>
      </c>
      <c r="AQ56" s="104"/>
      <c r="AR56" s="104"/>
      <c r="AS56" s="343" t="s">
        <v>435</v>
      </c>
      <c r="AT56" s="419" t="s">
        <v>429</v>
      </c>
      <c r="AU56" s="121"/>
      <c r="AV56" s="121"/>
      <c r="AW56" s="155"/>
    </row>
    <row r="57" spans="1:49" s="31" customFormat="1" ht="36">
      <c r="A57" s="365"/>
      <c r="B57" s="374"/>
      <c r="C57" s="414"/>
      <c r="D57" s="417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44"/>
      <c r="AT57" s="420"/>
      <c r="AU57" s="121"/>
      <c r="AV57" s="121"/>
      <c r="AW57" s="155"/>
    </row>
    <row r="58" spans="1:49" s="31" customFormat="1" ht="12.75">
      <c r="A58" s="365"/>
      <c r="B58" s="374"/>
      <c r="C58" s="414"/>
      <c r="D58" s="417"/>
      <c r="E58" s="108" t="s">
        <v>44</v>
      </c>
      <c r="F58" s="104">
        <f t="shared" ref="F58:G59" si="60">I58+L58+O58+R58+U58+X58+AA58+AD58+AG58+AJ58+AM58+AP58</f>
        <v>599.4</v>
      </c>
      <c r="G58" s="104">
        <f t="shared" si="60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f>119.8-119.8</f>
        <v>0</v>
      </c>
      <c r="P58" s="104">
        <v>0</v>
      </c>
      <c r="Q58" s="104" t="e">
        <f t="shared" si="59"/>
        <v>#DIV/0!</v>
      </c>
      <c r="R58" s="104">
        <v>119.8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44"/>
      <c r="AT58" s="420"/>
      <c r="AU58" s="121"/>
      <c r="AV58" s="121"/>
      <c r="AW58" s="155"/>
    </row>
    <row r="59" spans="1:49" s="31" customFormat="1" ht="66" customHeight="1">
      <c r="A59" s="366"/>
      <c r="B59" s="375"/>
      <c r="C59" s="415"/>
      <c r="D59" s="418"/>
      <c r="E59" s="109" t="s">
        <v>257</v>
      </c>
      <c r="F59" s="104">
        <f t="shared" si="60"/>
        <v>0</v>
      </c>
      <c r="G59" s="104">
        <f t="shared" si="60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45"/>
      <c r="AT59" s="421"/>
      <c r="AU59" s="121"/>
      <c r="AV59" s="121"/>
      <c r="AW59" s="155"/>
    </row>
    <row r="60" spans="1:49" s="31" customFormat="1" ht="15.75">
      <c r="A60" s="349" t="s">
        <v>384</v>
      </c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1"/>
      <c r="AU60" s="121"/>
      <c r="AV60" s="121"/>
      <c r="AW60" s="155"/>
    </row>
    <row r="61" spans="1:49" s="31" customFormat="1" ht="15.75">
      <c r="A61" s="349" t="s">
        <v>385</v>
      </c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350"/>
      <c r="AT61" s="351"/>
      <c r="AU61" s="121"/>
      <c r="AV61" s="121"/>
      <c r="AW61" s="155"/>
    </row>
    <row r="62" spans="1:49" s="100" customFormat="1" ht="12.75">
      <c r="A62" s="352" t="s">
        <v>272</v>
      </c>
      <c r="B62" s="353"/>
      <c r="C62" s="353"/>
      <c r="D62" s="354"/>
      <c r="E62" s="129" t="s">
        <v>42</v>
      </c>
      <c r="F62" s="106">
        <f>F63+F64+F65</f>
        <v>10588.099999999999</v>
      </c>
      <c r="G62" s="106">
        <f t="shared" ref="G62:AP62" si="61">G63+G64+G65</f>
        <v>245</v>
      </c>
      <c r="H62" s="106">
        <f>G62/F62*100</f>
        <v>2.313918455624711</v>
      </c>
      <c r="I62" s="106">
        <f t="shared" si="61"/>
        <v>0</v>
      </c>
      <c r="J62" s="106">
        <f t="shared" si="61"/>
        <v>0</v>
      </c>
      <c r="K62" s="106">
        <v>0</v>
      </c>
      <c r="L62" s="106">
        <f t="shared" si="61"/>
        <v>193.39999999999998</v>
      </c>
      <c r="M62" s="106">
        <f t="shared" si="61"/>
        <v>173.7</v>
      </c>
      <c r="N62" s="106">
        <f t="shared" si="61"/>
        <v>186.62063134160093</v>
      </c>
      <c r="O62" s="106">
        <f t="shared" si="61"/>
        <v>173.90000000000009</v>
      </c>
      <c r="P62" s="106">
        <f t="shared" si="61"/>
        <v>71.3</v>
      </c>
      <c r="Q62" s="106">
        <f>P62/O62*100</f>
        <v>41.000575043128215</v>
      </c>
      <c r="R62" s="106">
        <f t="shared" si="61"/>
        <v>4338.7999999999993</v>
      </c>
      <c r="S62" s="106">
        <f t="shared" si="61"/>
        <v>0</v>
      </c>
      <c r="T62" s="106">
        <f>S62/R62*100</f>
        <v>0</v>
      </c>
      <c r="U62" s="106">
        <f t="shared" si="61"/>
        <v>1300.6000000000001</v>
      </c>
      <c r="V62" s="106">
        <f t="shared" si="61"/>
        <v>0</v>
      </c>
      <c r="W62" s="106">
        <f t="shared" si="61"/>
        <v>0</v>
      </c>
      <c r="X62" s="106">
        <f t="shared" si="61"/>
        <v>1288.6000000000001</v>
      </c>
      <c r="Y62" s="106">
        <f t="shared" si="61"/>
        <v>0</v>
      </c>
      <c r="Z62" s="106">
        <f t="shared" si="61"/>
        <v>0</v>
      </c>
      <c r="AA62" s="106">
        <f t="shared" si="61"/>
        <v>1075.6000000000001</v>
      </c>
      <c r="AB62" s="106">
        <f t="shared" si="61"/>
        <v>0</v>
      </c>
      <c r="AC62" s="106">
        <f t="shared" si="61"/>
        <v>0</v>
      </c>
      <c r="AD62" s="106">
        <f t="shared" si="61"/>
        <v>150.6</v>
      </c>
      <c r="AE62" s="106">
        <f t="shared" si="61"/>
        <v>0</v>
      </c>
      <c r="AF62" s="106">
        <f t="shared" ref="AF62" si="62">AE62/AD62*100</f>
        <v>0</v>
      </c>
      <c r="AG62" s="106">
        <f t="shared" si="61"/>
        <v>200.6</v>
      </c>
      <c r="AH62" s="106">
        <f t="shared" si="61"/>
        <v>0</v>
      </c>
      <c r="AI62" s="106">
        <f t="shared" si="61"/>
        <v>0</v>
      </c>
      <c r="AJ62" s="106">
        <f t="shared" si="61"/>
        <v>162.6</v>
      </c>
      <c r="AK62" s="106">
        <f t="shared" si="61"/>
        <v>0</v>
      </c>
      <c r="AL62" s="106">
        <f t="shared" si="61"/>
        <v>0</v>
      </c>
      <c r="AM62" s="106">
        <f t="shared" si="61"/>
        <v>1339.8</v>
      </c>
      <c r="AN62" s="106">
        <f t="shared" si="61"/>
        <v>0</v>
      </c>
      <c r="AO62" s="106">
        <f t="shared" si="61"/>
        <v>0</v>
      </c>
      <c r="AP62" s="106">
        <f t="shared" si="61"/>
        <v>363.6</v>
      </c>
      <c r="AQ62" s="106">
        <f>AQ92+AQ100</f>
        <v>0</v>
      </c>
      <c r="AR62" s="106">
        <f>AR92+AR100</f>
        <v>0</v>
      </c>
      <c r="AS62" s="316"/>
      <c r="AT62" s="361"/>
      <c r="AU62" s="121"/>
      <c r="AV62" s="121"/>
      <c r="AW62" s="155"/>
    </row>
    <row r="63" spans="1:49" s="100" customFormat="1" ht="36">
      <c r="A63" s="355"/>
      <c r="B63" s="356"/>
      <c r="C63" s="356"/>
      <c r="D63" s="357"/>
      <c r="E63" s="111" t="s">
        <v>3</v>
      </c>
      <c r="F63" s="106">
        <f>F70+F74+F78</f>
        <v>0</v>
      </c>
      <c r="G63" s="106">
        <f t="shared" ref="G63:AR65" si="63">G70+G74+G78</f>
        <v>0</v>
      </c>
      <c r="H63" s="106">
        <v>0</v>
      </c>
      <c r="I63" s="106">
        <f t="shared" si="63"/>
        <v>0</v>
      </c>
      <c r="J63" s="106">
        <f t="shared" si="63"/>
        <v>0</v>
      </c>
      <c r="K63" s="106">
        <v>0</v>
      </c>
      <c r="L63" s="106">
        <f t="shared" si="63"/>
        <v>0</v>
      </c>
      <c r="M63" s="106">
        <f t="shared" si="63"/>
        <v>0</v>
      </c>
      <c r="N63" s="106">
        <f t="shared" si="63"/>
        <v>0</v>
      </c>
      <c r="O63" s="106">
        <f t="shared" si="63"/>
        <v>0</v>
      </c>
      <c r="P63" s="106">
        <f t="shared" si="63"/>
        <v>0</v>
      </c>
      <c r="Q63" s="106">
        <v>0</v>
      </c>
      <c r="R63" s="106">
        <f t="shared" si="63"/>
        <v>0</v>
      </c>
      <c r="S63" s="106">
        <f t="shared" si="63"/>
        <v>0</v>
      </c>
      <c r="T63" s="106">
        <v>0</v>
      </c>
      <c r="U63" s="106">
        <f t="shared" si="63"/>
        <v>0</v>
      </c>
      <c r="V63" s="106">
        <f t="shared" si="63"/>
        <v>0</v>
      </c>
      <c r="W63" s="106">
        <f t="shared" si="63"/>
        <v>0</v>
      </c>
      <c r="X63" s="106">
        <f t="shared" si="63"/>
        <v>0</v>
      </c>
      <c r="Y63" s="106">
        <f t="shared" si="63"/>
        <v>0</v>
      </c>
      <c r="Z63" s="106">
        <f t="shared" si="63"/>
        <v>0</v>
      </c>
      <c r="AA63" s="106">
        <f t="shared" si="63"/>
        <v>0</v>
      </c>
      <c r="AB63" s="106">
        <f t="shared" si="63"/>
        <v>0</v>
      </c>
      <c r="AC63" s="106">
        <f t="shared" si="63"/>
        <v>0</v>
      </c>
      <c r="AD63" s="106">
        <f t="shared" si="63"/>
        <v>0</v>
      </c>
      <c r="AE63" s="106">
        <f t="shared" si="63"/>
        <v>0</v>
      </c>
      <c r="AF63" s="106">
        <f t="shared" si="63"/>
        <v>0</v>
      </c>
      <c r="AG63" s="106">
        <f t="shared" si="63"/>
        <v>0</v>
      </c>
      <c r="AH63" s="106">
        <f t="shared" si="63"/>
        <v>0</v>
      </c>
      <c r="AI63" s="106">
        <f t="shared" si="63"/>
        <v>0</v>
      </c>
      <c r="AJ63" s="106">
        <f t="shared" si="63"/>
        <v>0</v>
      </c>
      <c r="AK63" s="106">
        <f t="shared" si="63"/>
        <v>0</v>
      </c>
      <c r="AL63" s="106">
        <f t="shared" si="63"/>
        <v>0</v>
      </c>
      <c r="AM63" s="106">
        <f t="shared" si="63"/>
        <v>0</v>
      </c>
      <c r="AN63" s="106">
        <f t="shared" si="63"/>
        <v>0</v>
      </c>
      <c r="AO63" s="106">
        <f t="shared" si="63"/>
        <v>0</v>
      </c>
      <c r="AP63" s="106">
        <f t="shared" si="63"/>
        <v>0</v>
      </c>
      <c r="AQ63" s="106">
        <f t="shared" si="63"/>
        <v>0</v>
      </c>
      <c r="AR63" s="106">
        <f t="shared" si="63"/>
        <v>0</v>
      </c>
      <c r="AS63" s="317"/>
      <c r="AT63" s="362"/>
      <c r="AU63" s="121"/>
      <c r="AV63" s="121"/>
      <c r="AW63" s="155"/>
    </row>
    <row r="64" spans="1:49" s="100" customFormat="1" ht="24">
      <c r="A64" s="355"/>
      <c r="B64" s="356"/>
      <c r="C64" s="356"/>
      <c r="D64" s="357"/>
      <c r="E64" s="111" t="s">
        <v>44</v>
      </c>
      <c r="F64" s="106">
        <f>F71+F75+F79</f>
        <v>10588.099999999999</v>
      </c>
      <c r="G64" s="106">
        <f t="shared" si="63"/>
        <v>245</v>
      </c>
      <c r="H64" s="106">
        <f>G64/F64*100</f>
        <v>2.313918455624711</v>
      </c>
      <c r="I64" s="106">
        <f t="shared" si="63"/>
        <v>0</v>
      </c>
      <c r="J64" s="106">
        <f t="shared" si="63"/>
        <v>0</v>
      </c>
      <c r="K64" s="106">
        <v>0</v>
      </c>
      <c r="L64" s="106">
        <f t="shared" si="63"/>
        <v>193.39999999999998</v>
      </c>
      <c r="M64" s="106">
        <f t="shared" si="63"/>
        <v>173.7</v>
      </c>
      <c r="N64" s="106">
        <f t="shared" si="63"/>
        <v>186.62063134160093</v>
      </c>
      <c r="O64" s="106">
        <f t="shared" si="63"/>
        <v>173.90000000000009</v>
      </c>
      <c r="P64" s="106">
        <f t="shared" si="63"/>
        <v>71.3</v>
      </c>
      <c r="Q64" s="106">
        <f t="shared" ref="Q64" si="64">P64/O64*100</f>
        <v>41.000575043128215</v>
      </c>
      <c r="R64" s="106">
        <f t="shared" si="63"/>
        <v>4338.7999999999993</v>
      </c>
      <c r="S64" s="106">
        <f t="shared" si="63"/>
        <v>0</v>
      </c>
      <c r="T64" s="106">
        <f t="shared" ref="T64" si="65">S64/R64*100</f>
        <v>0</v>
      </c>
      <c r="U64" s="106">
        <f t="shared" si="63"/>
        <v>1300.6000000000001</v>
      </c>
      <c r="V64" s="106">
        <f t="shared" si="63"/>
        <v>0</v>
      </c>
      <c r="W64" s="106">
        <f t="shared" si="63"/>
        <v>0</v>
      </c>
      <c r="X64" s="106">
        <f t="shared" si="63"/>
        <v>1288.6000000000001</v>
      </c>
      <c r="Y64" s="106">
        <f t="shared" si="63"/>
        <v>0</v>
      </c>
      <c r="Z64" s="106">
        <f t="shared" si="63"/>
        <v>0</v>
      </c>
      <c r="AA64" s="106">
        <f t="shared" si="63"/>
        <v>1075.6000000000001</v>
      </c>
      <c r="AB64" s="106">
        <f t="shared" si="63"/>
        <v>0</v>
      </c>
      <c r="AC64" s="106">
        <f t="shared" si="63"/>
        <v>0</v>
      </c>
      <c r="AD64" s="106">
        <f t="shared" si="63"/>
        <v>150.6</v>
      </c>
      <c r="AE64" s="106">
        <f t="shared" si="63"/>
        <v>0</v>
      </c>
      <c r="AF64" s="106">
        <f t="shared" ref="AF64" si="66">AE64/AD64*100</f>
        <v>0</v>
      </c>
      <c r="AG64" s="106">
        <f t="shared" si="63"/>
        <v>200.6</v>
      </c>
      <c r="AH64" s="106">
        <f t="shared" si="63"/>
        <v>0</v>
      </c>
      <c r="AI64" s="106">
        <f t="shared" si="63"/>
        <v>0</v>
      </c>
      <c r="AJ64" s="106">
        <f t="shared" si="63"/>
        <v>162.6</v>
      </c>
      <c r="AK64" s="106">
        <f t="shared" si="63"/>
        <v>0</v>
      </c>
      <c r="AL64" s="106">
        <f t="shared" si="63"/>
        <v>0</v>
      </c>
      <c r="AM64" s="106">
        <f t="shared" si="63"/>
        <v>1339.8</v>
      </c>
      <c r="AN64" s="106">
        <f t="shared" si="63"/>
        <v>0</v>
      </c>
      <c r="AO64" s="106">
        <f t="shared" si="63"/>
        <v>0</v>
      </c>
      <c r="AP64" s="106">
        <f t="shared" si="63"/>
        <v>363.6</v>
      </c>
      <c r="AQ64" s="106">
        <f t="shared" si="63"/>
        <v>0</v>
      </c>
      <c r="AR64" s="106">
        <f t="shared" si="63"/>
        <v>0</v>
      </c>
      <c r="AS64" s="317"/>
      <c r="AT64" s="362"/>
      <c r="AU64" s="121"/>
      <c r="AV64" s="121"/>
      <c r="AW64" s="155"/>
    </row>
    <row r="65" spans="1:49" s="100" customFormat="1" ht="24">
      <c r="A65" s="358"/>
      <c r="B65" s="359"/>
      <c r="C65" s="359"/>
      <c r="D65" s="360"/>
      <c r="E65" s="110" t="s">
        <v>257</v>
      </c>
      <c r="F65" s="106">
        <f>F72+F76+F80</f>
        <v>0</v>
      </c>
      <c r="G65" s="106">
        <f t="shared" si="63"/>
        <v>0</v>
      </c>
      <c r="H65" s="106">
        <v>0</v>
      </c>
      <c r="I65" s="106">
        <f t="shared" si="63"/>
        <v>0</v>
      </c>
      <c r="J65" s="106">
        <f t="shared" si="63"/>
        <v>0</v>
      </c>
      <c r="K65" s="106">
        <v>0</v>
      </c>
      <c r="L65" s="106">
        <f t="shared" si="63"/>
        <v>0</v>
      </c>
      <c r="M65" s="106">
        <f t="shared" si="63"/>
        <v>0</v>
      </c>
      <c r="N65" s="106">
        <f t="shared" si="63"/>
        <v>0</v>
      </c>
      <c r="O65" s="106">
        <f t="shared" si="63"/>
        <v>0</v>
      </c>
      <c r="P65" s="106">
        <f t="shared" si="63"/>
        <v>0</v>
      </c>
      <c r="Q65" s="106">
        <v>0</v>
      </c>
      <c r="R65" s="106">
        <f t="shared" si="63"/>
        <v>0</v>
      </c>
      <c r="S65" s="106">
        <f t="shared" si="63"/>
        <v>0</v>
      </c>
      <c r="T65" s="106">
        <v>0</v>
      </c>
      <c r="U65" s="106">
        <f t="shared" si="63"/>
        <v>0</v>
      </c>
      <c r="V65" s="106">
        <f t="shared" si="63"/>
        <v>0</v>
      </c>
      <c r="W65" s="106">
        <f t="shared" si="63"/>
        <v>0</v>
      </c>
      <c r="X65" s="106">
        <f t="shared" si="63"/>
        <v>0</v>
      </c>
      <c r="Y65" s="106">
        <f t="shared" si="63"/>
        <v>0</v>
      </c>
      <c r="Z65" s="106">
        <f t="shared" si="63"/>
        <v>0</v>
      </c>
      <c r="AA65" s="106">
        <f t="shared" si="63"/>
        <v>0</v>
      </c>
      <c r="AB65" s="106">
        <f t="shared" si="63"/>
        <v>0</v>
      </c>
      <c r="AC65" s="106">
        <f t="shared" si="63"/>
        <v>0</v>
      </c>
      <c r="AD65" s="106">
        <f t="shared" si="63"/>
        <v>0</v>
      </c>
      <c r="AE65" s="106">
        <f t="shared" si="63"/>
        <v>0</v>
      </c>
      <c r="AF65" s="106">
        <f t="shared" si="63"/>
        <v>0</v>
      </c>
      <c r="AG65" s="106">
        <f t="shared" si="63"/>
        <v>0</v>
      </c>
      <c r="AH65" s="106">
        <f t="shared" si="63"/>
        <v>0</v>
      </c>
      <c r="AI65" s="106">
        <f t="shared" si="63"/>
        <v>0</v>
      </c>
      <c r="AJ65" s="106">
        <f t="shared" si="63"/>
        <v>0</v>
      </c>
      <c r="AK65" s="106">
        <f t="shared" si="63"/>
        <v>0</v>
      </c>
      <c r="AL65" s="106">
        <f t="shared" si="63"/>
        <v>0</v>
      </c>
      <c r="AM65" s="106">
        <f t="shared" si="63"/>
        <v>0</v>
      </c>
      <c r="AN65" s="106">
        <f t="shared" si="63"/>
        <v>0</v>
      </c>
      <c r="AO65" s="106">
        <f t="shared" si="63"/>
        <v>0</v>
      </c>
      <c r="AP65" s="106">
        <f t="shared" si="63"/>
        <v>0</v>
      </c>
      <c r="AQ65" s="106">
        <f t="shared" si="63"/>
        <v>0</v>
      </c>
      <c r="AR65" s="106">
        <f t="shared" si="63"/>
        <v>0</v>
      </c>
      <c r="AS65" s="318"/>
      <c r="AT65" s="363"/>
      <c r="AU65" s="121"/>
      <c r="AV65" s="121"/>
      <c r="AW65" s="155"/>
    </row>
    <row r="66" spans="1:49" s="100" customFormat="1" ht="72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419</v>
      </c>
      <c r="AT66" s="134"/>
      <c r="AU66" s="121"/>
      <c r="AV66" s="121"/>
      <c r="AW66" s="155"/>
    </row>
    <row r="67" spans="1:49" s="100" customFormat="1" ht="96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420</v>
      </c>
      <c r="AT67" s="134"/>
      <c r="AU67" s="121"/>
      <c r="AV67" s="121"/>
      <c r="AW67" s="155"/>
    </row>
    <row r="68" spans="1:49" s="100" customFormat="1" ht="264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421</v>
      </c>
      <c r="AT68" s="134"/>
      <c r="AU68" s="121"/>
      <c r="AV68" s="121"/>
      <c r="AW68" s="155"/>
    </row>
    <row r="69" spans="1:49" s="31" customFormat="1" ht="12.75">
      <c r="A69" s="325" t="s">
        <v>395</v>
      </c>
      <c r="B69" s="328" t="s">
        <v>396</v>
      </c>
      <c r="C69" s="331" t="s">
        <v>277</v>
      </c>
      <c r="D69" s="334" t="s">
        <v>397</v>
      </c>
      <c r="E69" s="107" t="s">
        <v>42</v>
      </c>
      <c r="F69" s="123">
        <f>SUM(F70:F72)</f>
        <v>1572.1</v>
      </c>
      <c r="G69" s="123">
        <f t="shared" ref="G69" si="67">SUM(G70:G72)</f>
        <v>227.2</v>
      </c>
      <c r="H69" s="123">
        <f>G69/F69*100</f>
        <v>14.452006869791997</v>
      </c>
      <c r="I69" s="138">
        <f t="shared" ref="I69:AP69" si="68">I70+I71+I72</f>
        <v>0</v>
      </c>
      <c r="J69" s="138">
        <f t="shared" si="68"/>
        <v>0</v>
      </c>
      <c r="K69" s="123">
        <v>0</v>
      </c>
      <c r="L69" s="138">
        <f t="shared" si="68"/>
        <v>177.39999999999998</v>
      </c>
      <c r="M69" s="132">
        <f t="shared" si="68"/>
        <v>158.1</v>
      </c>
      <c r="N69" s="132">
        <f>M69/L69*100</f>
        <v>89.120631341600912</v>
      </c>
      <c r="O69" s="132">
        <f t="shared" si="68"/>
        <v>70.000000000000014</v>
      </c>
      <c r="P69" s="132">
        <f t="shared" si="68"/>
        <v>69.099999999999994</v>
      </c>
      <c r="Q69" s="123">
        <f t="shared" ref="Q69:Q79" si="69">P69/O69*100</f>
        <v>98.714285714285694</v>
      </c>
      <c r="R69" s="132">
        <f t="shared" si="68"/>
        <v>61.4</v>
      </c>
      <c r="S69" s="132">
        <f t="shared" si="68"/>
        <v>0</v>
      </c>
      <c r="T69" s="132">
        <f>S69/R69*100</f>
        <v>0</v>
      </c>
      <c r="U69" s="138">
        <f t="shared" si="68"/>
        <v>61.4</v>
      </c>
      <c r="V69" s="138">
        <f t="shared" si="68"/>
        <v>0</v>
      </c>
      <c r="W69" s="132">
        <f t="shared" ref="W69" si="70">V69/U69*100</f>
        <v>0</v>
      </c>
      <c r="X69" s="132">
        <f t="shared" si="68"/>
        <v>61.4</v>
      </c>
      <c r="Y69" s="132">
        <f t="shared" si="68"/>
        <v>0</v>
      </c>
      <c r="Z69" s="132">
        <f t="shared" ref="Z69" si="71">Y69/X69*100</f>
        <v>0</v>
      </c>
      <c r="AA69" s="132">
        <f t="shared" si="68"/>
        <v>61.4</v>
      </c>
      <c r="AB69" s="132">
        <f t="shared" si="68"/>
        <v>0</v>
      </c>
      <c r="AC69" s="132">
        <f t="shared" ref="AC69" si="72">AB69/AA69*100</f>
        <v>0</v>
      </c>
      <c r="AD69" s="132">
        <f t="shared" si="68"/>
        <v>61.4</v>
      </c>
      <c r="AE69" s="138">
        <f t="shared" si="68"/>
        <v>0</v>
      </c>
      <c r="AF69" s="104">
        <f t="shared" ref="AF69" si="73">AE69/AD69*100</f>
        <v>0</v>
      </c>
      <c r="AG69" s="138">
        <f t="shared" si="68"/>
        <v>61.4</v>
      </c>
      <c r="AH69" s="138">
        <f t="shared" si="68"/>
        <v>0</v>
      </c>
      <c r="AI69" s="132">
        <f t="shared" ref="AI69" si="74">AH69/AG69*100</f>
        <v>0</v>
      </c>
      <c r="AJ69" s="138">
        <f t="shared" si="68"/>
        <v>61.4</v>
      </c>
      <c r="AK69" s="138">
        <f t="shared" si="68"/>
        <v>0</v>
      </c>
      <c r="AL69" s="138">
        <f t="shared" si="68"/>
        <v>0</v>
      </c>
      <c r="AM69" s="138">
        <f t="shared" si="68"/>
        <v>780.5</v>
      </c>
      <c r="AN69" s="138">
        <f t="shared" si="68"/>
        <v>0</v>
      </c>
      <c r="AO69" s="138">
        <f t="shared" si="68"/>
        <v>0</v>
      </c>
      <c r="AP69" s="138">
        <f t="shared" si="68"/>
        <v>114.39999999999999</v>
      </c>
      <c r="AQ69" s="104"/>
      <c r="AR69" s="104"/>
      <c r="AS69" s="337" t="s">
        <v>422</v>
      </c>
      <c r="AT69" s="422" t="s">
        <v>423</v>
      </c>
      <c r="AU69" s="121"/>
      <c r="AV69" s="121"/>
      <c r="AW69" s="155"/>
    </row>
    <row r="70" spans="1:49" s="31" customFormat="1" ht="36">
      <c r="A70" s="326"/>
      <c r="B70" s="329"/>
      <c r="C70" s="332"/>
      <c r="D70" s="335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8"/>
      <c r="AT70" s="423"/>
      <c r="AU70" s="121"/>
      <c r="AV70" s="121"/>
      <c r="AW70" s="155"/>
    </row>
    <row r="71" spans="1:49" s="31" customFormat="1" ht="12.75">
      <c r="A71" s="326"/>
      <c r="B71" s="329"/>
      <c r="C71" s="332"/>
      <c r="D71" s="335"/>
      <c r="E71" s="108" t="s">
        <v>44</v>
      </c>
      <c r="F71" s="123">
        <f t="shared" ref="F71:G72" si="75">I71+L71+O71+R71+U71+X71+AA71+AD71+AG71+AJ71+AM71+AP71</f>
        <v>1572.1</v>
      </c>
      <c r="G71" s="123">
        <f t="shared" si="75"/>
        <v>227.2</v>
      </c>
      <c r="H71" s="123">
        <f>G71/F71*100</f>
        <v>14.452006869791997</v>
      </c>
      <c r="I71" s="123">
        <v>0</v>
      </c>
      <c r="J71" s="123">
        <v>0</v>
      </c>
      <c r="K71" s="123">
        <v>0</v>
      </c>
      <c r="L71" s="150">
        <f>61.4+10.2+105.8</f>
        <v>177.39999999999998</v>
      </c>
      <c r="M71" s="123">
        <v>158.1</v>
      </c>
      <c r="N71" s="138">
        <f t="shared" ref="N71" si="76">M71/L71*100</f>
        <v>89.120631341600912</v>
      </c>
      <c r="O71" s="123">
        <f>207.4-31.6-105.8</f>
        <v>70.000000000000014</v>
      </c>
      <c r="P71" s="123">
        <v>69.099999999999994</v>
      </c>
      <c r="Q71" s="123">
        <f t="shared" si="69"/>
        <v>98.714285714285694</v>
      </c>
      <c r="R71" s="123">
        <v>61.4</v>
      </c>
      <c r="S71" s="123">
        <v>0</v>
      </c>
      <c r="T71" s="132">
        <f t="shared" ref="T71:T79" si="77">S71/R71*100</f>
        <v>0</v>
      </c>
      <c r="U71" s="117">
        <v>61.4</v>
      </c>
      <c r="V71" s="117">
        <v>0</v>
      </c>
      <c r="W71" s="132">
        <f t="shared" ref="W71" si="78">V71/U71*100</f>
        <v>0</v>
      </c>
      <c r="X71" s="117">
        <v>61.4</v>
      </c>
      <c r="Y71" s="117">
        <v>0</v>
      </c>
      <c r="Z71" s="132">
        <f t="shared" ref="Z71" si="79">Y71/X71*100</f>
        <v>0</v>
      </c>
      <c r="AA71" s="117">
        <v>61.4</v>
      </c>
      <c r="AB71" s="117">
        <v>0</v>
      </c>
      <c r="AC71" s="132">
        <f t="shared" ref="AC71" si="80">AB71/AA71*100</f>
        <v>0</v>
      </c>
      <c r="AD71" s="117">
        <v>61.4</v>
      </c>
      <c r="AE71" s="117">
        <v>0</v>
      </c>
      <c r="AF71" s="132">
        <f t="shared" ref="AF71" si="81">AE71/AD71*100</f>
        <v>0</v>
      </c>
      <c r="AG71" s="117">
        <v>61.4</v>
      </c>
      <c r="AH71" s="117">
        <v>0</v>
      </c>
      <c r="AI71" s="132">
        <f t="shared" ref="AI71" si="82">AH71/AG71*100</f>
        <v>0</v>
      </c>
      <c r="AJ71" s="123">
        <v>61.4</v>
      </c>
      <c r="AK71" s="123">
        <v>0</v>
      </c>
      <c r="AL71" s="123">
        <v>0</v>
      </c>
      <c r="AM71" s="117">
        <f>790.7-10.2</f>
        <v>780.5</v>
      </c>
      <c r="AN71" s="117">
        <v>0</v>
      </c>
      <c r="AO71" s="117">
        <v>0</v>
      </c>
      <c r="AP71" s="123">
        <f>122.8-8.4</f>
        <v>114.39999999999999</v>
      </c>
      <c r="AQ71" s="104"/>
      <c r="AR71" s="104"/>
      <c r="AS71" s="338"/>
      <c r="AT71" s="423"/>
      <c r="AU71" s="121"/>
      <c r="AV71" s="121"/>
      <c r="AW71" s="155"/>
    </row>
    <row r="72" spans="1:49" s="31" customFormat="1" ht="39.75" customHeight="1">
      <c r="A72" s="327"/>
      <c r="B72" s="330"/>
      <c r="C72" s="333"/>
      <c r="D72" s="336"/>
      <c r="E72" s="109" t="s">
        <v>257</v>
      </c>
      <c r="F72" s="123">
        <f t="shared" si="75"/>
        <v>0</v>
      </c>
      <c r="G72" s="123">
        <f t="shared" si="75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39"/>
      <c r="AT72" s="424"/>
      <c r="AU72" s="121"/>
      <c r="AV72" s="121"/>
      <c r="AW72" s="155"/>
    </row>
    <row r="73" spans="1:49" s="31" customFormat="1" ht="12.75">
      <c r="A73" s="325" t="s">
        <v>398</v>
      </c>
      <c r="B73" s="328" t="s">
        <v>258</v>
      </c>
      <c r="C73" s="331" t="s">
        <v>277</v>
      </c>
      <c r="D73" s="334" t="s">
        <v>400</v>
      </c>
      <c r="E73" s="107" t="s">
        <v>42</v>
      </c>
      <c r="F73" s="123">
        <f>SUM(F74:F76)</f>
        <v>455.1</v>
      </c>
      <c r="G73" s="123">
        <f t="shared" ref="G73" si="83">SUM(G74:G76)</f>
        <v>0</v>
      </c>
      <c r="H73" s="123">
        <f>G73/F73*100</f>
        <v>0</v>
      </c>
      <c r="I73" s="138">
        <f t="shared" ref="I73:AP73" si="84">I74+I75+I76</f>
        <v>0</v>
      </c>
      <c r="J73" s="138">
        <f t="shared" si="84"/>
        <v>0</v>
      </c>
      <c r="K73" s="123">
        <v>0</v>
      </c>
      <c r="L73" s="138">
        <f t="shared" si="84"/>
        <v>0</v>
      </c>
      <c r="M73" s="132">
        <f t="shared" si="84"/>
        <v>0</v>
      </c>
      <c r="N73" s="132">
        <v>0</v>
      </c>
      <c r="O73" s="132">
        <f t="shared" si="84"/>
        <v>0</v>
      </c>
      <c r="P73" s="132">
        <f t="shared" si="84"/>
        <v>0</v>
      </c>
      <c r="Q73" s="123">
        <v>0</v>
      </c>
      <c r="R73" s="132">
        <f t="shared" si="84"/>
        <v>0</v>
      </c>
      <c r="S73" s="132">
        <f t="shared" si="84"/>
        <v>0</v>
      </c>
      <c r="T73" s="132">
        <v>0</v>
      </c>
      <c r="U73" s="132">
        <f t="shared" si="84"/>
        <v>0</v>
      </c>
      <c r="V73" s="132">
        <f t="shared" si="84"/>
        <v>0</v>
      </c>
      <c r="W73" s="132">
        <f t="shared" si="84"/>
        <v>0</v>
      </c>
      <c r="X73" s="132">
        <f t="shared" si="84"/>
        <v>0</v>
      </c>
      <c r="Y73" s="132">
        <f t="shared" si="84"/>
        <v>0</v>
      </c>
      <c r="Z73" s="138">
        <f t="shared" si="84"/>
        <v>0</v>
      </c>
      <c r="AA73" s="138">
        <f t="shared" si="84"/>
        <v>0</v>
      </c>
      <c r="AB73" s="138">
        <f t="shared" si="84"/>
        <v>0</v>
      </c>
      <c r="AC73" s="138">
        <f t="shared" si="84"/>
        <v>0</v>
      </c>
      <c r="AD73" s="132">
        <f t="shared" si="84"/>
        <v>0</v>
      </c>
      <c r="AE73" s="132">
        <f t="shared" si="84"/>
        <v>0</v>
      </c>
      <c r="AF73" s="132">
        <f t="shared" si="84"/>
        <v>0</v>
      </c>
      <c r="AG73" s="132">
        <f t="shared" si="84"/>
        <v>0</v>
      </c>
      <c r="AH73" s="132">
        <f t="shared" si="84"/>
        <v>0</v>
      </c>
      <c r="AI73" s="132">
        <f t="shared" si="84"/>
        <v>0</v>
      </c>
      <c r="AJ73" s="132">
        <f t="shared" si="84"/>
        <v>0</v>
      </c>
      <c r="AK73" s="132">
        <f t="shared" si="84"/>
        <v>0</v>
      </c>
      <c r="AL73" s="132">
        <f t="shared" si="84"/>
        <v>0</v>
      </c>
      <c r="AM73" s="132">
        <f t="shared" si="84"/>
        <v>455.1</v>
      </c>
      <c r="AN73" s="132">
        <f t="shared" si="84"/>
        <v>0</v>
      </c>
      <c r="AO73" s="132">
        <f t="shared" si="84"/>
        <v>0</v>
      </c>
      <c r="AP73" s="132">
        <f t="shared" si="84"/>
        <v>0</v>
      </c>
      <c r="AQ73" s="104"/>
      <c r="AR73" s="104"/>
      <c r="AS73" s="343" t="s">
        <v>425</v>
      </c>
      <c r="AT73" s="425" t="s">
        <v>424</v>
      </c>
      <c r="AU73" s="121"/>
      <c r="AV73" s="121"/>
      <c r="AW73" s="155"/>
    </row>
    <row r="74" spans="1:49" s="31" customFormat="1" ht="36">
      <c r="A74" s="326"/>
      <c r="B74" s="329"/>
      <c r="C74" s="332"/>
      <c r="D74" s="335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4"/>
      <c r="AT74" s="426"/>
      <c r="AU74" s="121"/>
      <c r="AV74" s="121"/>
      <c r="AW74" s="155"/>
    </row>
    <row r="75" spans="1:49" s="31" customFormat="1" ht="24.75" customHeight="1">
      <c r="A75" s="326"/>
      <c r="B75" s="329"/>
      <c r="C75" s="332"/>
      <c r="D75" s="335"/>
      <c r="E75" s="108" t="s">
        <v>44</v>
      </c>
      <c r="F75" s="123">
        <f t="shared" ref="F75:G76" si="85">I75+L75+O75+R75+U75+X75+AA75+AD75+AG75+AJ75+AM75+AP75</f>
        <v>455.1</v>
      </c>
      <c r="G75" s="123">
        <f t="shared" si="85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4"/>
      <c r="AT75" s="426"/>
      <c r="AU75" s="121"/>
      <c r="AV75" s="121"/>
      <c r="AW75" s="155"/>
    </row>
    <row r="76" spans="1:49" s="31" customFormat="1" ht="24" customHeight="1">
      <c r="A76" s="327"/>
      <c r="B76" s="330"/>
      <c r="C76" s="333"/>
      <c r="D76" s="336"/>
      <c r="E76" s="109" t="s">
        <v>257</v>
      </c>
      <c r="F76" s="123">
        <f t="shared" si="85"/>
        <v>0</v>
      </c>
      <c r="G76" s="123">
        <f t="shared" si="85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5"/>
      <c r="AT76" s="427"/>
      <c r="AU76" s="121"/>
      <c r="AV76" s="121"/>
      <c r="AW76" s="155"/>
    </row>
    <row r="77" spans="1:49" s="31" customFormat="1" ht="12.75">
      <c r="A77" s="325" t="s">
        <v>399</v>
      </c>
      <c r="B77" s="328" t="s">
        <v>295</v>
      </c>
      <c r="C77" s="331" t="s">
        <v>401</v>
      </c>
      <c r="D77" s="334" t="s">
        <v>402</v>
      </c>
      <c r="E77" s="107" t="s">
        <v>42</v>
      </c>
      <c r="F77" s="123">
        <f>SUM(F78:F80)</f>
        <v>8560.9</v>
      </c>
      <c r="G77" s="123">
        <f t="shared" ref="G77" si="86">SUM(G78:G80)</f>
        <v>17.8</v>
      </c>
      <c r="H77" s="123">
        <f>G77/F77*100</f>
        <v>0.20792206426894369</v>
      </c>
      <c r="I77" s="132">
        <f t="shared" ref="I77:AP77" si="87">I78+I79+I80</f>
        <v>0</v>
      </c>
      <c r="J77" s="132">
        <f t="shared" si="87"/>
        <v>0</v>
      </c>
      <c r="K77" s="123">
        <v>0</v>
      </c>
      <c r="L77" s="132">
        <f t="shared" si="87"/>
        <v>16</v>
      </c>
      <c r="M77" s="132">
        <f t="shared" si="87"/>
        <v>15.6</v>
      </c>
      <c r="N77" s="132">
        <f>M77/L77*100</f>
        <v>97.5</v>
      </c>
      <c r="O77" s="132">
        <f t="shared" si="87"/>
        <v>103.90000000000009</v>
      </c>
      <c r="P77" s="132">
        <f t="shared" si="87"/>
        <v>2.2000000000000002</v>
      </c>
      <c r="Q77" s="123">
        <f t="shared" si="69"/>
        <v>2.1174205967276212</v>
      </c>
      <c r="R77" s="132">
        <f t="shared" si="87"/>
        <v>4277.3999999999996</v>
      </c>
      <c r="S77" s="132">
        <f t="shared" si="87"/>
        <v>0</v>
      </c>
      <c r="T77" s="132">
        <f t="shared" si="77"/>
        <v>0</v>
      </c>
      <c r="U77" s="132">
        <f t="shared" si="87"/>
        <v>1239.2</v>
      </c>
      <c r="V77" s="132">
        <f t="shared" si="87"/>
        <v>0</v>
      </c>
      <c r="W77" s="138">
        <f t="shared" ref="W77" si="88">V77/U77*100</f>
        <v>0</v>
      </c>
      <c r="X77" s="132">
        <f t="shared" si="87"/>
        <v>1227.2</v>
      </c>
      <c r="Y77" s="132">
        <f t="shared" si="87"/>
        <v>0</v>
      </c>
      <c r="Z77" s="132">
        <f t="shared" si="87"/>
        <v>0</v>
      </c>
      <c r="AA77" s="132">
        <f t="shared" si="87"/>
        <v>1014.2</v>
      </c>
      <c r="AB77" s="132">
        <f t="shared" si="87"/>
        <v>0</v>
      </c>
      <c r="AC77" s="117">
        <f>AB77/AA77*100</f>
        <v>0</v>
      </c>
      <c r="AD77" s="132">
        <f t="shared" si="87"/>
        <v>89.2</v>
      </c>
      <c r="AE77" s="132">
        <f t="shared" si="87"/>
        <v>0</v>
      </c>
      <c r="AF77" s="104">
        <f t="shared" ref="AF77" si="89">AE77/AD77*100</f>
        <v>0</v>
      </c>
      <c r="AG77" s="132">
        <f t="shared" si="87"/>
        <v>139.19999999999999</v>
      </c>
      <c r="AH77" s="132">
        <f t="shared" si="87"/>
        <v>0</v>
      </c>
      <c r="AI77" s="104">
        <f t="shared" ref="AI77" si="90">AH77/AG77*100</f>
        <v>0</v>
      </c>
      <c r="AJ77" s="132">
        <f t="shared" si="87"/>
        <v>101.2</v>
      </c>
      <c r="AK77" s="132">
        <f t="shared" si="87"/>
        <v>0</v>
      </c>
      <c r="AL77" s="132">
        <f t="shared" si="87"/>
        <v>0</v>
      </c>
      <c r="AM77" s="132">
        <f t="shared" si="87"/>
        <v>104.2</v>
      </c>
      <c r="AN77" s="132">
        <f t="shared" si="87"/>
        <v>0</v>
      </c>
      <c r="AO77" s="132">
        <f t="shared" si="87"/>
        <v>0</v>
      </c>
      <c r="AP77" s="132">
        <f t="shared" si="87"/>
        <v>249.20000000000002</v>
      </c>
      <c r="AQ77" s="104"/>
      <c r="AR77" s="104"/>
      <c r="AS77" s="337" t="s">
        <v>427</v>
      </c>
      <c r="AT77" s="422" t="s">
        <v>426</v>
      </c>
      <c r="AU77" s="121"/>
      <c r="AV77" s="121"/>
      <c r="AW77" s="155"/>
    </row>
    <row r="78" spans="1:49" s="31" customFormat="1" ht="36">
      <c r="A78" s="326"/>
      <c r="B78" s="329"/>
      <c r="C78" s="332"/>
      <c r="D78" s="335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8"/>
      <c r="AT78" s="423"/>
      <c r="AU78" s="121"/>
      <c r="AV78" s="121"/>
      <c r="AW78" s="155"/>
    </row>
    <row r="79" spans="1:49" s="31" customFormat="1" ht="12.75">
      <c r="A79" s="326"/>
      <c r="B79" s="329"/>
      <c r="C79" s="332"/>
      <c r="D79" s="335"/>
      <c r="E79" s="108" t="s">
        <v>44</v>
      </c>
      <c r="F79" s="123">
        <f t="shared" ref="F79:G80" si="91">I79+L79+O79+R79+U79+X79+AA79+AD79+AG79+AJ79+AM79+AP79</f>
        <v>8560.9</v>
      </c>
      <c r="G79" s="123">
        <f t="shared" si="91"/>
        <v>17.8</v>
      </c>
      <c r="H79" s="123">
        <f>G79/F79*100</f>
        <v>0.20792206426894369</v>
      </c>
      <c r="I79" s="123">
        <v>0</v>
      </c>
      <c r="J79" s="123">
        <v>0</v>
      </c>
      <c r="K79" s="123">
        <v>0</v>
      </c>
      <c r="L79" s="150">
        <f>2231.1+45-2276.1+16</f>
        <v>16</v>
      </c>
      <c r="M79" s="123">
        <v>15.6</v>
      </c>
      <c r="N79" s="138">
        <f t="shared" ref="N79" si="92">M79/L79*100</f>
        <v>97.5</v>
      </c>
      <c r="O79" s="123">
        <f>1844+40+50-1734.1-16-80</f>
        <v>103.90000000000009</v>
      </c>
      <c r="P79" s="123">
        <v>2.2000000000000002</v>
      </c>
      <c r="Q79" s="123">
        <f t="shared" si="69"/>
        <v>2.1174205967276212</v>
      </c>
      <c r="R79" s="123">
        <f>229.2+38+4010.2</f>
        <v>4277.3999999999996</v>
      </c>
      <c r="S79" s="123">
        <v>0</v>
      </c>
      <c r="T79" s="138">
        <f t="shared" si="77"/>
        <v>0</v>
      </c>
      <c r="U79" s="117">
        <f>1129.2+30+80</f>
        <v>1239.2</v>
      </c>
      <c r="V79" s="117">
        <v>0</v>
      </c>
      <c r="W79" s="138">
        <f t="shared" ref="W79" si="93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94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8"/>
      <c r="AT79" s="423"/>
      <c r="AU79" s="121"/>
      <c r="AV79" s="121"/>
      <c r="AW79" s="155"/>
    </row>
    <row r="80" spans="1:49" s="31" customFormat="1" ht="9" customHeight="1">
      <c r="A80" s="327"/>
      <c r="B80" s="330"/>
      <c r="C80" s="333"/>
      <c r="D80" s="336"/>
      <c r="E80" s="109" t="s">
        <v>257</v>
      </c>
      <c r="F80" s="123">
        <f t="shared" si="91"/>
        <v>0</v>
      </c>
      <c r="G80" s="123">
        <f t="shared" si="91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39"/>
      <c r="AT80" s="424"/>
      <c r="AU80" s="121"/>
      <c r="AV80" s="121"/>
      <c r="AW80" s="155"/>
    </row>
    <row r="81" spans="1:48" s="100" customFormat="1" ht="12.75">
      <c r="A81" s="307" t="s">
        <v>256</v>
      </c>
      <c r="B81" s="308"/>
      <c r="C81" s="308"/>
      <c r="D81" s="309"/>
      <c r="E81" s="110" t="s">
        <v>42</v>
      </c>
      <c r="F81" s="106">
        <f>F82+F83+F84</f>
        <v>433567.59999999992</v>
      </c>
      <c r="G81" s="106">
        <f t="shared" ref="G81:AP81" si="95">G82+G83+G84</f>
        <v>87573.099999999977</v>
      </c>
      <c r="H81" s="106">
        <f>G81/F81*100</f>
        <v>20.198257434365484</v>
      </c>
      <c r="I81" s="106">
        <f t="shared" si="95"/>
        <v>13742.399999999998</v>
      </c>
      <c r="J81" s="106">
        <f t="shared" si="95"/>
        <v>25267</v>
      </c>
      <c r="K81" s="106">
        <f>J81/I81*100</f>
        <v>183.86162533473049</v>
      </c>
      <c r="L81" s="106">
        <f t="shared" si="95"/>
        <v>42724.600000000006</v>
      </c>
      <c r="M81" s="106">
        <f t="shared" si="95"/>
        <v>33691.599999999999</v>
      </c>
      <c r="N81" s="106">
        <f>M81/L81*100</f>
        <v>78.857613646470639</v>
      </c>
      <c r="O81" s="106">
        <f t="shared" si="95"/>
        <v>36856.100000000006</v>
      </c>
      <c r="P81" s="106">
        <f t="shared" si="95"/>
        <v>28614.499999999996</v>
      </c>
      <c r="Q81" s="106">
        <f>P81/O81*100</f>
        <v>77.638437056552362</v>
      </c>
      <c r="R81" s="106">
        <f t="shared" si="95"/>
        <v>47106.6</v>
      </c>
      <c r="S81" s="106">
        <f t="shared" si="95"/>
        <v>0</v>
      </c>
      <c r="T81" s="106">
        <f>S81/R81*100</f>
        <v>0</v>
      </c>
      <c r="U81" s="106">
        <f t="shared" si="95"/>
        <v>35582.399999999994</v>
      </c>
      <c r="V81" s="106">
        <f t="shared" si="95"/>
        <v>0</v>
      </c>
      <c r="W81" s="106">
        <f t="shared" si="95"/>
        <v>0</v>
      </c>
      <c r="X81" s="106">
        <f t="shared" si="95"/>
        <v>41537.69999999999</v>
      </c>
      <c r="Y81" s="106">
        <f t="shared" si="95"/>
        <v>0</v>
      </c>
      <c r="Z81" s="106" t="e">
        <f t="shared" si="95"/>
        <v>#REF!</v>
      </c>
      <c r="AA81" s="106">
        <f t="shared" si="95"/>
        <v>50658.1</v>
      </c>
      <c r="AB81" s="106">
        <f t="shared" si="95"/>
        <v>0</v>
      </c>
      <c r="AC81" s="106" t="e">
        <f t="shared" si="95"/>
        <v>#REF!</v>
      </c>
      <c r="AD81" s="106">
        <f t="shared" si="95"/>
        <v>36590</v>
      </c>
      <c r="AE81" s="106">
        <f t="shared" si="95"/>
        <v>0</v>
      </c>
      <c r="AF81" s="103">
        <f t="shared" ref="AF81:AF84" si="96">AE81/AD81*100</f>
        <v>0</v>
      </c>
      <c r="AG81" s="106">
        <f t="shared" si="95"/>
        <v>27715.699999999997</v>
      </c>
      <c r="AH81" s="106">
        <f t="shared" si="95"/>
        <v>0</v>
      </c>
      <c r="AI81" s="106" t="e">
        <f t="shared" si="95"/>
        <v>#REF!</v>
      </c>
      <c r="AJ81" s="106">
        <f t="shared" si="95"/>
        <v>24977.5</v>
      </c>
      <c r="AK81" s="106">
        <f t="shared" si="95"/>
        <v>0</v>
      </c>
      <c r="AL81" s="106" t="e">
        <f t="shared" si="95"/>
        <v>#REF!</v>
      </c>
      <c r="AM81" s="106">
        <f t="shared" si="95"/>
        <v>25612.799999999996</v>
      </c>
      <c r="AN81" s="106">
        <f t="shared" si="95"/>
        <v>0</v>
      </c>
      <c r="AO81" s="106" t="e">
        <f t="shared" si="95"/>
        <v>#REF!</v>
      </c>
      <c r="AP81" s="106">
        <f t="shared" si="95"/>
        <v>50463.7</v>
      </c>
      <c r="AQ81" s="103">
        <f t="shared" ref="AQ81:AR81" si="97">SUM(AQ82:AQ84)</f>
        <v>0</v>
      </c>
      <c r="AR81" s="103" t="e">
        <f t="shared" si="97"/>
        <v>#REF!</v>
      </c>
      <c r="AS81" s="316"/>
      <c r="AT81" s="319"/>
      <c r="AU81" s="121"/>
      <c r="AV81" s="127"/>
    </row>
    <row r="82" spans="1:48" s="100" customFormat="1" ht="36">
      <c r="A82" s="310"/>
      <c r="B82" s="311"/>
      <c r="C82" s="311"/>
      <c r="D82" s="312"/>
      <c r="E82" s="111" t="s">
        <v>3</v>
      </c>
      <c r="F82" s="106">
        <f t="shared" ref="F82:G84" si="98">F10+F34+F49+F63</f>
        <v>125134.89999999997</v>
      </c>
      <c r="G82" s="106">
        <f t="shared" si="98"/>
        <v>17974.2</v>
      </c>
      <c r="H82" s="106">
        <f>G82/F82*100</f>
        <v>14.363858523881031</v>
      </c>
      <c r="I82" s="106">
        <f t="shared" ref="I82:J84" si="99">I10+I34+I49+I63</f>
        <v>849.99999999999989</v>
      </c>
      <c r="J82" s="106">
        <f t="shared" si="99"/>
        <v>826.6</v>
      </c>
      <c r="K82" s="106">
        <f t="shared" ref="K82:K84" si="100">J82/I82*100</f>
        <v>97.247058823529429</v>
      </c>
      <c r="L82" s="106">
        <f t="shared" ref="L82:M84" si="101">L10+L34+L49+L63</f>
        <v>8876.4</v>
      </c>
      <c r="M82" s="106">
        <f t="shared" si="101"/>
        <v>8651.2000000000007</v>
      </c>
      <c r="N82" s="106">
        <f t="shared" ref="N82:N84" si="102">M82/L82*100</f>
        <v>97.462935424271109</v>
      </c>
      <c r="O82" s="106">
        <f t="shared" ref="O82:P84" si="103">O10+O34+O49+O63</f>
        <v>8999.7999999999993</v>
      </c>
      <c r="P82" s="106">
        <f t="shared" si="103"/>
        <v>8496.4</v>
      </c>
      <c r="Q82" s="106">
        <f t="shared" ref="Q82:Q84" si="104">P82/O82*100</f>
        <v>94.406542367608168</v>
      </c>
      <c r="R82" s="106">
        <f t="shared" ref="R82:S84" si="105">R10+R34+R49+R63</f>
        <v>10160.799999999999</v>
      </c>
      <c r="S82" s="106">
        <f t="shared" si="105"/>
        <v>0</v>
      </c>
      <c r="T82" s="106">
        <f t="shared" ref="T82:T84" si="106">S82/R82*100</f>
        <v>0</v>
      </c>
      <c r="U82" s="106">
        <f t="shared" ref="U82:AE84" si="107">U10+U34+U49+U63</f>
        <v>8653.3999999999978</v>
      </c>
      <c r="V82" s="106">
        <f t="shared" si="107"/>
        <v>0</v>
      </c>
      <c r="W82" s="106">
        <f t="shared" si="107"/>
        <v>0</v>
      </c>
      <c r="X82" s="106">
        <f t="shared" si="107"/>
        <v>10366.799999999999</v>
      </c>
      <c r="Y82" s="106">
        <f t="shared" si="107"/>
        <v>0</v>
      </c>
      <c r="Z82" s="106" t="e">
        <f t="shared" si="107"/>
        <v>#REF!</v>
      </c>
      <c r="AA82" s="106">
        <f t="shared" si="107"/>
        <v>11679.3</v>
      </c>
      <c r="AB82" s="106">
        <f t="shared" si="107"/>
        <v>0</v>
      </c>
      <c r="AC82" s="106" t="e">
        <f t="shared" si="107"/>
        <v>#REF!</v>
      </c>
      <c r="AD82" s="106">
        <f t="shared" si="107"/>
        <v>11285.099999999999</v>
      </c>
      <c r="AE82" s="106">
        <f t="shared" si="107"/>
        <v>0</v>
      </c>
      <c r="AF82" s="103">
        <f t="shared" si="96"/>
        <v>0</v>
      </c>
      <c r="AG82" s="106">
        <f t="shared" ref="AG82:AR84" si="108">AG10+AG34+AG49+AG63</f>
        <v>9471.7000000000007</v>
      </c>
      <c r="AH82" s="106">
        <f t="shared" si="108"/>
        <v>0</v>
      </c>
      <c r="AI82" s="106" t="e">
        <f t="shared" si="108"/>
        <v>#REF!</v>
      </c>
      <c r="AJ82" s="106">
        <f t="shared" si="108"/>
        <v>9999.1999999999989</v>
      </c>
      <c r="AK82" s="106">
        <f t="shared" si="108"/>
        <v>0</v>
      </c>
      <c r="AL82" s="106" t="e">
        <f t="shared" si="108"/>
        <v>#REF!</v>
      </c>
      <c r="AM82" s="106">
        <f t="shared" si="108"/>
        <v>8893.0999999999985</v>
      </c>
      <c r="AN82" s="106">
        <f t="shared" si="108"/>
        <v>0</v>
      </c>
      <c r="AO82" s="106" t="e">
        <f t="shared" si="108"/>
        <v>#REF!</v>
      </c>
      <c r="AP82" s="106">
        <f t="shared" si="108"/>
        <v>25899.299999999996</v>
      </c>
      <c r="AQ82" s="106">
        <f t="shared" si="108"/>
        <v>0</v>
      </c>
      <c r="AR82" s="106" t="e">
        <f t="shared" si="108"/>
        <v>#REF!</v>
      </c>
      <c r="AS82" s="317"/>
      <c r="AT82" s="320"/>
      <c r="AU82" s="121"/>
      <c r="AV82" s="127"/>
    </row>
    <row r="83" spans="1:48" s="100" customFormat="1" ht="24">
      <c r="A83" s="310"/>
      <c r="B83" s="311"/>
      <c r="C83" s="311"/>
      <c r="D83" s="312"/>
      <c r="E83" s="111" t="s">
        <v>44</v>
      </c>
      <c r="F83" s="106">
        <f t="shared" si="98"/>
        <v>302600.59999999998</v>
      </c>
      <c r="G83" s="106">
        <f t="shared" si="98"/>
        <v>68792.999999999985</v>
      </c>
      <c r="H83" s="106">
        <f>G83/F83*100</f>
        <v>22.733927163396235</v>
      </c>
      <c r="I83" s="106">
        <f t="shared" si="99"/>
        <v>12630.599999999999</v>
      </c>
      <c r="J83" s="106">
        <f t="shared" si="99"/>
        <v>24440.400000000001</v>
      </c>
      <c r="K83" s="106">
        <f t="shared" si="100"/>
        <v>193.50149636596839</v>
      </c>
      <c r="L83" s="106">
        <f t="shared" si="101"/>
        <v>33511.700000000004</v>
      </c>
      <c r="M83" s="106">
        <f t="shared" si="101"/>
        <v>24818.800000000003</v>
      </c>
      <c r="N83" s="106">
        <f t="shared" si="102"/>
        <v>74.060104381454835</v>
      </c>
      <c r="O83" s="106">
        <f t="shared" si="103"/>
        <v>27130</v>
      </c>
      <c r="P83" s="106">
        <f t="shared" si="103"/>
        <v>19533.8</v>
      </c>
      <c r="Q83" s="106">
        <f t="shared" si="104"/>
        <v>72.000737191301141</v>
      </c>
      <c r="R83" s="106">
        <f t="shared" si="105"/>
        <v>36205.199999999997</v>
      </c>
      <c r="S83" s="106">
        <f t="shared" si="105"/>
        <v>0</v>
      </c>
      <c r="T83" s="106">
        <f t="shared" si="106"/>
        <v>0</v>
      </c>
      <c r="U83" s="106">
        <f t="shared" si="107"/>
        <v>26449.299999999996</v>
      </c>
      <c r="V83" s="106">
        <f t="shared" si="107"/>
        <v>0</v>
      </c>
      <c r="W83" s="106">
        <f t="shared" si="107"/>
        <v>0</v>
      </c>
      <c r="X83" s="106">
        <f t="shared" si="107"/>
        <v>30719.199999999993</v>
      </c>
      <c r="Y83" s="106">
        <f t="shared" si="107"/>
        <v>0</v>
      </c>
      <c r="Z83" s="106" t="e">
        <f t="shared" si="107"/>
        <v>#REF!</v>
      </c>
      <c r="AA83" s="106">
        <f t="shared" si="107"/>
        <v>38309.699999999997</v>
      </c>
      <c r="AB83" s="106">
        <f t="shared" si="107"/>
        <v>0</v>
      </c>
      <c r="AC83" s="106" t="e">
        <f t="shared" si="107"/>
        <v>#REF!</v>
      </c>
      <c r="AD83" s="106">
        <f t="shared" si="107"/>
        <v>24785.899999999998</v>
      </c>
      <c r="AE83" s="106">
        <f t="shared" si="107"/>
        <v>0</v>
      </c>
      <c r="AF83" s="106">
        <f t="shared" si="96"/>
        <v>0</v>
      </c>
      <c r="AG83" s="106">
        <f t="shared" si="108"/>
        <v>17942.399999999998</v>
      </c>
      <c r="AH83" s="106">
        <f t="shared" si="108"/>
        <v>0</v>
      </c>
      <c r="AI83" s="106" t="e">
        <f t="shared" si="108"/>
        <v>#REF!</v>
      </c>
      <c r="AJ83" s="106">
        <f t="shared" si="108"/>
        <v>14413.7</v>
      </c>
      <c r="AK83" s="106">
        <f t="shared" si="108"/>
        <v>0</v>
      </c>
      <c r="AL83" s="106" t="e">
        <f t="shared" si="108"/>
        <v>#REF!</v>
      </c>
      <c r="AM83" s="106">
        <f t="shared" si="108"/>
        <v>16193.299999999997</v>
      </c>
      <c r="AN83" s="106">
        <f t="shared" si="108"/>
        <v>0</v>
      </c>
      <c r="AO83" s="106" t="e">
        <f t="shared" si="108"/>
        <v>#REF!</v>
      </c>
      <c r="AP83" s="106">
        <f t="shared" si="108"/>
        <v>24309.599999999995</v>
      </c>
      <c r="AQ83" s="106">
        <f t="shared" si="108"/>
        <v>0</v>
      </c>
      <c r="AR83" s="106" t="e">
        <f t="shared" si="108"/>
        <v>#REF!</v>
      </c>
      <c r="AS83" s="317"/>
      <c r="AT83" s="320"/>
      <c r="AU83" s="121"/>
      <c r="AV83" s="127"/>
    </row>
    <row r="84" spans="1:48" s="100" customFormat="1" ht="24">
      <c r="A84" s="313"/>
      <c r="B84" s="314"/>
      <c r="C84" s="314"/>
      <c r="D84" s="315"/>
      <c r="E84" s="110" t="s">
        <v>257</v>
      </c>
      <c r="F84" s="106">
        <f t="shared" si="98"/>
        <v>5832.0999999999995</v>
      </c>
      <c r="G84" s="106">
        <f t="shared" si="98"/>
        <v>805.9</v>
      </c>
      <c r="H84" s="106">
        <f>G84/F84*100</f>
        <v>13.818350165463556</v>
      </c>
      <c r="I84" s="106">
        <f t="shared" si="99"/>
        <v>261.8</v>
      </c>
      <c r="J84" s="106">
        <f t="shared" si="99"/>
        <v>0</v>
      </c>
      <c r="K84" s="106">
        <f t="shared" si="100"/>
        <v>0</v>
      </c>
      <c r="L84" s="106">
        <f t="shared" si="101"/>
        <v>336.5</v>
      </c>
      <c r="M84" s="106">
        <f t="shared" si="101"/>
        <v>221.6</v>
      </c>
      <c r="N84" s="106">
        <f t="shared" si="102"/>
        <v>65.854383358098062</v>
      </c>
      <c r="O84" s="106">
        <f t="shared" si="103"/>
        <v>726.3</v>
      </c>
      <c r="P84" s="106">
        <f t="shared" si="103"/>
        <v>584.29999999999995</v>
      </c>
      <c r="Q84" s="106">
        <f t="shared" si="104"/>
        <v>80.448850337326178</v>
      </c>
      <c r="R84" s="106">
        <f t="shared" si="105"/>
        <v>740.6</v>
      </c>
      <c r="S84" s="106">
        <f t="shared" si="105"/>
        <v>0</v>
      </c>
      <c r="T84" s="106">
        <f t="shared" si="106"/>
        <v>0</v>
      </c>
      <c r="U84" s="106">
        <f t="shared" si="107"/>
        <v>479.7</v>
      </c>
      <c r="V84" s="106">
        <f t="shared" si="107"/>
        <v>0</v>
      </c>
      <c r="W84" s="106">
        <f t="shared" si="107"/>
        <v>0</v>
      </c>
      <c r="X84" s="106">
        <f t="shared" si="107"/>
        <v>451.70000000000005</v>
      </c>
      <c r="Y84" s="106">
        <f t="shared" si="107"/>
        <v>0</v>
      </c>
      <c r="Z84" s="106" t="e">
        <f t="shared" si="107"/>
        <v>#REF!</v>
      </c>
      <c r="AA84" s="106">
        <f t="shared" si="107"/>
        <v>669.1</v>
      </c>
      <c r="AB84" s="106">
        <f t="shared" si="107"/>
        <v>0</v>
      </c>
      <c r="AC84" s="106" t="e">
        <f t="shared" si="107"/>
        <v>#REF!</v>
      </c>
      <c r="AD84" s="106">
        <f t="shared" si="107"/>
        <v>519</v>
      </c>
      <c r="AE84" s="106">
        <f t="shared" si="107"/>
        <v>0</v>
      </c>
      <c r="AF84" s="106">
        <f t="shared" si="96"/>
        <v>0</v>
      </c>
      <c r="AG84" s="106">
        <f t="shared" si="108"/>
        <v>301.60000000000002</v>
      </c>
      <c r="AH84" s="106">
        <f t="shared" si="108"/>
        <v>0</v>
      </c>
      <c r="AI84" s="106" t="e">
        <f t="shared" si="108"/>
        <v>#REF!</v>
      </c>
      <c r="AJ84" s="106">
        <f t="shared" si="108"/>
        <v>564.6</v>
      </c>
      <c r="AK84" s="106">
        <f t="shared" si="108"/>
        <v>0</v>
      </c>
      <c r="AL84" s="106" t="e">
        <f t="shared" si="108"/>
        <v>#REF!</v>
      </c>
      <c r="AM84" s="106">
        <f t="shared" si="108"/>
        <v>526.4</v>
      </c>
      <c r="AN84" s="106">
        <f t="shared" si="108"/>
        <v>0</v>
      </c>
      <c r="AO84" s="106" t="e">
        <f t="shared" si="108"/>
        <v>#REF!</v>
      </c>
      <c r="AP84" s="106">
        <f t="shared" si="108"/>
        <v>254.8</v>
      </c>
      <c r="AQ84" s="106">
        <f t="shared" si="108"/>
        <v>0</v>
      </c>
      <c r="AR84" s="106" t="e">
        <f t="shared" si="108"/>
        <v>#REF!</v>
      </c>
      <c r="AS84" s="318"/>
      <c r="AT84" s="321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22"/>
      <c r="C86" s="322"/>
      <c r="D86" s="322"/>
      <c r="E86" s="323"/>
      <c r="F86" s="324"/>
      <c r="G86" s="142"/>
      <c r="H86" s="41"/>
      <c r="I86" s="41">
        <f>I81+L81+O81</f>
        <v>93323.1</v>
      </c>
      <c r="J86" s="41">
        <f>R81+U81+X81</f>
        <v>124226.69999999998</v>
      </c>
      <c r="K86" s="41">
        <f>AA81+AD81+AG81</f>
        <v>114963.8</v>
      </c>
      <c r="L86" s="41">
        <f>AJ81+AM81+AP81</f>
        <v>101054</v>
      </c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6" t="s">
        <v>282</v>
      </c>
      <c r="B88" s="306"/>
      <c r="C88" s="306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6" t="s">
        <v>283</v>
      </c>
      <c r="B89" s="306"/>
      <c r="C89" s="306"/>
      <c r="D89" s="306"/>
      <c r="E89" s="306"/>
      <c r="F89" s="306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6"/>
      <c r="B90" s="306"/>
      <c r="C90" s="306"/>
      <c r="D90" s="306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6"/>
      <c r="B92" s="306"/>
      <c r="C92" s="306"/>
      <c r="D92" s="306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6" t="s">
        <v>404</v>
      </c>
      <c r="B96" s="306"/>
      <c r="C96" s="306"/>
      <c r="D96" s="306"/>
      <c r="AS96" s="131"/>
    </row>
    <row r="97" spans="1:45">
      <c r="A97" s="306" t="s">
        <v>291</v>
      </c>
      <c r="B97" s="306"/>
      <c r="C97" s="306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</mergeCells>
  <conditionalFormatting sqref="H91 H69:H80 H56:H59 H48:H51 H42:H45 H30:H31 H27:H28 H24">
    <cfRule type="cellIs" dxfId="1" priority="1" stopIfTrue="1" operator="notEqual">
      <formula>#REF!</formula>
    </cfRule>
  </conditionalFormatting>
  <pageMargins left="0.7" right="0.7" top="0.75" bottom="0.75" header="0.3" footer="0.3"/>
  <pageSetup paperSize="9" scale="40" orientation="landscape" r:id="rId1"/>
  <rowBreaks count="2" manualBreakCount="2">
    <brk id="52" max="45" man="1"/>
    <brk id="84" max="16383" man="1"/>
  </rowBreaks>
  <colBreaks count="1" manualBreakCount="1">
    <brk id="4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59"/>
  <sheetViews>
    <sheetView tabSelected="1" zoomScale="110" zoomScaleNormal="110" workbookViewId="0">
      <pane xSplit="3" ySplit="10" topLeftCell="AI17" activePane="bottomRight" state="frozen"/>
      <selection pane="topRight" activeCell="D1" sqref="D1"/>
      <selection pane="bottomLeft" activeCell="A11" sqref="A11"/>
      <selection pane="bottomRight" activeCell="A6" sqref="A6:AS6"/>
    </sheetView>
  </sheetViews>
  <sheetFormatPr defaultColWidth="9.140625" defaultRowHeight="15"/>
  <cols>
    <col min="1" max="1" width="5.5703125" style="240" customWidth="1"/>
    <col min="2" max="3" width="23.7109375" style="240" customWidth="1"/>
    <col min="4" max="4" width="16.42578125" style="240" customWidth="1"/>
    <col min="5" max="5" width="10.85546875" style="240" customWidth="1"/>
    <col min="6" max="6" width="10.7109375" style="240" customWidth="1"/>
    <col min="7" max="10" width="9.140625" style="240" customWidth="1"/>
    <col min="11" max="11" width="8.85546875" style="240" customWidth="1"/>
    <col min="12" max="12" width="9.140625" style="240" customWidth="1"/>
    <col min="13" max="13" width="10.42578125" style="240" customWidth="1"/>
    <col min="14" max="15" width="9.140625" style="240" customWidth="1"/>
    <col min="16" max="16" width="11.140625" style="240" customWidth="1"/>
    <col min="17" max="17" width="9.42578125" style="240" customWidth="1"/>
    <col min="18" max="18" width="10.5703125" style="240" hidden="1" customWidth="1"/>
    <col min="19" max="19" width="11.140625" style="240" hidden="1" customWidth="1"/>
    <col min="20" max="20" width="9.140625" style="240" customWidth="1"/>
    <col min="21" max="21" width="9.140625" style="240" hidden="1" customWidth="1"/>
    <col min="22" max="22" width="10.85546875" style="240" hidden="1" customWidth="1"/>
    <col min="23" max="23" width="9.140625" style="240" customWidth="1"/>
    <col min="24" max="24" width="9.140625" style="240" hidden="1" customWidth="1"/>
    <col min="25" max="25" width="10.28515625" style="240" hidden="1" customWidth="1"/>
    <col min="26" max="26" width="10.42578125" style="240" customWidth="1"/>
    <col min="27" max="28" width="10.42578125" style="240" hidden="1" customWidth="1"/>
    <col min="29" max="29" width="10.42578125" style="240" customWidth="1"/>
    <col min="30" max="30" width="11" style="240" hidden="1" customWidth="1"/>
    <col min="31" max="31" width="9.85546875" style="240" hidden="1" customWidth="1"/>
    <col min="32" max="32" width="9.140625" style="240" customWidth="1"/>
    <col min="33" max="33" width="11.140625" style="240" hidden="1" customWidth="1"/>
    <col min="34" max="34" width="10.85546875" style="240" hidden="1" customWidth="1"/>
    <col min="35" max="35" width="9.42578125" style="240" customWidth="1"/>
    <col min="36" max="36" width="9.140625" style="240" hidden="1" customWidth="1"/>
    <col min="37" max="37" width="10.5703125" style="240" hidden="1" customWidth="1"/>
    <col min="38" max="38" width="9.140625" style="240" customWidth="1"/>
    <col min="39" max="39" width="9.140625" style="240" hidden="1" customWidth="1"/>
    <col min="40" max="40" width="10.5703125" style="240" hidden="1" customWidth="1"/>
    <col min="41" max="41" width="9.140625" style="241" customWidth="1"/>
    <col min="42" max="42" width="10.42578125" style="240" hidden="1" customWidth="1"/>
    <col min="43" max="43" width="9.140625" style="240" hidden="1" customWidth="1"/>
    <col min="44" max="44" width="65.28515625" style="260" customWidth="1"/>
    <col min="45" max="45" width="44.7109375" style="264" customWidth="1"/>
    <col min="46" max="49" width="9.140625" style="240" customWidth="1"/>
    <col min="50" max="16384" width="9.140625" style="240"/>
  </cols>
  <sheetData>
    <row r="1" spans="1:47" s="236" customFormat="1">
      <c r="I1" s="244"/>
      <c r="J1" s="244"/>
      <c r="K1" s="244"/>
      <c r="Y1" s="245"/>
      <c r="AI1" s="244"/>
      <c r="AO1" s="237"/>
      <c r="AR1" s="260"/>
      <c r="AS1" s="261" t="s">
        <v>450</v>
      </c>
    </row>
    <row r="2" spans="1:47" s="236" customFormat="1">
      <c r="F2" s="244"/>
      <c r="H2" s="244"/>
      <c r="I2" s="244"/>
      <c r="J2" s="244"/>
      <c r="Q2" s="244"/>
      <c r="AB2" s="244"/>
      <c r="AH2" s="245"/>
      <c r="AO2" s="237"/>
      <c r="AR2" s="260"/>
      <c r="AS2" s="261" t="s">
        <v>451</v>
      </c>
    </row>
    <row r="3" spans="1:47" s="236" customFormat="1" ht="15.75" customHeight="1">
      <c r="AO3" s="237"/>
      <c r="AR3" s="260"/>
      <c r="AS3" s="261" t="s">
        <v>452</v>
      </c>
    </row>
    <row r="4" spans="1:47" s="236" customFormat="1">
      <c r="AO4" s="237"/>
      <c r="AR4" s="260"/>
      <c r="AS4" s="260"/>
    </row>
    <row r="5" spans="1:47" s="236" customFormat="1">
      <c r="AO5" s="237"/>
      <c r="AR5" s="260"/>
      <c r="AS5" s="261" t="s">
        <v>449</v>
      </c>
    </row>
    <row r="6" spans="1:47" s="230" customFormat="1" ht="16.5" customHeight="1">
      <c r="A6" s="500" t="s">
        <v>448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</row>
    <row r="7" spans="1:47" s="230" customFormat="1" ht="39.75" customHeight="1">
      <c r="A7" s="500" t="s">
        <v>501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</row>
    <row r="8" spans="1:47" s="229" customFormat="1" ht="12.75">
      <c r="A8" s="214"/>
      <c r="B8" s="212"/>
      <c r="C8" s="212"/>
      <c r="D8" s="213"/>
      <c r="E8" s="213"/>
      <c r="F8" s="213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5"/>
      <c r="AP8" s="215"/>
      <c r="AQ8" s="215"/>
      <c r="AR8" s="102"/>
      <c r="AS8" s="31"/>
    </row>
    <row r="9" spans="1:47" s="229" customFormat="1" ht="27.75" customHeight="1">
      <c r="A9" s="496" t="s">
        <v>484</v>
      </c>
      <c r="B9" s="496" t="s">
        <v>481</v>
      </c>
      <c r="C9" s="501" t="s">
        <v>482</v>
      </c>
      <c r="D9" s="496" t="s">
        <v>1</v>
      </c>
      <c r="E9" s="496" t="s">
        <v>483</v>
      </c>
      <c r="F9" s="496"/>
      <c r="G9" s="496"/>
      <c r="H9" s="496" t="s">
        <v>18</v>
      </c>
      <c r="I9" s="496"/>
      <c r="J9" s="496"/>
      <c r="K9" s="496" t="s">
        <v>19</v>
      </c>
      <c r="L9" s="496"/>
      <c r="M9" s="496"/>
      <c r="N9" s="496" t="s">
        <v>23</v>
      </c>
      <c r="O9" s="496"/>
      <c r="P9" s="496"/>
      <c r="Q9" s="496" t="s">
        <v>25</v>
      </c>
      <c r="R9" s="496"/>
      <c r="S9" s="496"/>
      <c r="T9" s="496" t="s">
        <v>26</v>
      </c>
      <c r="U9" s="496"/>
      <c r="V9" s="496"/>
      <c r="W9" s="496" t="s">
        <v>27</v>
      </c>
      <c r="X9" s="496"/>
      <c r="Y9" s="496"/>
      <c r="Z9" s="496" t="s">
        <v>29</v>
      </c>
      <c r="AA9" s="496"/>
      <c r="AB9" s="496"/>
      <c r="AC9" s="496" t="s">
        <v>30</v>
      </c>
      <c r="AD9" s="496"/>
      <c r="AE9" s="496"/>
      <c r="AF9" s="496" t="s">
        <v>31</v>
      </c>
      <c r="AG9" s="496"/>
      <c r="AH9" s="496"/>
      <c r="AI9" s="496" t="s">
        <v>33</v>
      </c>
      <c r="AJ9" s="496"/>
      <c r="AK9" s="496"/>
      <c r="AL9" s="496" t="s">
        <v>34</v>
      </c>
      <c r="AM9" s="496"/>
      <c r="AN9" s="496"/>
      <c r="AO9" s="496" t="s">
        <v>35</v>
      </c>
      <c r="AP9" s="496"/>
      <c r="AQ9" s="496"/>
      <c r="AR9" s="457" t="s">
        <v>273</v>
      </c>
      <c r="AS9" s="398" t="s">
        <v>274</v>
      </c>
      <c r="AT9" s="231"/>
      <c r="AU9" s="231"/>
    </row>
    <row r="10" spans="1:47" s="229" customFormat="1" ht="37.5" customHeight="1">
      <c r="A10" s="496"/>
      <c r="B10" s="496"/>
      <c r="C10" s="502"/>
      <c r="D10" s="496"/>
      <c r="E10" s="253" t="s">
        <v>264</v>
      </c>
      <c r="F10" s="253" t="s">
        <v>265</v>
      </c>
      <c r="G10" s="238" t="s">
        <v>266</v>
      </c>
      <c r="H10" s="253" t="s">
        <v>264</v>
      </c>
      <c r="I10" s="253" t="s">
        <v>265</v>
      </c>
      <c r="J10" s="238" t="s">
        <v>266</v>
      </c>
      <c r="K10" s="253" t="s">
        <v>264</v>
      </c>
      <c r="L10" s="253" t="s">
        <v>265</v>
      </c>
      <c r="M10" s="238" t="s">
        <v>266</v>
      </c>
      <c r="N10" s="253" t="s">
        <v>264</v>
      </c>
      <c r="O10" s="253" t="s">
        <v>265</v>
      </c>
      <c r="P10" s="238" t="s">
        <v>266</v>
      </c>
      <c r="Q10" s="253" t="s">
        <v>264</v>
      </c>
      <c r="R10" s="253" t="s">
        <v>265</v>
      </c>
      <c r="S10" s="238" t="s">
        <v>266</v>
      </c>
      <c r="T10" s="253" t="s">
        <v>264</v>
      </c>
      <c r="U10" s="253" t="s">
        <v>265</v>
      </c>
      <c r="V10" s="238" t="s">
        <v>266</v>
      </c>
      <c r="W10" s="253" t="s">
        <v>264</v>
      </c>
      <c r="X10" s="253" t="s">
        <v>265</v>
      </c>
      <c r="Y10" s="238" t="s">
        <v>266</v>
      </c>
      <c r="Z10" s="253" t="s">
        <v>264</v>
      </c>
      <c r="AA10" s="253" t="s">
        <v>265</v>
      </c>
      <c r="AB10" s="238" t="s">
        <v>266</v>
      </c>
      <c r="AC10" s="253" t="s">
        <v>264</v>
      </c>
      <c r="AD10" s="253" t="s">
        <v>265</v>
      </c>
      <c r="AE10" s="238" t="s">
        <v>266</v>
      </c>
      <c r="AF10" s="253" t="s">
        <v>264</v>
      </c>
      <c r="AG10" s="253" t="s">
        <v>265</v>
      </c>
      <c r="AH10" s="238" t="s">
        <v>266</v>
      </c>
      <c r="AI10" s="253" t="s">
        <v>264</v>
      </c>
      <c r="AJ10" s="253" t="s">
        <v>265</v>
      </c>
      <c r="AK10" s="238" t="s">
        <v>266</v>
      </c>
      <c r="AL10" s="253" t="s">
        <v>264</v>
      </c>
      <c r="AM10" s="253" t="s">
        <v>265</v>
      </c>
      <c r="AN10" s="238" t="s">
        <v>266</v>
      </c>
      <c r="AO10" s="253" t="s">
        <v>264</v>
      </c>
      <c r="AP10" s="253" t="s">
        <v>265</v>
      </c>
      <c r="AQ10" s="238" t="s">
        <v>266</v>
      </c>
      <c r="AR10" s="457"/>
      <c r="AS10" s="398"/>
    </row>
    <row r="11" spans="1:47" s="233" customFormat="1" ht="12.75" customHeight="1">
      <c r="A11" s="503" t="s">
        <v>455</v>
      </c>
      <c r="B11" s="506" t="s">
        <v>445</v>
      </c>
      <c r="C11" s="507"/>
      <c r="D11" s="216" t="s">
        <v>443</v>
      </c>
      <c r="E11" s="149">
        <f>E12+E13+E15</f>
        <v>426773.69999999995</v>
      </c>
      <c r="F11" s="149">
        <f>F12+F13+F15</f>
        <v>88026.6</v>
      </c>
      <c r="G11" s="149">
        <f t="shared" ref="G11:G23" si="0">F11/E11*100</f>
        <v>20.626060134445964</v>
      </c>
      <c r="H11" s="149">
        <f>H12+H13+H15</f>
        <v>6558.8999999999987</v>
      </c>
      <c r="I11" s="149">
        <f>I12+I13+I15</f>
        <v>6503.1999999999989</v>
      </c>
      <c r="J11" s="149">
        <f>I11/H11*100</f>
        <v>99.150772233148857</v>
      </c>
      <c r="K11" s="149">
        <f>K12+K13+K15</f>
        <v>48139.100000000006</v>
      </c>
      <c r="L11" s="149">
        <f>L12+L13+L15</f>
        <v>47084.600000000006</v>
      </c>
      <c r="M11" s="149">
        <f>L11/K11*100</f>
        <v>97.809472964804073</v>
      </c>
      <c r="N11" s="149">
        <f>N12+N13+N15</f>
        <v>37456.299999999988</v>
      </c>
      <c r="O11" s="149">
        <f>O12+O13+O15</f>
        <v>34438.800000000003</v>
      </c>
      <c r="P11" s="149">
        <f>O11/N11*100</f>
        <v>91.943945344307934</v>
      </c>
      <c r="Q11" s="149">
        <f>Q12+Q13+Q15</f>
        <v>33566.799999999996</v>
      </c>
      <c r="R11" s="149">
        <f>R12+R13+R15</f>
        <v>0</v>
      </c>
      <c r="S11" s="149">
        <f>R11/Q11*100</f>
        <v>0</v>
      </c>
      <c r="T11" s="149">
        <f>T12+T13+T15</f>
        <v>32253.5</v>
      </c>
      <c r="U11" s="149">
        <f>U12+U13+U15</f>
        <v>0</v>
      </c>
      <c r="V11" s="149">
        <f>U11/T11*100</f>
        <v>0</v>
      </c>
      <c r="W11" s="149">
        <f>W12+W13+W15</f>
        <v>43625.3</v>
      </c>
      <c r="X11" s="149">
        <f>X12+X13+X15</f>
        <v>0</v>
      </c>
      <c r="Y11" s="149">
        <f>X11/W11*100</f>
        <v>0</v>
      </c>
      <c r="Z11" s="149">
        <f>Z12+Z13+Z15</f>
        <v>36606.299999999996</v>
      </c>
      <c r="AA11" s="149">
        <f>AA12+AA13+AA15</f>
        <v>0</v>
      </c>
      <c r="AB11" s="149">
        <f t="shared" ref="AB11:AB21" si="1">AA11/Z11*100</f>
        <v>0</v>
      </c>
      <c r="AC11" s="149">
        <f>AC12+AC13+AC15</f>
        <v>32426.5</v>
      </c>
      <c r="AD11" s="149">
        <f>AD12+AD13+AD15</f>
        <v>0</v>
      </c>
      <c r="AE11" s="149">
        <f>AD11/AC11*100</f>
        <v>0</v>
      </c>
      <c r="AF11" s="149">
        <f>AF12+AF13+AF15</f>
        <v>30177.600000000002</v>
      </c>
      <c r="AG11" s="149">
        <f>AG12+AG13+AG15</f>
        <v>0</v>
      </c>
      <c r="AH11" s="149">
        <f>AG11/AF11*100</f>
        <v>0</v>
      </c>
      <c r="AI11" s="149">
        <f>AI12+AI13+AI15</f>
        <v>31835.200000000004</v>
      </c>
      <c r="AJ11" s="149">
        <f>AJ12+AJ13+AJ15</f>
        <v>0</v>
      </c>
      <c r="AK11" s="149">
        <f t="shared" ref="AK11:AK14" si="2">AJ11/AI11*100</f>
        <v>0</v>
      </c>
      <c r="AL11" s="149">
        <f>AL12+AL13+AL15</f>
        <v>37723.699999999997</v>
      </c>
      <c r="AM11" s="149">
        <f>AM12+AM13+AM15</f>
        <v>0</v>
      </c>
      <c r="AN11" s="149">
        <f t="shared" ref="AN11:AN13" si="3">AM11/AL11*100</f>
        <v>0</v>
      </c>
      <c r="AO11" s="149">
        <f>AO12+AO13+AO15</f>
        <v>56404.5</v>
      </c>
      <c r="AP11" s="149">
        <f>AP12+AP13+AP15</f>
        <v>0</v>
      </c>
      <c r="AQ11" s="149" t="e">
        <f t="shared" ref="AQ11:AQ13" si="4">AO11/AP11*100</f>
        <v>#DIV/0!</v>
      </c>
      <c r="AR11" s="479"/>
      <c r="AS11" s="361"/>
      <c r="AT11" s="232"/>
    </row>
    <row r="12" spans="1:47" s="233" customFormat="1" ht="48">
      <c r="A12" s="504"/>
      <c r="B12" s="508"/>
      <c r="C12" s="509"/>
      <c r="D12" s="217" t="s">
        <v>441</v>
      </c>
      <c r="E12" s="149">
        <f>E18+E24+E29+E34+E39+E45</f>
        <v>12435.400000000001</v>
      </c>
      <c r="F12" s="149">
        <f>F18+F24+F29+F34+F39+F45</f>
        <v>1120.5</v>
      </c>
      <c r="G12" s="149">
        <f t="shared" si="0"/>
        <v>9.010566608231338</v>
      </c>
      <c r="H12" s="149">
        <f>H18+H24+H29+H34+H39+H45</f>
        <v>75.600000000000023</v>
      </c>
      <c r="I12" s="149">
        <f>I18+I24+I29+I34+I39+I45</f>
        <v>75.599999999999994</v>
      </c>
      <c r="J12" s="149">
        <f t="shared" ref="J12:J13" si="5">I12/H12*100</f>
        <v>99.999999999999972</v>
      </c>
      <c r="K12" s="149">
        <f>K18+K24+K29+K34+K39+K45</f>
        <v>571.79999999999995</v>
      </c>
      <c r="L12" s="149">
        <f>L18+L24+L29+L34+L39+L45</f>
        <v>537.9</v>
      </c>
      <c r="M12" s="149">
        <f t="shared" ref="M12:M15" si="6">L12/K12*100</f>
        <v>94.071353620146908</v>
      </c>
      <c r="N12" s="149">
        <f>N18+N24+N29+N34+N39+N45</f>
        <v>729.2</v>
      </c>
      <c r="O12" s="149">
        <f>O18+O24+O29+O34+O39+O45</f>
        <v>507</v>
      </c>
      <c r="P12" s="149">
        <f t="shared" ref="P12:P15" si="7">O12/N12*100</f>
        <v>69.528250137136581</v>
      </c>
      <c r="Q12" s="149">
        <f>Q18+Q24+Q29+Q34+Q39+Q45</f>
        <v>1032.5999999999999</v>
      </c>
      <c r="R12" s="149">
        <f>R18+R24+R29+R34+R39+R45</f>
        <v>0</v>
      </c>
      <c r="S12" s="149">
        <f t="shared" ref="S12:S15" si="8">R12/Q12*100</f>
        <v>0</v>
      </c>
      <c r="T12" s="149">
        <f>T18+T24+T29+T34+T39+T45</f>
        <v>1050.9000000000001</v>
      </c>
      <c r="U12" s="149">
        <f>U18+U24+U29+U34+U39+U45</f>
        <v>0</v>
      </c>
      <c r="V12" s="149">
        <f>U12/T12*100</f>
        <v>0</v>
      </c>
      <c r="W12" s="149">
        <f>W18+W24+W29+W34+W39+W45</f>
        <v>1746.1</v>
      </c>
      <c r="X12" s="149">
        <f>X18+X24+X29+X34+X39+X45</f>
        <v>0</v>
      </c>
      <c r="Y12" s="149">
        <f t="shared" ref="Y12:Y15" si="9">X12/W12*100</f>
        <v>0</v>
      </c>
      <c r="Z12" s="149">
        <f>Z18+Z24+Z29+Z34+Z39+Z45</f>
        <v>1661.6999999999998</v>
      </c>
      <c r="AA12" s="149">
        <f>AA18+AA24+AA29+AA34+AA39+AA45</f>
        <v>0</v>
      </c>
      <c r="AB12" s="149">
        <f t="shared" si="1"/>
        <v>0</v>
      </c>
      <c r="AC12" s="149">
        <f>AC18+AC24+AC29+AC34+AC39+AC45</f>
        <v>1777.5</v>
      </c>
      <c r="AD12" s="149">
        <f>AD18+AD24+AD29+AD34+AD39+AD45</f>
        <v>0</v>
      </c>
      <c r="AE12" s="149">
        <f t="shared" ref="AE12:AE35" si="10">AD12/AC12*100</f>
        <v>0</v>
      </c>
      <c r="AF12" s="149">
        <f>AF18+AF24+AF29+AF34+AF39+AF45</f>
        <v>1183.8</v>
      </c>
      <c r="AG12" s="149">
        <f>AG18+AG24+AG29+AG34+AG39+AG45</f>
        <v>0</v>
      </c>
      <c r="AH12" s="149">
        <f>AG12/AF12*100</f>
        <v>0</v>
      </c>
      <c r="AI12" s="149">
        <f>AI18+AI24+AI29+AI34+AI39+AI45</f>
        <v>834.69999999999993</v>
      </c>
      <c r="AJ12" s="149">
        <f>AJ18+AJ24+AJ29+AJ34+AJ39+AJ45</f>
        <v>0</v>
      </c>
      <c r="AK12" s="149">
        <f t="shared" si="2"/>
        <v>0</v>
      </c>
      <c r="AL12" s="149">
        <f>AL18+AL24+AL29+AL34+AL39+AL45</f>
        <v>971.59999999999991</v>
      </c>
      <c r="AM12" s="149">
        <f>AM18+AM24+AM29+AM34+AM39+AM45</f>
        <v>0</v>
      </c>
      <c r="AN12" s="149">
        <f t="shared" si="3"/>
        <v>0</v>
      </c>
      <c r="AO12" s="149">
        <f>AO18+AO24+AO29+AO34+AO39+AO45</f>
        <v>799.9</v>
      </c>
      <c r="AP12" s="149">
        <f>AP18+AP24+AP29+AP34+AP39+AP45</f>
        <v>0</v>
      </c>
      <c r="AQ12" s="149" t="e">
        <f t="shared" si="4"/>
        <v>#DIV/0!</v>
      </c>
      <c r="AR12" s="480"/>
      <c r="AS12" s="362"/>
      <c r="AT12" s="232"/>
      <c r="AU12" s="232"/>
    </row>
    <row r="13" spans="1:47" s="233" customFormat="1" ht="12.75" customHeight="1">
      <c r="A13" s="504"/>
      <c r="B13" s="508"/>
      <c r="C13" s="509"/>
      <c r="D13" s="217" t="s">
        <v>454</v>
      </c>
      <c r="E13" s="149">
        <f>E19+E25+E30+E35+E40</f>
        <v>408928.19999999995</v>
      </c>
      <c r="F13" s="149">
        <f>F19+F25+F30+F35+F40</f>
        <v>86144.8</v>
      </c>
      <c r="G13" s="149">
        <f t="shared" si="0"/>
        <v>21.065996426756584</v>
      </c>
      <c r="H13" s="149">
        <f>H19+H25+H30+H35+H40</f>
        <v>6483.2999999999984</v>
      </c>
      <c r="I13" s="149">
        <f>I19+I25+I30+I35+I40</f>
        <v>6427.5999999999985</v>
      </c>
      <c r="J13" s="149">
        <f t="shared" si="5"/>
        <v>99.14086961886693</v>
      </c>
      <c r="K13" s="149">
        <f>K19+K25+K30+K35+K40</f>
        <v>47452.100000000006</v>
      </c>
      <c r="L13" s="149">
        <f>L19+L25+L30+L35+L40</f>
        <v>46421.500000000007</v>
      </c>
      <c r="M13" s="149">
        <f t="shared" si="6"/>
        <v>97.828125625630904</v>
      </c>
      <c r="N13" s="149">
        <f>N19+N25+N30+N35+N40</f>
        <v>36057.899999999994</v>
      </c>
      <c r="O13" s="149">
        <f>O19+O25+O30+O35+O40</f>
        <v>33295.700000000004</v>
      </c>
      <c r="P13" s="149">
        <f t="shared" si="7"/>
        <v>92.339542790900225</v>
      </c>
      <c r="Q13" s="149">
        <f>Q19+Q25+Q30+Q35+Q40</f>
        <v>32081.1</v>
      </c>
      <c r="R13" s="149">
        <f>R19+R25+R30+R35+R40</f>
        <v>0</v>
      </c>
      <c r="S13" s="149">
        <f t="shared" si="8"/>
        <v>0</v>
      </c>
      <c r="T13" s="149">
        <f>T19+T25+T30+T35+T40</f>
        <v>30479.5</v>
      </c>
      <c r="U13" s="149">
        <f>U19+U25+U30+U35+U40</f>
        <v>0</v>
      </c>
      <c r="V13" s="149">
        <f t="shared" ref="V13:V15" si="11">U13/T13*100</f>
        <v>0</v>
      </c>
      <c r="W13" s="149">
        <f>W19+W25+W30+W35+W40</f>
        <v>41374.700000000004</v>
      </c>
      <c r="X13" s="149">
        <f>X19+X25+X30+X35+X40</f>
        <v>0</v>
      </c>
      <c r="Y13" s="149">
        <f t="shared" si="9"/>
        <v>0</v>
      </c>
      <c r="Z13" s="149">
        <f>Z19+Z25+Z30+Z35+Z40</f>
        <v>34389</v>
      </c>
      <c r="AA13" s="149">
        <f>AA19+AA25+AA30+AA35+AA40</f>
        <v>0</v>
      </c>
      <c r="AB13" s="149">
        <f t="shared" si="1"/>
        <v>0</v>
      </c>
      <c r="AC13" s="149">
        <f>AC19+AC25+AC30+AC35+AC40</f>
        <v>29897.1</v>
      </c>
      <c r="AD13" s="149">
        <f>AD19+AD25+AD30+AD35+AD40</f>
        <v>0</v>
      </c>
      <c r="AE13" s="149">
        <f t="shared" si="10"/>
        <v>0</v>
      </c>
      <c r="AF13" s="149">
        <f>AF19+AF25+AF30+AF35+AF40</f>
        <v>28713.000000000004</v>
      </c>
      <c r="AG13" s="149">
        <f>AG19+AG25+AG30+AG35+AG40</f>
        <v>0</v>
      </c>
      <c r="AH13" s="149">
        <f>AG13/AF13*100</f>
        <v>0</v>
      </c>
      <c r="AI13" s="149">
        <f>AI19+AI25+AI30+AI35+AI40</f>
        <v>30547.200000000004</v>
      </c>
      <c r="AJ13" s="149">
        <f>AJ19+AJ25+AJ30+AJ35+AJ40</f>
        <v>0</v>
      </c>
      <c r="AK13" s="149">
        <f t="shared" si="2"/>
        <v>0</v>
      </c>
      <c r="AL13" s="149">
        <f>AL19+AL25+AL30+AL35+AL40</f>
        <v>36402.400000000001</v>
      </c>
      <c r="AM13" s="149">
        <f>AM19+AM25+AM30+AM35+AM40</f>
        <v>0</v>
      </c>
      <c r="AN13" s="149">
        <f t="shared" si="3"/>
        <v>0</v>
      </c>
      <c r="AO13" s="149">
        <f>AO19+AO25+AO30+AO35+AO40</f>
        <v>55050.9</v>
      </c>
      <c r="AP13" s="149">
        <f>AP19+AP25+AP30+AP35+AP40</f>
        <v>0</v>
      </c>
      <c r="AQ13" s="149" t="e">
        <f t="shared" si="4"/>
        <v>#DIV/0!</v>
      </c>
      <c r="AR13" s="480"/>
      <c r="AS13" s="362"/>
      <c r="AT13" s="232"/>
      <c r="AU13" s="232"/>
    </row>
    <row r="14" spans="1:47" s="233" customFormat="1" ht="58.5" customHeight="1">
      <c r="A14" s="504"/>
      <c r="B14" s="508"/>
      <c r="C14" s="509"/>
      <c r="D14" s="248" t="s">
        <v>495</v>
      </c>
      <c r="E14" s="249">
        <f>H14+K14+N14+Q14+T14+W14+Z14+AC14+AF14+AI14+AL14+AO14</f>
        <v>66.2</v>
      </c>
      <c r="F14" s="249">
        <f t="shared" ref="F14" si="12">I14+L14+O14+R14+U14+X14+AA14+AD14+AG14+AJ14+AM14+AP14</f>
        <v>0</v>
      </c>
      <c r="G14" s="249">
        <f>F14/E14*100</f>
        <v>0</v>
      </c>
      <c r="H14" s="249">
        <f>H20+H41</f>
        <v>0</v>
      </c>
      <c r="I14" s="249">
        <f>I20+I41</f>
        <v>0</v>
      </c>
      <c r="J14" s="249">
        <v>0</v>
      </c>
      <c r="K14" s="249">
        <f>K20+K41</f>
        <v>0</v>
      </c>
      <c r="L14" s="249">
        <f>L20+L41</f>
        <v>0</v>
      </c>
      <c r="M14" s="249">
        <v>0</v>
      </c>
      <c r="N14" s="249">
        <f>N20+N41</f>
        <v>66.2</v>
      </c>
      <c r="O14" s="249">
        <f>O20+O41</f>
        <v>0</v>
      </c>
      <c r="P14" s="249">
        <f>O14/N14*100</f>
        <v>0</v>
      </c>
      <c r="Q14" s="249">
        <f t="shared" ref="Q14:AQ14" si="13">Q20+Q41</f>
        <v>0</v>
      </c>
      <c r="R14" s="249">
        <f t="shared" si="13"/>
        <v>0</v>
      </c>
      <c r="S14" s="249" t="e">
        <f t="shared" si="8"/>
        <v>#DIV/0!</v>
      </c>
      <c r="T14" s="249">
        <f t="shared" si="13"/>
        <v>0</v>
      </c>
      <c r="U14" s="249">
        <f t="shared" si="13"/>
        <v>0</v>
      </c>
      <c r="V14" s="249" t="e">
        <f t="shared" si="11"/>
        <v>#DIV/0!</v>
      </c>
      <c r="W14" s="249">
        <f t="shared" si="13"/>
        <v>0</v>
      </c>
      <c r="X14" s="249">
        <f t="shared" si="13"/>
        <v>0</v>
      </c>
      <c r="Y14" s="249" t="e">
        <f t="shared" si="9"/>
        <v>#DIV/0!</v>
      </c>
      <c r="Z14" s="249">
        <f t="shared" si="13"/>
        <v>0</v>
      </c>
      <c r="AA14" s="249">
        <f t="shared" si="13"/>
        <v>0</v>
      </c>
      <c r="AB14" s="249">
        <f t="shared" si="13"/>
        <v>0</v>
      </c>
      <c r="AC14" s="249">
        <f t="shared" si="13"/>
        <v>0</v>
      </c>
      <c r="AD14" s="249">
        <f t="shared" si="13"/>
        <v>0</v>
      </c>
      <c r="AE14" s="249">
        <f t="shared" si="13"/>
        <v>0</v>
      </c>
      <c r="AF14" s="249">
        <f t="shared" si="13"/>
        <v>0</v>
      </c>
      <c r="AG14" s="249">
        <f t="shared" si="13"/>
        <v>0</v>
      </c>
      <c r="AH14" s="249">
        <f t="shared" si="13"/>
        <v>0</v>
      </c>
      <c r="AI14" s="249">
        <f t="shared" si="13"/>
        <v>0</v>
      </c>
      <c r="AJ14" s="249">
        <f t="shared" si="13"/>
        <v>0</v>
      </c>
      <c r="AK14" s="149" t="e">
        <f t="shared" si="2"/>
        <v>#DIV/0!</v>
      </c>
      <c r="AL14" s="249">
        <f t="shared" si="13"/>
        <v>0</v>
      </c>
      <c r="AM14" s="249">
        <f t="shared" si="13"/>
        <v>0</v>
      </c>
      <c r="AN14" s="249">
        <f t="shared" si="13"/>
        <v>0</v>
      </c>
      <c r="AO14" s="249">
        <f t="shared" si="13"/>
        <v>0</v>
      </c>
      <c r="AP14" s="249">
        <f t="shared" si="13"/>
        <v>0</v>
      </c>
      <c r="AQ14" s="249" t="e">
        <f t="shared" si="13"/>
        <v>#DIV/0!</v>
      </c>
      <c r="AR14" s="480"/>
      <c r="AS14" s="362"/>
      <c r="AT14" s="232"/>
      <c r="AU14" s="232"/>
    </row>
    <row r="15" spans="1:47" s="233" customFormat="1" ht="24">
      <c r="A15" s="504"/>
      <c r="B15" s="508"/>
      <c r="C15" s="509"/>
      <c r="D15" s="218" t="s">
        <v>257</v>
      </c>
      <c r="E15" s="149">
        <f>E21+E26+E36+E47</f>
        <v>5410.0999999999995</v>
      </c>
      <c r="F15" s="149">
        <f>F21+F26+F36+F47</f>
        <v>761.30000000000007</v>
      </c>
      <c r="G15" s="149">
        <f>F15/E15*100</f>
        <v>14.071828616846272</v>
      </c>
      <c r="H15" s="149">
        <f>H21+H26+H36+H47</f>
        <v>0</v>
      </c>
      <c r="I15" s="149">
        <f>I21+I26+I36+I47</f>
        <v>0</v>
      </c>
      <c r="J15" s="149">
        <v>0</v>
      </c>
      <c r="K15" s="149">
        <f>K21+K26+K36+K47</f>
        <v>115.2</v>
      </c>
      <c r="L15" s="149">
        <f>L21+L26+L36+L47</f>
        <v>125.2</v>
      </c>
      <c r="M15" s="149">
        <f t="shared" si="6"/>
        <v>108.68055555555556</v>
      </c>
      <c r="N15" s="149">
        <f>N21+N26+N36+N47</f>
        <v>669.2</v>
      </c>
      <c r="O15" s="149">
        <f>O21+O26+O36+O47</f>
        <v>636.1</v>
      </c>
      <c r="P15" s="149">
        <f t="shared" si="7"/>
        <v>95.053795576808128</v>
      </c>
      <c r="Q15" s="149">
        <f>Q21+Q26+Q36+Q47</f>
        <v>453.1</v>
      </c>
      <c r="R15" s="149">
        <f>R21+R26+R36+R47</f>
        <v>0</v>
      </c>
      <c r="S15" s="149">
        <f t="shared" si="8"/>
        <v>0</v>
      </c>
      <c r="T15" s="149">
        <f>T21+T26+T36+T47</f>
        <v>723.1</v>
      </c>
      <c r="U15" s="149">
        <f>U21+U26+U36+U47</f>
        <v>0</v>
      </c>
      <c r="V15" s="149">
        <f t="shared" si="11"/>
        <v>0</v>
      </c>
      <c r="W15" s="149">
        <f>W21+W26+W36+W47</f>
        <v>504.5</v>
      </c>
      <c r="X15" s="149">
        <f>X21+X26+X36+X47</f>
        <v>0</v>
      </c>
      <c r="Y15" s="149">
        <f t="shared" si="9"/>
        <v>0</v>
      </c>
      <c r="Z15" s="149">
        <f>Z21+Z26+Z36+Z47</f>
        <v>555.6</v>
      </c>
      <c r="AA15" s="149">
        <f>AA21+AA26+AA36+AA47</f>
        <v>0</v>
      </c>
      <c r="AB15" s="149">
        <f t="shared" si="1"/>
        <v>0</v>
      </c>
      <c r="AC15" s="149">
        <f>AC21+AC26+AC36+AC47</f>
        <v>751.90000000000009</v>
      </c>
      <c r="AD15" s="149">
        <f>AD21+AD26+AD36+AD47</f>
        <v>0</v>
      </c>
      <c r="AE15" s="149">
        <f t="shared" si="10"/>
        <v>0</v>
      </c>
      <c r="AF15" s="149">
        <f>AF21+AF26+AF36+AF47</f>
        <v>280.8</v>
      </c>
      <c r="AG15" s="149">
        <f>AG21+AG26+AG36+AG47</f>
        <v>0</v>
      </c>
      <c r="AH15" s="149">
        <f>AG15/AF15*100</f>
        <v>0</v>
      </c>
      <c r="AI15" s="149">
        <f>AI21+AI26+AI36+AI47</f>
        <v>453.3</v>
      </c>
      <c r="AJ15" s="149">
        <f>AJ21+AJ26+AJ36+AJ47</f>
        <v>0</v>
      </c>
      <c r="AK15" s="149">
        <f>AJ15/AI15*100</f>
        <v>0</v>
      </c>
      <c r="AL15" s="149">
        <f>AL21+AL26+AL36+AL47</f>
        <v>349.7</v>
      </c>
      <c r="AM15" s="149">
        <f>AM21+AM26+AM36+AM47</f>
        <v>0</v>
      </c>
      <c r="AN15" s="149">
        <f>AM15/AL15*100</f>
        <v>0</v>
      </c>
      <c r="AO15" s="149">
        <f>AO21+AO26+AO36+AO47</f>
        <v>553.70000000000005</v>
      </c>
      <c r="AP15" s="149">
        <f>AP21+AP26+AP36+AP47</f>
        <v>0</v>
      </c>
      <c r="AQ15" s="149" t="e">
        <f>AO15/AP15*100</f>
        <v>#DIV/0!</v>
      </c>
      <c r="AR15" s="480"/>
      <c r="AS15" s="362"/>
      <c r="AT15" s="232"/>
      <c r="AU15" s="232"/>
    </row>
    <row r="16" spans="1:47" s="233" customFormat="1" ht="24">
      <c r="A16" s="505"/>
      <c r="B16" s="510"/>
      <c r="C16" s="511"/>
      <c r="D16" s="218" t="s">
        <v>459</v>
      </c>
      <c r="E16" s="149">
        <f>H16+K16+N16+Q16+T16+W16+Z16+AC16+AF16+AI16+AL16+AO16</f>
        <v>0</v>
      </c>
      <c r="F16" s="149">
        <f>I16+L16+O16+R16+U16+X16+AA16+AD16+AG16+AJ16+AM16+AP16</f>
        <v>0</v>
      </c>
      <c r="G16" s="149">
        <v>0</v>
      </c>
      <c r="H16" s="149">
        <v>0</v>
      </c>
      <c r="I16" s="149">
        <v>0</v>
      </c>
      <c r="J16" s="149">
        <v>0</v>
      </c>
      <c r="K16" s="23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224">
        <v>0</v>
      </c>
      <c r="U16" s="224">
        <v>0</v>
      </c>
      <c r="V16" s="149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  <c r="AB16" s="224">
        <v>0</v>
      </c>
      <c r="AC16" s="224">
        <v>0</v>
      </c>
      <c r="AD16" s="224">
        <v>0</v>
      </c>
      <c r="AE16" s="224">
        <v>0</v>
      </c>
      <c r="AF16" s="224">
        <v>0</v>
      </c>
      <c r="AG16" s="224">
        <v>0</v>
      </c>
      <c r="AH16" s="149">
        <v>0</v>
      </c>
      <c r="AI16" s="149">
        <v>0</v>
      </c>
      <c r="AJ16" s="149">
        <v>0</v>
      </c>
      <c r="AK16" s="149">
        <v>0</v>
      </c>
      <c r="AL16" s="224">
        <v>0</v>
      </c>
      <c r="AM16" s="224">
        <v>0</v>
      </c>
      <c r="AN16" s="224">
        <v>0</v>
      </c>
      <c r="AO16" s="149">
        <v>0</v>
      </c>
      <c r="AP16" s="149">
        <v>0</v>
      </c>
      <c r="AQ16" s="149">
        <v>0</v>
      </c>
      <c r="AR16" s="481"/>
      <c r="AS16" s="363"/>
      <c r="AT16" s="232"/>
    </row>
    <row r="17" spans="1:50" s="229" customFormat="1" ht="46.5" customHeight="1">
      <c r="A17" s="490" t="s">
        <v>2</v>
      </c>
      <c r="B17" s="483" t="s">
        <v>460</v>
      </c>
      <c r="C17" s="493" t="s">
        <v>486</v>
      </c>
      <c r="D17" s="258" t="s">
        <v>443</v>
      </c>
      <c r="E17" s="123">
        <f>E18+E19+E21</f>
        <v>250307.60000000003</v>
      </c>
      <c r="F17" s="123">
        <f>F18+F19+F21</f>
        <v>58043.3</v>
      </c>
      <c r="G17" s="123">
        <f t="shared" si="0"/>
        <v>23.18878851461162</v>
      </c>
      <c r="H17" s="123">
        <f t="shared" ref="H17:I17" si="14">H18+H19+H21</f>
        <v>3772.7999999999988</v>
      </c>
      <c r="I17" s="123">
        <f t="shared" si="14"/>
        <v>3772.7999999999997</v>
      </c>
      <c r="J17" s="123">
        <f>I17/H17*100</f>
        <v>100.00000000000003</v>
      </c>
      <c r="K17" s="123">
        <f t="shared" ref="K17:L17" si="15">K18+K19+K21</f>
        <v>34473.4</v>
      </c>
      <c r="L17" s="123">
        <f t="shared" si="15"/>
        <v>33978.400000000001</v>
      </c>
      <c r="M17" s="123">
        <f>L17/K17*100</f>
        <v>98.564110299535287</v>
      </c>
      <c r="N17" s="123">
        <f t="shared" ref="N17:O17" si="16">N18+N19+N21</f>
        <v>21680</v>
      </c>
      <c r="O17" s="123">
        <f t="shared" si="16"/>
        <v>20292.099999999999</v>
      </c>
      <c r="P17" s="123">
        <f>O17/N17*100</f>
        <v>93.598247232472318</v>
      </c>
      <c r="Q17" s="123">
        <f t="shared" ref="Q17:AP17" si="17">Q18+Q19+Q21</f>
        <v>18930.3</v>
      </c>
      <c r="R17" s="123">
        <f t="shared" si="17"/>
        <v>0</v>
      </c>
      <c r="S17" s="149">
        <f>R17/Q17*100</f>
        <v>0</v>
      </c>
      <c r="T17" s="123">
        <f t="shared" si="17"/>
        <v>16063.6</v>
      </c>
      <c r="U17" s="123">
        <f t="shared" si="17"/>
        <v>0</v>
      </c>
      <c r="V17" s="149">
        <f>U17/T17*100</f>
        <v>0</v>
      </c>
      <c r="W17" s="123">
        <f t="shared" si="17"/>
        <v>23714.400000000001</v>
      </c>
      <c r="X17" s="123">
        <f t="shared" si="17"/>
        <v>0</v>
      </c>
      <c r="Y17" s="249">
        <f>X17/W17*100</f>
        <v>0</v>
      </c>
      <c r="Z17" s="123">
        <f t="shared" si="17"/>
        <v>17443.899999999998</v>
      </c>
      <c r="AA17" s="123">
        <f t="shared" si="17"/>
        <v>0</v>
      </c>
      <c r="AB17" s="149">
        <f>AA17/Z17*100</f>
        <v>0</v>
      </c>
      <c r="AC17" s="123">
        <f t="shared" si="17"/>
        <v>17653.400000000001</v>
      </c>
      <c r="AD17" s="123">
        <f t="shared" si="17"/>
        <v>0</v>
      </c>
      <c r="AE17" s="149">
        <f>AD17/AC17*100</f>
        <v>0</v>
      </c>
      <c r="AF17" s="123">
        <f t="shared" si="17"/>
        <v>17102.199999999997</v>
      </c>
      <c r="AG17" s="123">
        <f t="shared" si="17"/>
        <v>0</v>
      </c>
      <c r="AH17" s="149">
        <f>AG17/AF17*100</f>
        <v>0</v>
      </c>
      <c r="AI17" s="123">
        <f t="shared" si="17"/>
        <v>18386.400000000001</v>
      </c>
      <c r="AJ17" s="123">
        <f t="shared" si="17"/>
        <v>0</v>
      </c>
      <c r="AK17" s="149">
        <f>AJ17/AI17*100</f>
        <v>0</v>
      </c>
      <c r="AL17" s="123">
        <f t="shared" si="17"/>
        <v>24690.9</v>
      </c>
      <c r="AM17" s="123">
        <f t="shared" si="17"/>
        <v>0</v>
      </c>
      <c r="AN17" s="149">
        <f>AM17/AL17*100</f>
        <v>0</v>
      </c>
      <c r="AO17" s="123">
        <f t="shared" si="17"/>
        <v>36396.299999999996</v>
      </c>
      <c r="AP17" s="123">
        <f t="shared" si="17"/>
        <v>0</v>
      </c>
      <c r="AQ17" s="149">
        <f>AP17/AO17*100</f>
        <v>0</v>
      </c>
      <c r="AR17" s="425" t="s">
        <v>515</v>
      </c>
      <c r="AS17" s="443" t="s">
        <v>514</v>
      </c>
      <c r="AT17" s="227"/>
      <c r="AU17" s="227"/>
      <c r="AV17" s="228"/>
      <c r="AX17" s="227"/>
    </row>
    <row r="18" spans="1:50" s="229" customFormat="1" ht="33" customHeight="1">
      <c r="A18" s="491"/>
      <c r="B18" s="484"/>
      <c r="C18" s="494"/>
      <c r="D18" s="219" t="s">
        <v>441</v>
      </c>
      <c r="E18" s="123">
        <f>H18+K18+N18+Q18+T18+W18+Z18+AC18+AF18+AI18+AL18+AO18</f>
        <v>3626.7</v>
      </c>
      <c r="F18" s="123">
        <f>I18+L18+O18+R18+U18+X18+AA18+AD18+AG18+AJ18+AM18+AP18</f>
        <v>988.6</v>
      </c>
      <c r="G18" s="123">
        <f t="shared" si="0"/>
        <v>27.258940634736817</v>
      </c>
      <c r="H18" s="123">
        <f>262.8+53.1-240.3</f>
        <v>75.600000000000023</v>
      </c>
      <c r="I18" s="123">
        <v>75.599999999999994</v>
      </c>
      <c r="J18" s="123">
        <f>I18/H18*100</f>
        <v>99.999999999999972</v>
      </c>
      <c r="K18" s="123">
        <f>72+402.8+97</f>
        <v>571.79999999999995</v>
      </c>
      <c r="L18" s="123">
        <v>537.9</v>
      </c>
      <c r="M18" s="123">
        <f>L18/K18*100</f>
        <v>94.071353620146908</v>
      </c>
      <c r="N18" s="123">
        <f>72.1+8.3+97.1+273.7</f>
        <v>451.2</v>
      </c>
      <c r="O18" s="123">
        <v>375.1</v>
      </c>
      <c r="P18" s="123">
        <f>O18/N18*100</f>
        <v>83.133865248226954</v>
      </c>
      <c r="Q18" s="123">
        <f>67+103.1+5.2+271.9</f>
        <v>447.19999999999993</v>
      </c>
      <c r="R18" s="123">
        <v>0</v>
      </c>
      <c r="S18" s="123">
        <f>R18/Q18*100</f>
        <v>0</v>
      </c>
      <c r="T18" s="220">
        <f>62.1+6.5+271.9</f>
        <v>340.5</v>
      </c>
      <c r="U18" s="220">
        <v>0</v>
      </c>
      <c r="V18" s="117">
        <f>U18/T18*100</f>
        <v>0</v>
      </c>
      <c r="W18" s="123">
        <f>57.1+6.5+271.9-0.1</f>
        <v>335.4</v>
      </c>
      <c r="X18" s="123">
        <v>0</v>
      </c>
      <c r="Y18" s="117">
        <f t="shared" ref="Y18:Y21" si="18">X18/W18*100</f>
        <v>0</v>
      </c>
      <c r="Z18" s="123">
        <f>57+6.5+88.6</f>
        <v>152.1</v>
      </c>
      <c r="AA18" s="123">
        <v>0</v>
      </c>
      <c r="AB18" s="117">
        <f t="shared" si="1"/>
        <v>0</v>
      </c>
      <c r="AC18" s="220">
        <f>57.1+21.9+88.6-0.1</f>
        <v>167.5</v>
      </c>
      <c r="AD18" s="220">
        <v>0</v>
      </c>
      <c r="AE18" s="117">
        <f t="shared" si="10"/>
        <v>0</v>
      </c>
      <c r="AF18" s="220">
        <f>57.1+6.5+88.7</f>
        <v>152.30000000000001</v>
      </c>
      <c r="AG18" s="221">
        <v>0</v>
      </c>
      <c r="AH18" s="123">
        <f t="shared" ref="AH18:AH21" si="19">AG18/AF18*100</f>
        <v>0</v>
      </c>
      <c r="AI18" s="220">
        <f>67+5.2+164.2</f>
        <v>236.39999999999998</v>
      </c>
      <c r="AJ18" s="220">
        <v>0</v>
      </c>
      <c r="AK18" s="220">
        <f>AJ18/AI18*100</f>
        <v>0</v>
      </c>
      <c r="AL18" s="220">
        <f>72.1+5.2+164.2</f>
        <v>241.5</v>
      </c>
      <c r="AM18" s="220">
        <v>0</v>
      </c>
      <c r="AN18" s="220">
        <f>AM18/AL18*100</f>
        <v>0</v>
      </c>
      <c r="AO18" s="220">
        <f>131.1+4.1+24.8+328.4+0.2-33.4</f>
        <v>455.2</v>
      </c>
      <c r="AP18" s="123">
        <v>0</v>
      </c>
      <c r="AQ18" s="123">
        <f>AP18/AO18*100</f>
        <v>0</v>
      </c>
      <c r="AR18" s="426"/>
      <c r="AS18" s="444"/>
      <c r="AT18" s="232"/>
      <c r="AU18" s="232"/>
      <c r="AV18" s="228"/>
      <c r="AX18" s="227"/>
    </row>
    <row r="19" spans="1:50" s="229" customFormat="1" ht="39.75" customHeight="1">
      <c r="A19" s="491"/>
      <c r="B19" s="484"/>
      <c r="C19" s="494"/>
      <c r="D19" s="219" t="s">
        <v>453</v>
      </c>
      <c r="E19" s="123">
        <f t="shared" ref="E19:F21" si="20">H19+K19+N19+Q19+T19+W19+Z19+AC19+AF19+AI19+AL19+AO19</f>
        <v>241270.80000000002</v>
      </c>
      <c r="F19" s="123">
        <f t="shared" si="20"/>
        <v>56293.4</v>
      </c>
      <c r="G19" s="123">
        <f t="shared" si="0"/>
        <v>23.332040180577177</v>
      </c>
      <c r="H19" s="123">
        <f>15635.8-11938.6</f>
        <v>3697.1999999999989</v>
      </c>
      <c r="I19" s="123">
        <v>3697.2</v>
      </c>
      <c r="J19" s="123">
        <f>I19/H19*100</f>
        <v>100.00000000000003</v>
      </c>
      <c r="K19" s="123">
        <f>20847.8+12938.6</f>
        <v>33786.400000000001</v>
      </c>
      <c r="L19" s="123">
        <v>33315.300000000003</v>
      </c>
      <c r="M19" s="123">
        <f>L19/K19*100</f>
        <v>98.605651978310803</v>
      </c>
      <c r="N19" s="123">
        <f>15635.9+4923.7</f>
        <v>20559.599999999999</v>
      </c>
      <c r="O19" s="123">
        <v>19280.900000000001</v>
      </c>
      <c r="P19" s="123">
        <f>O19/N19*100</f>
        <v>93.780521021809776</v>
      </c>
      <c r="Q19" s="123">
        <f>30+18000</f>
        <v>18030</v>
      </c>
      <c r="R19" s="123">
        <v>0</v>
      </c>
      <c r="S19" s="123">
        <f>R19/Q19*100</f>
        <v>0</v>
      </c>
      <c r="T19" s="220">
        <f>0+15000</f>
        <v>15000</v>
      </c>
      <c r="U19" s="220">
        <v>0</v>
      </c>
      <c r="V19" s="117">
        <f t="shared" ref="V19:V21" si="21">U19/T19*100</f>
        <v>0</v>
      </c>
      <c r="W19" s="123">
        <f>23178.5-304</f>
        <v>22874.5</v>
      </c>
      <c r="X19" s="123">
        <v>0</v>
      </c>
      <c r="Y19" s="117">
        <f t="shared" si="18"/>
        <v>0</v>
      </c>
      <c r="Z19" s="123">
        <v>16736.2</v>
      </c>
      <c r="AA19" s="123">
        <v>0</v>
      </c>
      <c r="AB19" s="117">
        <f t="shared" si="1"/>
        <v>0</v>
      </c>
      <c r="AC19" s="220">
        <v>16734</v>
      </c>
      <c r="AD19" s="220">
        <v>0</v>
      </c>
      <c r="AE19" s="117">
        <f t="shared" si="10"/>
        <v>0</v>
      </c>
      <c r="AF19" s="220">
        <f>16734-64.9</f>
        <v>16669.099999999999</v>
      </c>
      <c r="AG19" s="221">
        <v>0</v>
      </c>
      <c r="AH19" s="123">
        <f t="shared" si="19"/>
        <v>0</v>
      </c>
      <c r="AI19" s="220">
        <f>3+17693.7</f>
        <v>17696.7</v>
      </c>
      <c r="AJ19" s="220">
        <v>0</v>
      </c>
      <c r="AK19" s="220">
        <f>AJ19/AI19*100</f>
        <v>0</v>
      </c>
      <c r="AL19" s="220">
        <f>17693.7+6406</f>
        <v>24099.7</v>
      </c>
      <c r="AM19" s="220">
        <v>0</v>
      </c>
      <c r="AN19" s="220">
        <f>AM19/AL19*100</f>
        <v>0</v>
      </c>
      <c r="AO19" s="220">
        <f>17693.7*2</f>
        <v>35387.4</v>
      </c>
      <c r="AP19" s="123">
        <v>0</v>
      </c>
      <c r="AQ19" s="123">
        <f>AP19/AO19*100</f>
        <v>0</v>
      </c>
      <c r="AR19" s="426"/>
      <c r="AS19" s="444"/>
      <c r="AT19" s="232"/>
      <c r="AU19" s="232"/>
      <c r="AV19" s="228"/>
      <c r="AX19" s="227"/>
    </row>
    <row r="20" spans="1:50" s="229" customFormat="1" ht="49.5" customHeight="1">
      <c r="A20" s="491"/>
      <c r="B20" s="484"/>
      <c r="C20" s="494"/>
      <c r="D20" s="248" t="s">
        <v>495</v>
      </c>
      <c r="E20" s="249">
        <f t="shared" si="20"/>
        <v>25.1</v>
      </c>
      <c r="F20" s="249">
        <f t="shared" si="20"/>
        <v>0</v>
      </c>
      <c r="G20" s="249">
        <f>F20/E20*100</f>
        <v>0</v>
      </c>
      <c r="H20" s="249">
        <v>0</v>
      </c>
      <c r="I20" s="249">
        <v>0</v>
      </c>
      <c r="J20" s="249">
        <v>0</v>
      </c>
      <c r="K20" s="249">
        <v>0</v>
      </c>
      <c r="L20" s="249">
        <v>0</v>
      </c>
      <c r="M20" s="249">
        <v>0</v>
      </c>
      <c r="N20" s="249">
        <v>25.1</v>
      </c>
      <c r="O20" s="249">
        <v>0</v>
      </c>
      <c r="P20" s="249">
        <v>0</v>
      </c>
      <c r="Q20" s="249">
        <v>0</v>
      </c>
      <c r="R20" s="249">
        <v>0</v>
      </c>
      <c r="S20" s="249" t="e">
        <f>R20/Q20*100</f>
        <v>#DIV/0!</v>
      </c>
      <c r="T20" s="250">
        <v>0</v>
      </c>
      <c r="U20" s="250">
        <v>0</v>
      </c>
      <c r="V20" s="249" t="e">
        <f>U20/T20*100</f>
        <v>#DIV/0!</v>
      </c>
      <c r="W20" s="251">
        <v>0</v>
      </c>
      <c r="X20" s="251">
        <v>0</v>
      </c>
      <c r="Y20" s="251">
        <v>0</v>
      </c>
      <c r="Z20" s="249">
        <v>0</v>
      </c>
      <c r="AA20" s="249">
        <v>0</v>
      </c>
      <c r="AB20" s="251">
        <v>0</v>
      </c>
      <c r="AC20" s="250">
        <v>0</v>
      </c>
      <c r="AD20" s="250">
        <v>0</v>
      </c>
      <c r="AE20" s="251">
        <v>0</v>
      </c>
      <c r="AF20" s="250">
        <v>0</v>
      </c>
      <c r="AG20" s="252">
        <v>0</v>
      </c>
      <c r="AH20" s="249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123">
        <v>0</v>
      </c>
      <c r="AQ20" s="123" t="e">
        <f>AP20/AO20*100</f>
        <v>#DIV/0!</v>
      </c>
      <c r="AR20" s="426"/>
      <c r="AS20" s="444"/>
      <c r="AT20" s="232"/>
      <c r="AU20" s="232"/>
      <c r="AV20" s="228"/>
      <c r="AX20" s="227"/>
    </row>
    <row r="21" spans="1:50" s="229" customFormat="1" ht="72.75" customHeight="1">
      <c r="A21" s="491"/>
      <c r="B21" s="484"/>
      <c r="C21" s="494"/>
      <c r="D21" s="143" t="s">
        <v>257</v>
      </c>
      <c r="E21" s="123">
        <f t="shared" si="20"/>
        <v>5410.0999999999995</v>
      </c>
      <c r="F21" s="123">
        <f t="shared" si="20"/>
        <v>761.30000000000007</v>
      </c>
      <c r="G21" s="123">
        <f t="shared" si="0"/>
        <v>14.071828616846272</v>
      </c>
      <c r="H21" s="123">
        <v>0</v>
      </c>
      <c r="I21" s="123">
        <v>0</v>
      </c>
      <c r="J21" s="123">
        <v>0</v>
      </c>
      <c r="K21" s="123">
        <v>115.2</v>
      </c>
      <c r="L21" s="123">
        <v>125.2</v>
      </c>
      <c r="M21" s="123">
        <f>L21/K21*100</f>
        <v>108.68055555555556</v>
      </c>
      <c r="N21" s="123">
        <f>1019.2-350</f>
        <v>669.2</v>
      </c>
      <c r="O21" s="123">
        <v>636.1</v>
      </c>
      <c r="P21" s="123">
        <f>O21/N21*100</f>
        <v>95.053795576808128</v>
      </c>
      <c r="Q21" s="123">
        <v>453.1</v>
      </c>
      <c r="R21" s="123">
        <v>0</v>
      </c>
      <c r="S21" s="123">
        <f>R21/Q21*100</f>
        <v>0</v>
      </c>
      <c r="T21" s="220">
        <f>373.1+350</f>
        <v>723.1</v>
      </c>
      <c r="U21" s="220">
        <v>0</v>
      </c>
      <c r="V21" s="117">
        <f t="shared" si="21"/>
        <v>0</v>
      </c>
      <c r="W21" s="117">
        <v>504.5</v>
      </c>
      <c r="X21" s="117">
        <v>0</v>
      </c>
      <c r="Y21" s="117">
        <f t="shared" si="18"/>
        <v>0</v>
      </c>
      <c r="Z21" s="123">
        <v>555.6</v>
      </c>
      <c r="AA21" s="123">
        <v>0</v>
      </c>
      <c r="AB21" s="117">
        <f t="shared" si="1"/>
        <v>0</v>
      </c>
      <c r="AC21" s="220">
        <f>750.2+1.7</f>
        <v>751.90000000000009</v>
      </c>
      <c r="AD21" s="220">
        <v>0</v>
      </c>
      <c r="AE21" s="117">
        <f t="shared" si="10"/>
        <v>0</v>
      </c>
      <c r="AF21" s="220">
        <v>280.8</v>
      </c>
      <c r="AG21" s="221">
        <v>0</v>
      </c>
      <c r="AH21" s="123">
        <f t="shared" si="19"/>
        <v>0</v>
      </c>
      <c r="AI21" s="220">
        <v>453.3</v>
      </c>
      <c r="AJ21" s="220">
        <v>0</v>
      </c>
      <c r="AK21" s="220">
        <f>AJ21/AI21*100</f>
        <v>0</v>
      </c>
      <c r="AL21" s="220">
        <v>349.7</v>
      </c>
      <c r="AM21" s="220">
        <v>0</v>
      </c>
      <c r="AN21" s="220">
        <f>AM21/AL21*100</f>
        <v>0</v>
      </c>
      <c r="AO21" s="220">
        <v>553.70000000000005</v>
      </c>
      <c r="AP21" s="123">
        <v>0</v>
      </c>
      <c r="AQ21" s="123">
        <f>AP21/AO21*100</f>
        <v>0</v>
      </c>
      <c r="AR21" s="426"/>
      <c r="AS21" s="444"/>
      <c r="AT21" s="232"/>
      <c r="AU21" s="232"/>
      <c r="AV21" s="228"/>
      <c r="AX21" s="227"/>
    </row>
    <row r="22" spans="1:50" s="229" customFormat="1" ht="258.75" customHeight="1">
      <c r="A22" s="492"/>
      <c r="B22" s="485"/>
      <c r="C22" s="495"/>
      <c r="D22" s="143" t="s">
        <v>459</v>
      </c>
      <c r="E22" s="123">
        <f>H22+K22+N22+Q22+T22+W22+Z22+AC22+AF22+AI22+AL22+AO22</f>
        <v>0</v>
      </c>
      <c r="F22" s="123">
        <f>I22+L22+O22+R22+U22+X22+AA22+AD22+AG22+AJ22+AM22+AP22</f>
        <v>0</v>
      </c>
      <c r="G22" s="123">
        <v>0</v>
      </c>
      <c r="H22" s="123">
        <v>0</v>
      </c>
      <c r="I22" s="123">
        <v>0</v>
      </c>
      <c r="J22" s="123">
        <v>0</v>
      </c>
      <c r="K22" s="132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17">
        <v>0</v>
      </c>
      <c r="U22" s="117">
        <v>0</v>
      </c>
      <c r="V22" s="123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23">
        <v>0</v>
      </c>
      <c r="AI22" s="123">
        <v>0</v>
      </c>
      <c r="AJ22" s="123">
        <v>0</v>
      </c>
      <c r="AK22" s="123">
        <v>0</v>
      </c>
      <c r="AL22" s="117">
        <v>0</v>
      </c>
      <c r="AM22" s="117">
        <v>0</v>
      </c>
      <c r="AN22" s="117">
        <v>0</v>
      </c>
      <c r="AO22" s="123">
        <v>0</v>
      </c>
      <c r="AP22" s="123">
        <v>0</v>
      </c>
      <c r="AQ22" s="123">
        <v>0</v>
      </c>
      <c r="AR22" s="427"/>
      <c r="AS22" s="445"/>
      <c r="AT22" s="227"/>
      <c r="AU22" s="227"/>
      <c r="AV22" s="228"/>
    </row>
    <row r="23" spans="1:50" s="229" customFormat="1" ht="18.75" customHeight="1">
      <c r="A23" s="490" t="s">
        <v>4</v>
      </c>
      <c r="B23" s="483" t="s">
        <v>480</v>
      </c>
      <c r="C23" s="493" t="s">
        <v>477</v>
      </c>
      <c r="D23" s="258" t="s">
        <v>443</v>
      </c>
      <c r="E23" s="123">
        <f>E24+E25+E26+E27</f>
        <v>142766.9</v>
      </c>
      <c r="F23" s="123">
        <f>F24+F25+F26+F27</f>
        <v>26798.1</v>
      </c>
      <c r="G23" s="123">
        <f t="shared" si="0"/>
        <v>18.770527342122019</v>
      </c>
      <c r="H23" s="123">
        <f>H24+H25+H26+H27</f>
        <v>2152.5999999999995</v>
      </c>
      <c r="I23" s="123">
        <f>I24+I25+I26+I27</f>
        <v>2152.6</v>
      </c>
      <c r="J23" s="123">
        <f>I23/H23*100</f>
        <v>100.00000000000003</v>
      </c>
      <c r="K23" s="123">
        <f>K24+K25+K26+K27</f>
        <v>12717.5</v>
      </c>
      <c r="L23" s="123">
        <f>L24+L25+L26+L27</f>
        <v>12280.4</v>
      </c>
      <c r="M23" s="123">
        <f t="shared" ref="M23:M28" si="22">L23/K23*100</f>
        <v>96.56300373501081</v>
      </c>
      <c r="N23" s="123">
        <f>N24+N25+N26+N27</f>
        <v>13707.3</v>
      </c>
      <c r="O23" s="123">
        <f>O24+O25+O26+O27</f>
        <v>12365.1</v>
      </c>
      <c r="P23" s="123">
        <f t="shared" ref="P23:P28" si="23">O23/N23*100</f>
        <v>90.208137269921878</v>
      </c>
      <c r="Q23" s="123">
        <f t="shared" ref="Q23:AO23" si="24">Q24+Q25+Q26+Q27</f>
        <v>11242.5</v>
      </c>
      <c r="R23" s="123">
        <f t="shared" si="24"/>
        <v>0</v>
      </c>
      <c r="S23" s="149">
        <f>R23/Q23*100</f>
        <v>0</v>
      </c>
      <c r="T23" s="123">
        <f t="shared" si="24"/>
        <v>12375.9</v>
      </c>
      <c r="U23" s="123">
        <f t="shared" si="24"/>
        <v>0</v>
      </c>
      <c r="V23" s="149">
        <f>U23/T23*100</f>
        <v>0</v>
      </c>
      <c r="W23" s="123">
        <f t="shared" si="24"/>
        <v>13364.400000000001</v>
      </c>
      <c r="X23" s="123">
        <f t="shared" si="24"/>
        <v>0</v>
      </c>
      <c r="Y23" s="149">
        <f>X23/W23*100</f>
        <v>0</v>
      </c>
      <c r="Z23" s="123">
        <f t="shared" si="24"/>
        <v>14946.2</v>
      </c>
      <c r="AA23" s="123">
        <f t="shared" si="24"/>
        <v>0</v>
      </c>
      <c r="AB23" s="149">
        <f>AA23/Z23*100</f>
        <v>0</v>
      </c>
      <c r="AC23" s="123">
        <f t="shared" si="24"/>
        <v>10769</v>
      </c>
      <c r="AD23" s="123">
        <f t="shared" si="24"/>
        <v>0</v>
      </c>
      <c r="AE23" s="149">
        <f>AD23/AC23*100</f>
        <v>0</v>
      </c>
      <c r="AF23" s="123">
        <f t="shared" si="24"/>
        <v>10435.4</v>
      </c>
      <c r="AG23" s="123">
        <f t="shared" si="24"/>
        <v>0</v>
      </c>
      <c r="AH23" s="149">
        <f>AG23/AF23*100</f>
        <v>0</v>
      </c>
      <c r="AI23" s="123">
        <f t="shared" si="24"/>
        <v>11355.1</v>
      </c>
      <c r="AJ23" s="123">
        <f t="shared" si="24"/>
        <v>0</v>
      </c>
      <c r="AK23" s="149">
        <f>AJ23/AI23*100</f>
        <v>0</v>
      </c>
      <c r="AL23" s="123">
        <f t="shared" si="24"/>
        <v>11142.5</v>
      </c>
      <c r="AM23" s="123">
        <f t="shared" si="24"/>
        <v>0</v>
      </c>
      <c r="AN23" s="149">
        <f>AM23/AL23*100</f>
        <v>0</v>
      </c>
      <c r="AO23" s="123">
        <f t="shared" si="24"/>
        <v>18558.5</v>
      </c>
      <c r="AP23" s="123">
        <f>SUM(AP24:AP26)</f>
        <v>0</v>
      </c>
      <c r="AQ23" s="123">
        <f t="shared" ref="AQ23" si="25">AP23/AO23*100</f>
        <v>0</v>
      </c>
      <c r="AR23" s="425" t="s">
        <v>510</v>
      </c>
      <c r="AS23" s="497" t="s">
        <v>513</v>
      </c>
      <c r="AT23" s="227"/>
      <c r="AU23" s="227"/>
      <c r="AV23" s="228"/>
      <c r="AX23" s="227"/>
    </row>
    <row r="24" spans="1:50" s="229" customFormat="1" ht="54.75" customHeight="1">
      <c r="A24" s="491"/>
      <c r="B24" s="484"/>
      <c r="C24" s="494"/>
      <c r="D24" s="219" t="s">
        <v>441</v>
      </c>
      <c r="E24" s="123">
        <f>H24+K24+N24+Q24+T24+W24+Z24+AC24+AF24+AI24+AL24+AO24</f>
        <v>0</v>
      </c>
      <c r="F24" s="123">
        <f>I24+L24+O24+R24+U24+X24+AA24+AD24+AG24+AJ24+AM24+AP24</f>
        <v>0</v>
      </c>
      <c r="G24" s="123">
        <v>0</v>
      </c>
      <c r="H24" s="123">
        <v>0</v>
      </c>
      <c r="I24" s="123">
        <v>0</v>
      </c>
      <c r="J24" s="123">
        <v>0</v>
      </c>
      <c r="K24" s="132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17">
        <v>0</v>
      </c>
      <c r="U24" s="117">
        <v>0</v>
      </c>
      <c r="V24" s="123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23">
        <v>0</v>
      </c>
      <c r="AI24" s="123">
        <v>0</v>
      </c>
      <c r="AJ24" s="123">
        <v>0</v>
      </c>
      <c r="AK24" s="123">
        <v>0</v>
      </c>
      <c r="AL24" s="117">
        <v>0</v>
      </c>
      <c r="AM24" s="117">
        <v>0</v>
      </c>
      <c r="AN24" s="117">
        <v>0</v>
      </c>
      <c r="AO24" s="123">
        <v>0</v>
      </c>
      <c r="AP24" s="123">
        <v>0</v>
      </c>
      <c r="AQ24" s="123">
        <v>0</v>
      </c>
      <c r="AR24" s="426"/>
      <c r="AS24" s="497"/>
      <c r="AT24" s="227"/>
      <c r="AU24" s="227"/>
      <c r="AV24" s="228"/>
      <c r="AX24" s="227"/>
    </row>
    <row r="25" spans="1:50" s="229" customFormat="1" ht="48.75" customHeight="1">
      <c r="A25" s="491"/>
      <c r="B25" s="484"/>
      <c r="C25" s="494"/>
      <c r="D25" s="219" t="s">
        <v>453</v>
      </c>
      <c r="E25" s="123">
        <f>H25+K25+N25+Q25+T25+W25+Z25+AC25+AF25+AI25+AL25+AO25</f>
        <v>142766.9</v>
      </c>
      <c r="F25" s="123">
        <f>I25+L25+O25+R25+U25+X25+AA25+AD25+AG25+AJ25+AM25+AP25</f>
        <v>26798.1</v>
      </c>
      <c r="G25" s="123">
        <f>F25/E25*100</f>
        <v>18.770527342122019</v>
      </c>
      <c r="H25" s="123">
        <f>2742.7+940.1-1530.2</f>
        <v>2152.5999999999995</v>
      </c>
      <c r="I25" s="123">
        <v>2152.6</v>
      </c>
      <c r="J25" s="123">
        <f>I25/H25*100</f>
        <v>100.00000000000003</v>
      </c>
      <c r="K25" s="123">
        <f>7839.4+3347.9+1530.2</f>
        <v>12717.5</v>
      </c>
      <c r="L25" s="123">
        <v>12280.4</v>
      </c>
      <c r="M25" s="123">
        <f>L25/K25*100</f>
        <v>96.56300373501081</v>
      </c>
      <c r="N25" s="123">
        <f>8000.6+3086.4+2620.3</f>
        <v>13707.3</v>
      </c>
      <c r="O25" s="123">
        <v>12365.1</v>
      </c>
      <c r="P25" s="123">
        <f>O25/N25*100</f>
        <v>90.208137269921878</v>
      </c>
      <c r="Q25" s="123">
        <f>8252+2990.5</f>
        <v>11242.5</v>
      </c>
      <c r="R25" s="123">
        <v>0</v>
      </c>
      <c r="S25" s="123">
        <f>R25/Q25*100</f>
        <v>0</v>
      </c>
      <c r="T25" s="220">
        <f>7932.3+3403.3+1040.3</f>
        <v>12375.9</v>
      </c>
      <c r="U25" s="220">
        <v>0</v>
      </c>
      <c r="V25" s="117">
        <f t="shared" ref="V25" si="26">U25/T25*100</f>
        <v>0</v>
      </c>
      <c r="W25" s="123">
        <f>10260.7+3103.7</f>
        <v>13364.400000000001</v>
      </c>
      <c r="X25" s="117">
        <v>0</v>
      </c>
      <c r="Y25" s="117">
        <f t="shared" ref="Y25" si="27">X25/W25*100</f>
        <v>0</v>
      </c>
      <c r="Z25" s="123">
        <f>10793.2+4153</f>
        <v>14946.2</v>
      </c>
      <c r="AA25" s="123">
        <v>0</v>
      </c>
      <c r="AB25" s="149">
        <f>AA25/Z25*100</f>
        <v>0</v>
      </c>
      <c r="AC25" s="220">
        <f>7131.7+3637.3</f>
        <v>10769</v>
      </c>
      <c r="AD25" s="220">
        <v>0</v>
      </c>
      <c r="AE25" s="117">
        <f t="shared" ref="AE25" si="28">AD25/AC25*100</f>
        <v>0</v>
      </c>
      <c r="AF25" s="220">
        <f>7243.2+3240.6-48.4</f>
        <v>10435.4</v>
      </c>
      <c r="AG25" s="221">
        <v>0</v>
      </c>
      <c r="AH25" s="123">
        <f t="shared" ref="AH25" si="29">AG25/AF25*100</f>
        <v>0</v>
      </c>
      <c r="AI25" s="220">
        <f>7948+3407.1</f>
        <v>11355.1</v>
      </c>
      <c r="AJ25" s="220">
        <v>0</v>
      </c>
      <c r="AK25" s="123">
        <f>AJ25/AI25*100</f>
        <v>0</v>
      </c>
      <c r="AL25" s="220">
        <f>7568.4+3574.1</f>
        <v>11142.5</v>
      </c>
      <c r="AM25" s="220">
        <v>0</v>
      </c>
      <c r="AN25" s="220">
        <f>AM25/AL25*100</f>
        <v>0</v>
      </c>
      <c r="AO25" s="220">
        <f>12629.5+6846.6-917.6</f>
        <v>18558.5</v>
      </c>
      <c r="AP25" s="123">
        <v>0</v>
      </c>
      <c r="AQ25" s="123">
        <f>AP25/AO25*100</f>
        <v>0</v>
      </c>
      <c r="AR25" s="426"/>
      <c r="AS25" s="497"/>
      <c r="AT25" s="232"/>
      <c r="AU25" s="232"/>
      <c r="AV25" s="228"/>
      <c r="AX25" s="227"/>
    </row>
    <row r="26" spans="1:50" s="229" customFormat="1" ht="48.75" customHeight="1">
      <c r="A26" s="491"/>
      <c r="B26" s="484"/>
      <c r="C26" s="494"/>
      <c r="D26" s="143" t="s">
        <v>257</v>
      </c>
      <c r="E26" s="123">
        <f t="shared" ref="E26:F26" si="30">H26+K26+N26+Q26+T26+W26+Z26+AC26+AF26+AI26+AL26+AO26</f>
        <v>0</v>
      </c>
      <c r="F26" s="123">
        <f t="shared" si="30"/>
        <v>0</v>
      </c>
      <c r="G26" s="123">
        <v>0</v>
      </c>
      <c r="H26" s="123">
        <v>0</v>
      </c>
      <c r="I26" s="123">
        <v>0</v>
      </c>
      <c r="J26" s="123">
        <v>0</v>
      </c>
      <c r="K26" s="132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17">
        <v>0</v>
      </c>
      <c r="U26" s="117">
        <v>0</v>
      </c>
      <c r="V26" s="123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23">
        <v>0</v>
      </c>
      <c r="AJ26" s="123">
        <v>0</v>
      </c>
      <c r="AK26" s="123">
        <v>0</v>
      </c>
      <c r="AL26" s="117">
        <v>0</v>
      </c>
      <c r="AM26" s="117">
        <v>0</v>
      </c>
      <c r="AN26" s="117">
        <v>0</v>
      </c>
      <c r="AO26" s="123">
        <v>0</v>
      </c>
      <c r="AP26" s="123">
        <v>0</v>
      </c>
      <c r="AQ26" s="123">
        <v>0</v>
      </c>
      <c r="AR26" s="426"/>
      <c r="AS26" s="497"/>
      <c r="AT26" s="498"/>
      <c r="AU26" s="227"/>
      <c r="AV26" s="228"/>
    </row>
    <row r="27" spans="1:50" s="229" customFormat="1" ht="67.5" customHeight="1">
      <c r="A27" s="492"/>
      <c r="B27" s="485"/>
      <c r="C27" s="495"/>
      <c r="D27" s="143" t="s">
        <v>459</v>
      </c>
      <c r="E27" s="123">
        <f>H27+K27+N27+Q27+T27+W27+Z27+AC27+AF27+AI27+AL27+AO27</f>
        <v>0</v>
      </c>
      <c r="F27" s="123">
        <f>I27+L27+O27+R27+U27+X27+AA27+AD27+AG27+AJ27+AM27+AP27</f>
        <v>0</v>
      </c>
      <c r="G27" s="123">
        <v>0</v>
      </c>
      <c r="H27" s="123">
        <v>0</v>
      </c>
      <c r="I27" s="123">
        <v>0</v>
      </c>
      <c r="J27" s="123">
        <v>0</v>
      </c>
      <c r="K27" s="132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17">
        <v>0</v>
      </c>
      <c r="U27" s="117">
        <v>0</v>
      </c>
      <c r="V27" s="123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23">
        <v>0</v>
      </c>
      <c r="AI27" s="123">
        <v>0</v>
      </c>
      <c r="AJ27" s="123">
        <v>0</v>
      </c>
      <c r="AK27" s="123">
        <v>0</v>
      </c>
      <c r="AL27" s="117">
        <v>0</v>
      </c>
      <c r="AM27" s="117">
        <v>0</v>
      </c>
      <c r="AN27" s="117">
        <v>0</v>
      </c>
      <c r="AO27" s="123">
        <v>0</v>
      </c>
      <c r="AP27" s="123">
        <v>0</v>
      </c>
      <c r="AQ27" s="123">
        <v>0</v>
      </c>
      <c r="AR27" s="427"/>
      <c r="AS27" s="497"/>
      <c r="AT27" s="499"/>
      <c r="AU27" s="227"/>
      <c r="AV27" s="228"/>
    </row>
    <row r="28" spans="1:50" s="229" customFormat="1" ht="18" customHeight="1">
      <c r="A28" s="490" t="s">
        <v>456</v>
      </c>
      <c r="B28" s="483" t="s">
        <v>461</v>
      </c>
      <c r="C28" s="493" t="s">
        <v>478</v>
      </c>
      <c r="D28" s="258" t="s">
        <v>443</v>
      </c>
      <c r="E28" s="123">
        <f>SUM(E29:E30)</f>
        <v>5536.0999999999995</v>
      </c>
      <c r="F28" s="123">
        <f>SUM(F29:F30)</f>
        <v>1351.5</v>
      </c>
      <c r="G28" s="123">
        <f>F28/E28*100</f>
        <v>24.412492548906272</v>
      </c>
      <c r="H28" s="123">
        <f>SUM(H29:H30)</f>
        <v>453</v>
      </c>
      <c r="I28" s="123">
        <f>SUM(I29:I30)</f>
        <v>452.9</v>
      </c>
      <c r="J28" s="123">
        <f t="shared" ref="J28:J33" si="31">I28/H28*100</f>
        <v>99.977924944812358</v>
      </c>
      <c r="K28" s="123">
        <f>SUM(K29:K30)</f>
        <v>449.3</v>
      </c>
      <c r="L28" s="123">
        <f>SUM(L29:L30)</f>
        <v>449.3</v>
      </c>
      <c r="M28" s="123">
        <f t="shared" si="22"/>
        <v>100</v>
      </c>
      <c r="N28" s="123">
        <f>SUM(N29:N30)</f>
        <v>449.3</v>
      </c>
      <c r="O28" s="123">
        <f>SUM(O29:O30)</f>
        <v>449.3</v>
      </c>
      <c r="P28" s="123">
        <f t="shared" si="23"/>
        <v>100</v>
      </c>
      <c r="Q28" s="123">
        <f>SUM(Q29:Q30)</f>
        <v>466.5</v>
      </c>
      <c r="R28" s="123">
        <f>SUM(R29:R30)</f>
        <v>0</v>
      </c>
      <c r="S28" s="123">
        <f t="shared" ref="S28" si="32">R28/Q28*100</f>
        <v>0</v>
      </c>
      <c r="T28" s="123">
        <f>SUM(T29:T30)</f>
        <v>466.5</v>
      </c>
      <c r="U28" s="123">
        <f>SUM(U29:U30)</f>
        <v>0</v>
      </c>
      <c r="V28" s="123">
        <f>U28/T28*100</f>
        <v>0</v>
      </c>
      <c r="W28" s="123">
        <f t="shared" ref="W28:AD28" si="33">SUM(W29:W30)</f>
        <v>466.4</v>
      </c>
      <c r="X28" s="123">
        <f t="shared" si="33"/>
        <v>0</v>
      </c>
      <c r="Y28" s="123">
        <f>X28/W28*100</f>
        <v>0</v>
      </c>
      <c r="Z28" s="123">
        <f t="shared" si="33"/>
        <v>466.5</v>
      </c>
      <c r="AA28" s="123">
        <f t="shared" si="33"/>
        <v>0</v>
      </c>
      <c r="AB28" s="123">
        <f>AA28/Z28*100</f>
        <v>0</v>
      </c>
      <c r="AC28" s="123">
        <f t="shared" si="33"/>
        <v>466.5</v>
      </c>
      <c r="AD28" s="123">
        <f t="shared" si="33"/>
        <v>0</v>
      </c>
      <c r="AE28" s="123">
        <f t="shared" si="10"/>
        <v>0</v>
      </c>
      <c r="AF28" s="123">
        <f t="shared" ref="AF28:AP28" si="34">SUM(AF29:AF30)</f>
        <v>466.4</v>
      </c>
      <c r="AG28" s="123">
        <f t="shared" si="34"/>
        <v>0</v>
      </c>
      <c r="AH28" s="123">
        <f t="shared" ref="AH28" si="35">AG28/AF28*100</f>
        <v>0</v>
      </c>
      <c r="AI28" s="123">
        <f t="shared" si="34"/>
        <v>466.5</v>
      </c>
      <c r="AJ28" s="123">
        <f t="shared" si="34"/>
        <v>0</v>
      </c>
      <c r="AK28" s="123">
        <f>AJ28/AI28*100</f>
        <v>0</v>
      </c>
      <c r="AL28" s="123">
        <f t="shared" si="34"/>
        <v>466.5</v>
      </c>
      <c r="AM28" s="123">
        <f t="shared" si="34"/>
        <v>0</v>
      </c>
      <c r="AN28" s="123">
        <f>AM28/AL28*100</f>
        <v>0</v>
      </c>
      <c r="AO28" s="123">
        <f t="shared" si="34"/>
        <v>452.7</v>
      </c>
      <c r="AP28" s="123">
        <f t="shared" si="34"/>
        <v>0</v>
      </c>
      <c r="AQ28" s="123">
        <f>AP28/AO28*100</f>
        <v>0</v>
      </c>
      <c r="AR28" s="425" t="s">
        <v>502</v>
      </c>
      <c r="AS28" s="425"/>
      <c r="AT28" s="499"/>
      <c r="AU28" s="227"/>
      <c r="AV28" s="228"/>
      <c r="AX28" s="227"/>
    </row>
    <row r="29" spans="1:50" s="229" customFormat="1" ht="55.5" customHeight="1">
      <c r="A29" s="491"/>
      <c r="B29" s="484"/>
      <c r="C29" s="494"/>
      <c r="D29" s="219" t="s">
        <v>441</v>
      </c>
      <c r="E29" s="123">
        <f>H29+K29+N29+Q29+T29+W29+Z29+AC29+AF29+AI29+AL29+AO29</f>
        <v>0</v>
      </c>
      <c r="F29" s="123">
        <f>I29+L29+O29+R29+U29+X29+AA29+AD29+AG29+AJ29+AM29+AP29</f>
        <v>0</v>
      </c>
      <c r="G29" s="123">
        <v>0</v>
      </c>
      <c r="H29" s="123">
        <v>0</v>
      </c>
      <c r="I29" s="123">
        <v>0</v>
      </c>
      <c r="J29" s="123">
        <v>0</v>
      </c>
      <c r="K29" s="132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17">
        <v>0</v>
      </c>
      <c r="U29" s="117">
        <v>0</v>
      </c>
      <c r="V29" s="123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23">
        <v>0</v>
      </c>
      <c r="AJ29" s="123">
        <v>0</v>
      </c>
      <c r="AK29" s="123">
        <v>0</v>
      </c>
      <c r="AL29" s="117">
        <v>0</v>
      </c>
      <c r="AM29" s="117">
        <v>0</v>
      </c>
      <c r="AN29" s="117">
        <v>0</v>
      </c>
      <c r="AO29" s="123">
        <v>0</v>
      </c>
      <c r="AP29" s="123">
        <v>0</v>
      </c>
      <c r="AQ29" s="123">
        <v>0</v>
      </c>
      <c r="AR29" s="426"/>
      <c r="AS29" s="426"/>
      <c r="AT29" s="227"/>
      <c r="AU29" s="227"/>
      <c r="AV29" s="228"/>
      <c r="AX29" s="227"/>
    </row>
    <row r="30" spans="1:50" s="229" customFormat="1" ht="12.75" customHeight="1">
      <c r="A30" s="491"/>
      <c r="B30" s="484"/>
      <c r="C30" s="494"/>
      <c r="D30" s="219" t="s">
        <v>453</v>
      </c>
      <c r="E30" s="123">
        <f t="shared" ref="E30:F31" si="36">H30+K30+N30+Q30+T30+W30+Z30+AC30+AF30+AI30+AL30+AO30</f>
        <v>5536.0999999999995</v>
      </c>
      <c r="F30" s="123">
        <f t="shared" si="36"/>
        <v>1351.5</v>
      </c>
      <c r="G30" s="123">
        <f>F30/E30*100</f>
        <v>24.412492548906272</v>
      </c>
      <c r="H30" s="123">
        <v>453</v>
      </c>
      <c r="I30" s="123">
        <v>452.9</v>
      </c>
      <c r="J30" s="123">
        <f>I30/H30*100</f>
        <v>99.977924944812358</v>
      </c>
      <c r="K30" s="123">
        <v>449.3</v>
      </c>
      <c r="L30" s="123">
        <v>449.3</v>
      </c>
      <c r="M30" s="123">
        <f>L30/K30*100</f>
        <v>100</v>
      </c>
      <c r="N30" s="123">
        <v>449.3</v>
      </c>
      <c r="O30" s="123">
        <v>449.3</v>
      </c>
      <c r="P30" s="123">
        <f>O30/N30*100</f>
        <v>100</v>
      </c>
      <c r="Q30" s="123">
        <v>466.5</v>
      </c>
      <c r="R30" s="123">
        <v>0</v>
      </c>
      <c r="S30" s="123">
        <f>R30/Q30*100</f>
        <v>0</v>
      </c>
      <c r="T30" s="220">
        <v>466.5</v>
      </c>
      <c r="U30" s="220">
        <v>0</v>
      </c>
      <c r="V30" s="123">
        <f>U30/T30*100</f>
        <v>0</v>
      </c>
      <c r="W30" s="117">
        <v>466.4</v>
      </c>
      <c r="X30" s="117">
        <v>0</v>
      </c>
      <c r="Y30" s="117">
        <f t="shared" ref="Y30" si="37">X30/W30*100</f>
        <v>0</v>
      </c>
      <c r="Z30" s="123">
        <v>466.5</v>
      </c>
      <c r="AA30" s="123">
        <v>0</v>
      </c>
      <c r="AB30" s="123">
        <f>AA30/Z30*100</f>
        <v>0</v>
      </c>
      <c r="AC30" s="220">
        <v>466.5</v>
      </c>
      <c r="AD30" s="220">
        <v>0</v>
      </c>
      <c r="AE30" s="117">
        <f t="shared" ref="AE30" si="38">AD30/AC30*100</f>
        <v>0</v>
      </c>
      <c r="AF30" s="220">
        <v>466.4</v>
      </c>
      <c r="AG30" s="221">
        <v>0</v>
      </c>
      <c r="AH30" s="123">
        <f t="shared" ref="AH30" si="39">AG30/AF30*100</f>
        <v>0</v>
      </c>
      <c r="AI30" s="220">
        <v>466.5</v>
      </c>
      <c r="AJ30" s="220">
        <v>0</v>
      </c>
      <c r="AK30" s="220">
        <f>AJ30/AI30*100</f>
        <v>0</v>
      </c>
      <c r="AL30" s="220">
        <v>466.5</v>
      </c>
      <c r="AM30" s="220">
        <v>0</v>
      </c>
      <c r="AN30" s="220">
        <f>AM30/AL30*100</f>
        <v>0</v>
      </c>
      <c r="AO30" s="220">
        <v>452.7</v>
      </c>
      <c r="AP30" s="123">
        <v>0</v>
      </c>
      <c r="AQ30" s="123">
        <f>AP30/AO30*100</f>
        <v>0</v>
      </c>
      <c r="AR30" s="426"/>
      <c r="AS30" s="426"/>
      <c r="AT30" s="232"/>
      <c r="AU30" s="232"/>
      <c r="AV30" s="228"/>
      <c r="AX30" s="227"/>
    </row>
    <row r="31" spans="1:50" s="229" customFormat="1" ht="27" customHeight="1">
      <c r="A31" s="491"/>
      <c r="B31" s="484"/>
      <c r="C31" s="494"/>
      <c r="D31" s="143" t="s">
        <v>257</v>
      </c>
      <c r="E31" s="123">
        <f t="shared" si="36"/>
        <v>0</v>
      </c>
      <c r="F31" s="123">
        <f t="shared" si="36"/>
        <v>0</v>
      </c>
      <c r="G31" s="123">
        <v>0</v>
      </c>
      <c r="H31" s="123">
        <v>0</v>
      </c>
      <c r="I31" s="123">
        <v>0</v>
      </c>
      <c r="J31" s="123">
        <v>0</v>
      </c>
      <c r="K31" s="132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17">
        <v>0</v>
      </c>
      <c r="U31" s="117">
        <v>0</v>
      </c>
      <c r="V31" s="123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23">
        <v>0</v>
      </c>
      <c r="AJ31" s="123">
        <v>0</v>
      </c>
      <c r="AK31" s="123">
        <v>0</v>
      </c>
      <c r="AL31" s="117">
        <v>0</v>
      </c>
      <c r="AM31" s="117">
        <v>0</v>
      </c>
      <c r="AN31" s="117">
        <v>0</v>
      </c>
      <c r="AO31" s="123">
        <v>0</v>
      </c>
      <c r="AP31" s="123">
        <v>0</v>
      </c>
      <c r="AQ31" s="123">
        <v>0</v>
      </c>
      <c r="AR31" s="426"/>
      <c r="AS31" s="426"/>
      <c r="AT31" s="227"/>
      <c r="AU31" s="227"/>
      <c r="AV31" s="228"/>
      <c r="AX31" s="227"/>
    </row>
    <row r="32" spans="1:50" s="229" customFormat="1" ht="24">
      <c r="A32" s="492"/>
      <c r="B32" s="485"/>
      <c r="C32" s="495"/>
      <c r="D32" s="143" t="s">
        <v>459</v>
      </c>
      <c r="E32" s="123">
        <f>H32+K32+N32+Q32+T32+W32+Z32+AC32+AF32+AI32+AL32+AO32</f>
        <v>0</v>
      </c>
      <c r="F32" s="123">
        <f>I32+L32+O32+R32+U32+X32+AA32+AD32+AG32+AJ32+AM32+AP32</f>
        <v>0</v>
      </c>
      <c r="G32" s="123">
        <v>0</v>
      </c>
      <c r="H32" s="123">
        <v>0</v>
      </c>
      <c r="I32" s="123">
        <v>0</v>
      </c>
      <c r="J32" s="123">
        <v>0</v>
      </c>
      <c r="K32" s="132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17">
        <v>0</v>
      </c>
      <c r="U32" s="117">
        <v>0</v>
      </c>
      <c r="V32" s="123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23">
        <v>0</v>
      </c>
      <c r="AI32" s="123">
        <v>0</v>
      </c>
      <c r="AJ32" s="123">
        <v>0</v>
      </c>
      <c r="AK32" s="123">
        <v>0</v>
      </c>
      <c r="AL32" s="117">
        <v>0</v>
      </c>
      <c r="AM32" s="117">
        <v>0</v>
      </c>
      <c r="AN32" s="117">
        <v>0</v>
      </c>
      <c r="AO32" s="123">
        <v>0</v>
      </c>
      <c r="AP32" s="123">
        <v>0</v>
      </c>
      <c r="AQ32" s="123">
        <v>0</v>
      </c>
      <c r="AR32" s="427"/>
      <c r="AS32" s="427"/>
      <c r="AT32" s="227"/>
      <c r="AU32" s="227"/>
      <c r="AV32" s="228"/>
    </row>
    <row r="33" spans="1:50" s="229" customFormat="1" ht="12.75" customHeight="1">
      <c r="A33" s="490" t="s">
        <v>6</v>
      </c>
      <c r="B33" s="483" t="s">
        <v>462</v>
      </c>
      <c r="C33" s="493" t="s">
        <v>498</v>
      </c>
      <c r="D33" s="258" t="s">
        <v>443</v>
      </c>
      <c r="E33" s="123">
        <f>SUM(E34:E36)</f>
        <v>15858.8</v>
      </c>
      <c r="F33" s="123">
        <f t="shared" ref="F33:O33" si="40">SUM(F34:F36)</f>
        <v>1212.4000000000001</v>
      </c>
      <c r="G33" s="123">
        <f>F33/E33*100</f>
        <v>7.6449668322950037</v>
      </c>
      <c r="H33" s="123">
        <f t="shared" si="40"/>
        <v>86</v>
      </c>
      <c r="I33" s="123">
        <f t="shared" si="40"/>
        <v>30.4</v>
      </c>
      <c r="J33" s="123">
        <f t="shared" si="31"/>
        <v>35.348837209302324</v>
      </c>
      <c r="K33" s="123">
        <f t="shared" si="40"/>
        <v>247.10000000000002</v>
      </c>
      <c r="L33" s="123">
        <f t="shared" si="40"/>
        <v>241.6</v>
      </c>
      <c r="M33" s="123">
        <f t="shared" ref="M33" si="41">L33/K33*100</f>
        <v>97.774180493727229</v>
      </c>
      <c r="N33" s="123">
        <f t="shared" si="40"/>
        <v>1179.0999999999999</v>
      </c>
      <c r="O33" s="123">
        <f t="shared" si="40"/>
        <v>940.4</v>
      </c>
      <c r="P33" s="123">
        <f t="shared" ref="P33" si="42">O33/N33*100</f>
        <v>79.755745907895857</v>
      </c>
      <c r="Q33" s="123">
        <f t="shared" ref="Q33:AA33" si="43">SUM(Q34:Q36)</f>
        <v>1087.6999999999998</v>
      </c>
      <c r="R33" s="123">
        <f t="shared" si="43"/>
        <v>0</v>
      </c>
      <c r="S33" s="123">
        <f t="shared" ref="S33" si="44">R33/Q33*100</f>
        <v>0</v>
      </c>
      <c r="T33" s="123">
        <f t="shared" si="43"/>
        <v>1207.6999999999998</v>
      </c>
      <c r="U33" s="123">
        <f t="shared" si="43"/>
        <v>0</v>
      </c>
      <c r="V33" s="117">
        <f t="shared" ref="V33:V35" si="45">U33/T33*100</f>
        <v>0</v>
      </c>
      <c r="W33" s="123">
        <f t="shared" si="43"/>
        <v>2407</v>
      </c>
      <c r="X33" s="123">
        <f t="shared" si="43"/>
        <v>0</v>
      </c>
      <c r="Y33" s="117">
        <f t="shared" ref="Y33:Y35" si="46">X33/W33*100</f>
        <v>0</v>
      </c>
      <c r="Z33" s="123">
        <f t="shared" si="43"/>
        <v>2678.6</v>
      </c>
      <c r="AA33" s="123">
        <f t="shared" si="43"/>
        <v>0</v>
      </c>
      <c r="AB33" s="117">
        <f t="shared" ref="AB33:AB35" si="47">AA33/Z33*100</f>
        <v>0</v>
      </c>
      <c r="AC33" s="123">
        <f t="shared" ref="AC33:AP33" si="48">SUM(AC34:AC36)</f>
        <v>2738.8</v>
      </c>
      <c r="AD33" s="123">
        <f t="shared" si="48"/>
        <v>0</v>
      </c>
      <c r="AE33" s="123">
        <f t="shared" si="10"/>
        <v>0</v>
      </c>
      <c r="AF33" s="123">
        <f t="shared" si="48"/>
        <v>1374.9</v>
      </c>
      <c r="AG33" s="123">
        <f t="shared" si="48"/>
        <v>0</v>
      </c>
      <c r="AH33" s="123">
        <f t="shared" ref="AH33:AH35" si="49">AG33/AF33*100</f>
        <v>0</v>
      </c>
      <c r="AI33" s="123">
        <f t="shared" si="48"/>
        <v>1101.6999999999998</v>
      </c>
      <c r="AJ33" s="123">
        <f t="shared" si="48"/>
        <v>0</v>
      </c>
      <c r="AK33" s="123">
        <f>AJ33/AI33*100</f>
        <v>0</v>
      </c>
      <c r="AL33" s="123">
        <f t="shared" si="48"/>
        <v>1150.5</v>
      </c>
      <c r="AM33" s="123">
        <f t="shared" si="48"/>
        <v>0</v>
      </c>
      <c r="AN33" s="117">
        <f>AM33/AL33*100</f>
        <v>0</v>
      </c>
      <c r="AO33" s="123">
        <f t="shared" si="48"/>
        <v>599.70000000000005</v>
      </c>
      <c r="AP33" s="123">
        <f t="shared" si="48"/>
        <v>0</v>
      </c>
      <c r="AQ33" s="123">
        <f>AP33/AO33*100</f>
        <v>0</v>
      </c>
      <c r="AR33" s="425" t="s">
        <v>509</v>
      </c>
      <c r="AS33" s="425" t="s">
        <v>511</v>
      </c>
      <c r="AT33" s="227"/>
      <c r="AU33" s="227"/>
      <c r="AV33" s="228"/>
      <c r="AX33" s="227"/>
    </row>
    <row r="34" spans="1:50" s="229" customFormat="1" ht="48">
      <c r="A34" s="491"/>
      <c r="B34" s="484"/>
      <c r="C34" s="494"/>
      <c r="D34" s="219" t="s">
        <v>441</v>
      </c>
      <c r="E34" s="123">
        <f>H34+K34+N34+Q34+T34+W34+Z34+AC34+AF34+AI34+AL34+AO34</f>
        <v>8808.7000000000007</v>
      </c>
      <c r="F34" s="123">
        <f>I34+L34+O34+R34+U34+X34+AA34+AD34+AG34+AJ34+AM34+AP34</f>
        <v>131.9</v>
      </c>
      <c r="G34" s="123">
        <f>F34/E34*100</f>
        <v>1.4973832688137865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f>82+145.8+196-145.8</f>
        <v>278</v>
      </c>
      <c r="O34" s="123">
        <v>131.9</v>
      </c>
      <c r="P34" s="123">
        <f>O34/N34*100</f>
        <v>47.446043165467628</v>
      </c>
      <c r="Q34" s="123">
        <f>147.1+327+111.3</f>
        <v>585.4</v>
      </c>
      <c r="R34" s="123">
        <v>0</v>
      </c>
      <c r="S34" s="123">
        <f>R34/Q34*100</f>
        <v>0</v>
      </c>
      <c r="T34" s="220">
        <f>147.1+327+111.3+125</f>
        <v>710.4</v>
      </c>
      <c r="U34" s="220">
        <v>0</v>
      </c>
      <c r="V34" s="117">
        <f t="shared" si="45"/>
        <v>0</v>
      </c>
      <c r="W34" s="117">
        <f>247.2+20+328.3+315.2+500</f>
        <v>1410.7</v>
      </c>
      <c r="X34" s="117">
        <v>0</v>
      </c>
      <c r="Y34" s="117">
        <f t="shared" si="46"/>
        <v>0</v>
      </c>
      <c r="Z34" s="123">
        <f>238.2+13+450.2+308.2+500</f>
        <v>1509.6</v>
      </c>
      <c r="AA34" s="123">
        <v>0</v>
      </c>
      <c r="AB34" s="117">
        <f t="shared" si="47"/>
        <v>0</v>
      </c>
      <c r="AC34" s="220">
        <f>238.3+27+450.2+394.5+500</f>
        <v>1610</v>
      </c>
      <c r="AD34" s="220">
        <v>0</v>
      </c>
      <c r="AE34" s="117">
        <f t="shared" si="10"/>
        <v>0</v>
      </c>
      <c r="AF34" s="220">
        <f>238.3+450.2+322.2+20.8</f>
        <v>1031.5</v>
      </c>
      <c r="AG34" s="221">
        <v>0</v>
      </c>
      <c r="AH34" s="123">
        <f t="shared" si="49"/>
        <v>0</v>
      </c>
      <c r="AI34" s="220">
        <f>238.3+80+173.7+106.3</f>
        <v>598.29999999999995</v>
      </c>
      <c r="AJ34" s="220">
        <v>0</v>
      </c>
      <c r="AK34" s="220">
        <f>AJ34/AI34*100</f>
        <v>0</v>
      </c>
      <c r="AL34" s="220">
        <f>430.1+20+173.7+106.3</f>
        <v>730.09999999999991</v>
      </c>
      <c r="AM34" s="220">
        <v>0</v>
      </c>
      <c r="AN34" s="220">
        <f>AM34/AL34*100</f>
        <v>0</v>
      </c>
      <c r="AO34" s="220">
        <f>50+173.9+120.8</f>
        <v>344.7</v>
      </c>
      <c r="AP34" s="123">
        <v>0</v>
      </c>
      <c r="AQ34" s="123">
        <f>AP34/AO34*100</f>
        <v>0</v>
      </c>
      <c r="AR34" s="426"/>
      <c r="AS34" s="426"/>
      <c r="AT34" s="232"/>
      <c r="AU34" s="232"/>
      <c r="AV34" s="228"/>
      <c r="AX34" s="227"/>
    </row>
    <row r="35" spans="1:50" s="229" customFormat="1" ht="12.75" customHeight="1">
      <c r="A35" s="491"/>
      <c r="B35" s="484"/>
      <c r="C35" s="494"/>
      <c r="D35" s="219" t="s">
        <v>453</v>
      </c>
      <c r="E35" s="123">
        <f t="shared" ref="E35:F36" si="50">H35+K35+N35+Q35+T35+W35+Z35+AC35+AF35+AI35+AL35+AO35</f>
        <v>7050.0999999999995</v>
      </c>
      <c r="F35" s="123">
        <f t="shared" si="50"/>
        <v>1080.5</v>
      </c>
      <c r="G35" s="123">
        <f>F35/E35*100</f>
        <v>15.326023744344052</v>
      </c>
      <c r="H35" s="123">
        <f>10+76</f>
        <v>86</v>
      </c>
      <c r="I35" s="123">
        <v>30.4</v>
      </c>
      <c r="J35" s="123">
        <f>I35/H35*100</f>
        <v>35.348837209302324</v>
      </c>
      <c r="K35" s="123">
        <f>92.1+325-170</f>
        <v>247.10000000000002</v>
      </c>
      <c r="L35" s="123">
        <v>241.6</v>
      </c>
      <c r="M35" s="123">
        <f>L35/K35*100</f>
        <v>97.774180493727229</v>
      </c>
      <c r="N35" s="123">
        <f>144.2+39.9+80+467+170</f>
        <v>901.1</v>
      </c>
      <c r="O35" s="123">
        <v>808.5</v>
      </c>
      <c r="P35" s="123">
        <f>O35/N35*100</f>
        <v>89.723671068693818</v>
      </c>
      <c r="Q35" s="123">
        <f>312.4+39.9+150</f>
        <v>502.29999999999995</v>
      </c>
      <c r="R35" s="123">
        <v>0</v>
      </c>
      <c r="S35" s="123">
        <f>R35/Q35*100</f>
        <v>0</v>
      </c>
      <c r="T35" s="220">
        <f>286.4+39.9+171</f>
        <v>497.29999999999995</v>
      </c>
      <c r="U35" s="220">
        <v>0</v>
      </c>
      <c r="V35" s="117">
        <f t="shared" si="45"/>
        <v>0</v>
      </c>
      <c r="W35" s="117">
        <f>286.4+22.6+151+536.3</f>
        <v>996.3</v>
      </c>
      <c r="X35" s="117">
        <v>0</v>
      </c>
      <c r="Y35" s="117">
        <f t="shared" si="46"/>
        <v>0</v>
      </c>
      <c r="Z35" s="123">
        <f>355.5+29.3+244+540.2</f>
        <v>1169</v>
      </c>
      <c r="AA35" s="123">
        <v>0</v>
      </c>
      <c r="AB35" s="117">
        <f t="shared" si="47"/>
        <v>0</v>
      </c>
      <c r="AC35" s="220">
        <f>323.5+273+540.4-8.1</f>
        <v>1128.8000000000002</v>
      </c>
      <c r="AD35" s="220">
        <v>0</v>
      </c>
      <c r="AE35" s="117">
        <f t="shared" si="10"/>
        <v>0</v>
      </c>
      <c r="AF35" s="220">
        <f>285.4+298-240</f>
        <v>343.4</v>
      </c>
      <c r="AG35" s="221">
        <v>0</v>
      </c>
      <c r="AH35" s="123">
        <f t="shared" si="49"/>
        <v>0</v>
      </c>
      <c r="AI35" s="220">
        <f>297.4+197.9+8.1</f>
        <v>503.4</v>
      </c>
      <c r="AJ35" s="220">
        <v>0</v>
      </c>
      <c r="AK35" s="220">
        <f>AJ35/AI35*100</f>
        <v>0</v>
      </c>
      <c r="AL35" s="220">
        <f>260.4+160</f>
        <v>420.4</v>
      </c>
      <c r="AM35" s="220">
        <v>0</v>
      </c>
      <c r="AN35" s="220">
        <f>AM35/AL35*100</f>
        <v>0</v>
      </c>
      <c r="AO35" s="220">
        <f>436.3+45.8-227.1</f>
        <v>255.00000000000003</v>
      </c>
      <c r="AP35" s="123">
        <v>0</v>
      </c>
      <c r="AQ35" s="123">
        <v>0</v>
      </c>
      <c r="AR35" s="426"/>
      <c r="AS35" s="426"/>
      <c r="AT35" s="232"/>
      <c r="AU35" s="232"/>
      <c r="AV35" s="228"/>
      <c r="AX35" s="227"/>
    </row>
    <row r="36" spans="1:50" s="229" customFormat="1" ht="24">
      <c r="A36" s="491"/>
      <c r="B36" s="484"/>
      <c r="C36" s="494"/>
      <c r="D36" s="143" t="s">
        <v>257</v>
      </c>
      <c r="E36" s="123">
        <f t="shared" si="50"/>
        <v>0</v>
      </c>
      <c r="F36" s="123">
        <f t="shared" si="50"/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23">
        <v>0</v>
      </c>
      <c r="AA36" s="123">
        <v>0</v>
      </c>
      <c r="AB36" s="123">
        <v>0</v>
      </c>
      <c r="AC36" s="117">
        <v>0</v>
      </c>
      <c r="AD36" s="117">
        <v>0</v>
      </c>
      <c r="AE36" s="117">
        <v>0</v>
      </c>
      <c r="AF36" s="117">
        <v>0</v>
      </c>
      <c r="AG36" s="117">
        <v>0</v>
      </c>
      <c r="AH36" s="117">
        <v>0</v>
      </c>
      <c r="AI36" s="123">
        <v>0</v>
      </c>
      <c r="AJ36" s="123">
        <v>0</v>
      </c>
      <c r="AK36" s="123">
        <v>0</v>
      </c>
      <c r="AL36" s="117">
        <v>0</v>
      </c>
      <c r="AM36" s="117">
        <v>0</v>
      </c>
      <c r="AN36" s="117">
        <v>0</v>
      </c>
      <c r="AO36" s="117">
        <v>0</v>
      </c>
      <c r="AP36" s="123">
        <v>0</v>
      </c>
      <c r="AQ36" s="123">
        <v>0</v>
      </c>
      <c r="AR36" s="426"/>
      <c r="AS36" s="426"/>
      <c r="AT36" s="227"/>
      <c r="AU36" s="227"/>
      <c r="AV36" s="228"/>
      <c r="AX36" s="227"/>
    </row>
    <row r="37" spans="1:50" s="229" customFormat="1" ht="24">
      <c r="A37" s="492"/>
      <c r="B37" s="485"/>
      <c r="C37" s="495"/>
      <c r="D37" s="143" t="s">
        <v>459</v>
      </c>
      <c r="E37" s="123">
        <f>H37+K37+N37+Q37+T37+W37+Z37+AC37+AF37+AI37+AL37+AO37</f>
        <v>0</v>
      </c>
      <c r="F37" s="123">
        <f>I37+L37+O37+R37+U37+X37+AA37+AD37+AG37+AJ37+AM37+AP37</f>
        <v>0</v>
      </c>
      <c r="G37" s="123">
        <v>0</v>
      </c>
      <c r="H37" s="123">
        <v>0</v>
      </c>
      <c r="I37" s="123">
        <v>0</v>
      </c>
      <c r="J37" s="123">
        <v>0</v>
      </c>
      <c r="K37" s="132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17">
        <v>0</v>
      </c>
      <c r="U37" s="117">
        <v>0</v>
      </c>
      <c r="V37" s="123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23">
        <v>0</v>
      </c>
      <c r="AI37" s="123">
        <v>0</v>
      </c>
      <c r="AJ37" s="123">
        <v>0</v>
      </c>
      <c r="AK37" s="123">
        <v>0</v>
      </c>
      <c r="AL37" s="117">
        <v>0</v>
      </c>
      <c r="AM37" s="117">
        <v>0</v>
      </c>
      <c r="AN37" s="117">
        <v>0</v>
      </c>
      <c r="AO37" s="123">
        <v>0</v>
      </c>
      <c r="AP37" s="123">
        <v>0</v>
      </c>
      <c r="AQ37" s="123">
        <v>0</v>
      </c>
      <c r="AR37" s="427"/>
      <c r="AS37" s="427"/>
      <c r="AT37" s="227"/>
      <c r="AU37" s="227"/>
      <c r="AV37" s="228"/>
    </row>
    <row r="38" spans="1:50" s="229" customFormat="1" ht="32.25" customHeight="1">
      <c r="A38" s="490" t="s">
        <v>10</v>
      </c>
      <c r="B38" s="483" t="s">
        <v>463</v>
      </c>
      <c r="C38" s="493" t="s">
        <v>487</v>
      </c>
      <c r="D38" s="258" t="s">
        <v>443</v>
      </c>
      <c r="E38" s="123">
        <f>SUM(E39:E40)</f>
        <v>12304.3</v>
      </c>
      <c r="F38" s="123">
        <f>SUM(F39:F40)</f>
        <v>621.29999999999995</v>
      </c>
      <c r="G38" s="123">
        <f>F38/E38*100</f>
        <v>5.0494542558292634</v>
      </c>
      <c r="H38" s="123">
        <f>SUM(H39:H40)</f>
        <v>94.5</v>
      </c>
      <c r="I38" s="123">
        <f>SUM(I39:I40)</f>
        <v>94.5</v>
      </c>
      <c r="J38" s="123">
        <f>I38/H38*100</f>
        <v>100</v>
      </c>
      <c r="K38" s="123">
        <f>SUM(K39:K40)</f>
        <v>251.8</v>
      </c>
      <c r="L38" s="123">
        <f>SUM(L39:L40)</f>
        <v>134.9</v>
      </c>
      <c r="M38" s="123">
        <f>L38/K38*100</f>
        <v>53.574265289912624</v>
      </c>
      <c r="N38" s="123">
        <f>SUM(N39:N40)</f>
        <v>440.6</v>
      </c>
      <c r="O38" s="123">
        <f>SUM(O39:O40)</f>
        <v>391.9</v>
      </c>
      <c r="P38" s="123">
        <f>O38/N38*100</f>
        <v>88.946890603722181</v>
      </c>
      <c r="Q38" s="123">
        <f>SUM(Q39:Q40)</f>
        <v>1839.8</v>
      </c>
      <c r="R38" s="123">
        <f>SUM(R39:R40)</f>
        <v>0</v>
      </c>
      <c r="S38" s="123">
        <f>R38/Q38*100</f>
        <v>0</v>
      </c>
      <c r="T38" s="123">
        <f>SUM(T39:T40)</f>
        <v>2139.8000000000002</v>
      </c>
      <c r="U38" s="123">
        <f>SUM(U39:U40)</f>
        <v>0</v>
      </c>
      <c r="V38" s="123">
        <f>U38/T38*100</f>
        <v>0</v>
      </c>
      <c r="W38" s="123">
        <f>SUM(W39:W40)</f>
        <v>3673.1000000000004</v>
      </c>
      <c r="X38" s="123">
        <f>SUM(X39:X40)</f>
        <v>0</v>
      </c>
      <c r="Y38" s="117">
        <f>X38/W38*100</f>
        <v>0</v>
      </c>
      <c r="Z38" s="123">
        <f>SUM(Z39:Z40)</f>
        <v>1071.0999999999999</v>
      </c>
      <c r="AA38" s="123">
        <f>SUM(AA39:AA40)</f>
        <v>0</v>
      </c>
      <c r="AB38" s="123">
        <f>AA38/Z38*100</f>
        <v>0</v>
      </c>
      <c r="AC38" s="123">
        <f>SUM(AC39:AC40)</f>
        <v>798.8</v>
      </c>
      <c r="AD38" s="123">
        <f>SUM(AD39:AD40)</f>
        <v>0</v>
      </c>
      <c r="AE38" s="117">
        <f>AD38/AC38*100</f>
        <v>0</v>
      </c>
      <c r="AF38" s="123">
        <f>SUM(AF39:AF40)</f>
        <v>798.69999999999993</v>
      </c>
      <c r="AG38" s="123">
        <f>SUM(AG39:AG40)</f>
        <v>0</v>
      </c>
      <c r="AH38" s="117">
        <f>AG38/AF38*100</f>
        <v>0</v>
      </c>
      <c r="AI38" s="123">
        <f t="shared" ref="AI38:AP38" si="51">SUM(AI39:AI40)</f>
        <v>525.5</v>
      </c>
      <c r="AJ38" s="123">
        <f t="shared" si="51"/>
        <v>0</v>
      </c>
      <c r="AK38" s="123">
        <f>AJ38/AI38*100</f>
        <v>0</v>
      </c>
      <c r="AL38" s="123">
        <f t="shared" si="51"/>
        <v>273.3</v>
      </c>
      <c r="AM38" s="123">
        <f t="shared" si="51"/>
        <v>0</v>
      </c>
      <c r="AN38" s="123">
        <f>AM38/AL38*100</f>
        <v>0</v>
      </c>
      <c r="AO38" s="123">
        <f t="shared" si="51"/>
        <v>397.3</v>
      </c>
      <c r="AP38" s="123">
        <f t="shared" si="51"/>
        <v>0</v>
      </c>
      <c r="AQ38" s="123">
        <f>AP38/AO38*100</f>
        <v>0</v>
      </c>
      <c r="AR38" s="425" t="s">
        <v>508</v>
      </c>
      <c r="AS38" s="425" t="s">
        <v>512</v>
      </c>
      <c r="AT38" s="227"/>
      <c r="AU38" s="227"/>
      <c r="AV38" s="228"/>
      <c r="AX38" s="227"/>
    </row>
    <row r="39" spans="1:50" s="229" customFormat="1" ht="30.75" customHeight="1">
      <c r="A39" s="491"/>
      <c r="B39" s="484"/>
      <c r="C39" s="494"/>
      <c r="D39" s="219" t="s">
        <v>441</v>
      </c>
      <c r="E39" s="123">
        <f>H39+K39+N39+Q39+T39+W39+Z39+AC39+AF39+AI39+AL39+AO39</f>
        <v>0</v>
      </c>
      <c r="F39" s="123">
        <f>I39+L39+O39+R39+U39+X39+AA39+AD39+AG39+AJ39+AM39+AP39</f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23">
        <v>0</v>
      </c>
      <c r="AA39" s="123">
        <v>0</v>
      </c>
      <c r="AB39" s="123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23">
        <v>0</v>
      </c>
      <c r="AJ39" s="123">
        <v>0</v>
      </c>
      <c r="AK39" s="123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426"/>
      <c r="AS39" s="426"/>
      <c r="AT39" s="227"/>
      <c r="AU39" s="227"/>
      <c r="AV39" s="228"/>
      <c r="AX39" s="227"/>
    </row>
    <row r="40" spans="1:50" s="229" customFormat="1" ht="24.75" customHeight="1">
      <c r="A40" s="491"/>
      <c r="B40" s="484"/>
      <c r="C40" s="494"/>
      <c r="D40" s="219" t="s">
        <v>453</v>
      </c>
      <c r="E40" s="123">
        <f t="shared" ref="E40:F42" si="52">H40+K40+N40+Q40+T40+W40+Z40+AC40+AF40+AI40+AL40+AO40</f>
        <v>12304.3</v>
      </c>
      <c r="F40" s="123">
        <f t="shared" si="52"/>
        <v>621.29999999999995</v>
      </c>
      <c r="G40" s="123">
        <f>F40/E40*100</f>
        <v>5.0494542558292634</v>
      </c>
      <c r="H40" s="123">
        <f>340-245.5</f>
        <v>94.5</v>
      </c>
      <c r="I40" s="123">
        <v>94.5</v>
      </c>
      <c r="J40" s="123">
        <f>I40/H40*100</f>
        <v>100</v>
      </c>
      <c r="K40" s="123">
        <f>74.6+340+18-180.8</f>
        <v>251.8</v>
      </c>
      <c r="L40" s="123">
        <v>134.9</v>
      </c>
      <c r="M40" s="123">
        <f>L40/K40*100</f>
        <v>53.574265289912624</v>
      </c>
      <c r="N40" s="123">
        <f>74.6+340+26</f>
        <v>440.6</v>
      </c>
      <c r="O40" s="123">
        <v>391.9</v>
      </c>
      <c r="P40" s="123">
        <f>O40/N40*100</f>
        <v>88.946890603722181</v>
      </c>
      <c r="Q40" s="123">
        <f>74.6+10.5+1738.7+16</f>
        <v>1839.8</v>
      </c>
      <c r="R40" s="123">
        <v>0</v>
      </c>
      <c r="S40" s="123">
        <f>R40/Q40*100</f>
        <v>0</v>
      </c>
      <c r="T40" s="220">
        <f>374.6+10.5+1738.7+16</f>
        <v>2139.8000000000002</v>
      </c>
      <c r="U40" s="220">
        <v>0</v>
      </c>
      <c r="V40" s="117">
        <f t="shared" ref="V40" si="53">U40/T40*100</f>
        <v>0</v>
      </c>
      <c r="W40" s="117">
        <f>74.6+10.5+1738.7+14.9+1834.4</f>
        <v>3673.1000000000004</v>
      </c>
      <c r="X40" s="117">
        <v>0</v>
      </c>
      <c r="Y40" s="117">
        <f t="shared" ref="Y40" si="54">X40/W40*100</f>
        <v>0</v>
      </c>
      <c r="Z40" s="123">
        <f>524.6+6.3+708.9+9-177.7</f>
        <v>1071.0999999999999</v>
      </c>
      <c r="AA40" s="123">
        <v>0</v>
      </c>
      <c r="AB40" s="117">
        <f t="shared" ref="AB40" si="55">AA40/Z40*100</f>
        <v>0</v>
      </c>
      <c r="AC40" s="220">
        <f>74.6+6.3+708.9+9</f>
        <v>798.8</v>
      </c>
      <c r="AD40" s="220">
        <v>0</v>
      </c>
      <c r="AE40" s="117">
        <f t="shared" ref="AE40" si="56">AD40/AC40*100</f>
        <v>0</v>
      </c>
      <c r="AF40" s="220">
        <f>74.6+6.3+708.9+8.9</f>
        <v>798.69999999999993</v>
      </c>
      <c r="AG40" s="221">
        <v>0</v>
      </c>
      <c r="AH40" s="123">
        <f t="shared" ref="AH40" si="57">AG40/AF40*100</f>
        <v>0</v>
      </c>
      <c r="AI40" s="220">
        <f>429.6+8.4+244.9+9-166.4</f>
        <v>525.5</v>
      </c>
      <c r="AJ40" s="220">
        <v>0</v>
      </c>
      <c r="AK40" s="220">
        <f>AJ40/AI40*100</f>
        <v>0</v>
      </c>
      <c r="AL40" s="220">
        <f>8.4+244.9+20</f>
        <v>273.3</v>
      </c>
      <c r="AM40" s="220">
        <v>0</v>
      </c>
      <c r="AN40" s="220">
        <f>AM40/AL40*100</f>
        <v>0</v>
      </c>
      <c r="AO40" s="220">
        <f>8.4+244.9+121.2+22.8</f>
        <v>397.3</v>
      </c>
      <c r="AP40" s="123">
        <v>0</v>
      </c>
      <c r="AQ40" s="123">
        <f>AP40/AO40*100</f>
        <v>0</v>
      </c>
      <c r="AR40" s="426"/>
      <c r="AS40" s="426"/>
      <c r="AT40" s="232"/>
      <c r="AU40" s="232"/>
      <c r="AV40" s="228"/>
      <c r="AX40" s="227"/>
    </row>
    <row r="41" spans="1:50" s="229" customFormat="1" ht="63.75" customHeight="1">
      <c r="A41" s="491"/>
      <c r="B41" s="484"/>
      <c r="C41" s="494"/>
      <c r="D41" s="248" t="s">
        <v>495</v>
      </c>
      <c r="E41" s="249">
        <f t="shared" si="52"/>
        <v>41.1</v>
      </c>
      <c r="F41" s="249">
        <f t="shared" si="52"/>
        <v>0</v>
      </c>
      <c r="G41" s="249">
        <f>F41/E41*100</f>
        <v>0</v>
      </c>
      <c r="H41" s="249">
        <v>0</v>
      </c>
      <c r="I41" s="249">
        <v>0</v>
      </c>
      <c r="J41" s="249">
        <v>0</v>
      </c>
      <c r="K41" s="249">
        <v>0</v>
      </c>
      <c r="L41" s="249">
        <v>0</v>
      </c>
      <c r="M41" s="249">
        <v>0</v>
      </c>
      <c r="N41" s="249">
        <v>41.1</v>
      </c>
      <c r="O41" s="249">
        <v>0</v>
      </c>
      <c r="P41" s="249">
        <f>O41/N41*100</f>
        <v>0</v>
      </c>
      <c r="Q41" s="249">
        <v>0</v>
      </c>
      <c r="R41" s="249">
        <v>0</v>
      </c>
      <c r="S41" s="249">
        <v>0</v>
      </c>
      <c r="T41" s="250">
        <v>0</v>
      </c>
      <c r="U41" s="250">
        <v>0</v>
      </c>
      <c r="V41" s="249" t="e">
        <f>U41/T41*100</f>
        <v>#DIV/0!</v>
      </c>
      <c r="W41" s="251">
        <v>0</v>
      </c>
      <c r="X41" s="251">
        <v>0</v>
      </c>
      <c r="Y41" s="249" t="e">
        <f>X41/W41*100</f>
        <v>#DIV/0!</v>
      </c>
      <c r="Z41" s="249">
        <v>0</v>
      </c>
      <c r="AA41" s="249">
        <v>0</v>
      </c>
      <c r="AB41" s="251">
        <v>0</v>
      </c>
      <c r="AC41" s="250">
        <v>0</v>
      </c>
      <c r="AD41" s="250">
        <v>0</v>
      </c>
      <c r="AE41" s="251">
        <v>0</v>
      </c>
      <c r="AF41" s="250">
        <v>0</v>
      </c>
      <c r="AG41" s="252">
        <v>0</v>
      </c>
      <c r="AH41" s="249">
        <v>0</v>
      </c>
      <c r="AI41" s="250">
        <v>0</v>
      </c>
      <c r="AJ41" s="250">
        <v>0</v>
      </c>
      <c r="AK41" s="250" t="e">
        <f>AJ41/AI41*100</f>
        <v>#DIV/0!</v>
      </c>
      <c r="AL41" s="250">
        <v>0</v>
      </c>
      <c r="AM41" s="250">
        <v>0</v>
      </c>
      <c r="AN41" s="250">
        <v>0</v>
      </c>
      <c r="AO41" s="250">
        <v>0</v>
      </c>
      <c r="AP41" s="123">
        <v>0</v>
      </c>
      <c r="AQ41" s="123">
        <v>0</v>
      </c>
      <c r="AR41" s="426"/>
      <c r="AS41" s="426"/>
      <c r="AT41" s="227"/>
      <c r="AU41" s="227"/>
      <c r="AV41" s="228"/>
      <c r="AX41" s="227"/>
    </row>
    <row r="42" spans="1:50" s="229" customFormat="1" ht="29.25" customHeight="1">
      <c r="A42" s="491"/>
      <c r="B42" s="484"/>
      <c r="C42" s="494"/>
      <c r="D42" s="143" t="s">
        <v>257</v>
      </c>
      <c r="E42" s="123">
        <f t="shared" si="52"/>
        <v>0</v>
      </c>
      <c r="F42" s="123">
        <f t="shared" si="52"/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23">
        <v>0</v>
      </c>
      <c r="AA42" s="123">
        <v>0</v>
      </c>
      <c r="AB42" s="123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23">
        <v>0</v>
      </c>
      <c r="AJ42" s="123">
        <v>0</v>
      </c>
      <c r="AK42" s="123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426"/>
      <c r="AS42" s="426"/>
      <c r="AT42" s="227"/>
      <c r="AU42" s="227"/>
      <c r="AV42" s="228"/>
    </row>
    <row r="43" spans="1:50" s="229" customFormat="1" ht="33.75" customHeight="1">
      <c r="A43" s="492"/>
      <c r="B43" s="485"/>
      <c r="C43" s="495"/>
      <c r="D43" s="143" t="s">
        <v>459</v>
      </c>
      <c r="E43" s="123">
        <f>H43+K43+N43+Q43+T43+W43+Z43+AC43+AF43+AI43+AL43+AO43</f>
        <v>0</v>
      </c>
      <c r="F43" s="123">
        <f>I43+L43+O43+R43+U43+X43+AA43+AD43+AG43+AJ43+AM43+AP43</f>
        <v>0</v>
      </c>
      <c r="G43" s="123">
        <v>0</v>
      </c>
      <c r="H43" s="123">
        <v>0</v>
      </c>
      <c r="I43" s="123">
        <v>0</v>
      </c>
      <c r="J43" s="123">
        <v>0</v>
      </c>
      <c r="K43" s="132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17">
        <v>0</v>
      </c>
      <c r="U43" s="117">
        <v>0</v>
      </c>
      <c r="V43" s="123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23">
        <v>0</v>
      </c>
      <c r="AI43" s="123">
        <v>0</v>
      </c>
      <c r="AJ43" s="123">
        <v>0</v>
      </c>
      <c r="AK43" s="123">
        <v>0</v>
      </c>
      <c r="AL43" s="117">
        <v>0</v>
      </c>
      <c r="AM43" s="117">
        <v>0</v>
      </c>
      <c r="AN43" s="117">
        <v>0</v>
      </c>
      <c r="AO43" s="123">
        <v>0</v>
      </c>
      <c r="AP43" s="117">
        <v>0</v>
      </c>
      <c r="AQ43" s="117">
        <v>0</v>
      </c>
      <c r="AR43" s="427"/>
      <c r="AS43" s="427"/>
      <c r="AT43" s="227"/>
      <c r="AU43" s="227"/>
      <c r="AV43" s="228"/>
    </row>
    <row r="44" spans="1:50" s="229" customFormat="1" ht="21.75" customHeight="1">
      <c r="A44" s="490" t="s">
        <v>11</v>
      </c>
      <c r="B44" s="483" t="s">
        <v>464</v>
      </c>
      <c r="C44" s="493" t="s">
        <v>499</v>
      </c>
      <c r="D44" s="258" t="s">
        <v>443</v>
      </c>
      <c r="E44" s="123">
        <f>SUM(E45:E47)</f>
        <v>0</v>
      </c>
      <c r="F44" s="123">
        <f t="shared" ref="F44" si="58">SUM(F45:F47)</f>
        <v>0</v>
      </c>
      <c r="G44" s="123">
        <v>0</v>
      </c>
      <c r="H44" s="123">
        <f t="shared" ref="H44:I44" si="59">SUM(H45:H47)</f>
        <v>0</v>
      </c>
      <c r="I44" s="123">
        <f t="shared" si="59"/>
        <v>0</v>
      </c>
      <c r="J44" s="123">
        <v>0</v>
      </c>
      <c r="K44" s="123">
        <f t="shared" ref="K44:L44" si="60">SUM(K45:K47)</f>
        <v>0</v>
      </c>
      <c r="L44" s="123">
        <f t="shared" si="60"/>
        <v>0</v>
      </c>
      <c r="M44" s="123">
        <v>0</v>
      </c>
      <c r="N44" s="123">
        <f t="shared" ref="N44:O44" si="61">SUM(N45:N47)</f>
        <v>0</v>
      </c>
      <c r="O44" s="123">
        <f t="shared" si="61"/>
        <v>0</v>
      </c>
      <c r="P44" s="123">
        <v>0</v>
      </c>
      <c r="Q44" s="123">
        <f t="shared" ref="Q44:R44" si="62">SUM(Q45:Q47)</f>
        <v>0</v>
      </c>
      <c r="R44" s="123">
        <f t="shared" si="62"/>
        <v>0</v>
      </c>
      <c r="S44" s="123">
        <v>0</v>
      </c>
      <c r="T44" s="123">
        <f t="shared" ref="T44:AA44" si="63">SUM(T45:T47)</f>
        <v>0</v>
      </c>
      <c r="U44" s="123">
        <f t="shared" si="63"/>
        <v>0</v>
      </c>
      <c r="V44" s="123">
        <f t="shared" si="63"/>
        <v>0</v>
      </c>
      <c r="W44" s="123">
        <f t="shared" si="63"/>
        <v>0</v>
      </c>
      <c r="X44" s="123">
        <f t="shared" si="63"/>
        <v>0</v>
      </c>
      <c r="Y44" s="123">
        <f t="shared" si="63"/>
        <v>0</v>
      </c>
      <c r="Z44" s="123">
        <f t="shared" si="63"/>
        <v>0</v>
      </c>
      <c r="AA44" s="123">
        <f t="shared" si="63"/>
        <v>0</v>
      </c>
      <c r="AB44" s="117">
        <v>0</v>
      </c>
      <c r="AC44" s="123">
        <f t="shared" ref="AC44:AD44" si="64">SUM(AC45:AC47)</f>
        <v>0</v>
      </c>
      <c r="AD44" s="123">
        <f t="shared" si="64"/>
        <v>0</v>
      </c>
      <c r="AE44" s="123">
        <v>0</v>
      </c>
      <c r="AF44" s="123">
        <f t="shared" ref="AF44:AG44" si="65">SUM(AF45:AF47)</f>
        <v>0</v>
      </c>
      <c r="AG44" s="123">
        <f t="shared" si="65"/>
        <v>0</v>
      </c>
      <c r="AH44" s="123">
        <v>0</v>
      </c>
      <c r="AI44" s="123">
        <f t="shared" ref="AI44:AJ44" si="66">SUM(AI45:AI47)</f>
        <v>0</v>
      </c>
      <c r="AJ44" s="123">
        <f t="shared" si="66"/>
        <v>0</v>
      </c>
      <c r="AK44" s="123">
        <v>0</v>
      </c>
      <c r="AL44" s="123">
        <f t="shared" ref="AL44:AM44" si="67">SUM(AL45:AL47)</f>
        <v>0</v>
      </c>
      <c r="AM44" s="123">
        <f t="shared" si="67"/>
        <v>0</v>
      </c>
      <c r="AN44" s="117">
        <v>0</v>
      </c>
      <c r="AO44" s="123">
        <f t="shared" ref="AO44:AP44" si="68">SUM(AO45:AO47)</f>
        <v>0</v>
      </c>
      <c r="AP44" s="123">
        <f t="shared" si="68"/>
        <v>0</v>
      </c>
      <c r="AQ44" s="123">
        <v>0</v>
      </c>
      <c r="AR44" s="425" t="s">
        <v>503</v>
      </c>
      <c r="AS44" s="419"/>
      <c r="AT44" s="227"/>
      <c r="AU44" s="227"/>
      <c r="AV44" s="228"/>
    </row>
    <row r="45" spans="1:50" s="229" customFormat="1" ht="64.5" customHeight="1">
      <c r="A45" s="491"/>
      <c r="B45" s="484"/>
      <c r="C45" s="494"/>
      <c r="D45" s="219" t="s">
        <v>441</v>
      </c>
      <c r="E45" s="123">
        <f>H45+K45+N45+Q45+T45+W45+Z45+AC45+AF45+AI45+AL45+AO45</f>
        <v>0</v>
      </c>
      <c r="F45" s="123">
        <f>I45+L45+O45+R45+U45+X45+AA45+AD45+AG45+AJ45+AM45+AP45</f>
        <v>0</v>
      </c>
      <c r="G45" s="123">
        <v>0</v>
      </c>
      <c r="H45" s="123">
        <v>0</v>
      </c>
      <c r="I45" s="123">
        <v>0</v>
      </c>
      <c r="J45" s="123">
        <v>0</v>
      </c>
      <c r="K45" s="132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23">
        <v>0</v>
      </c>
      <c r="AJ45" s="123">
        <v>0</v>
      </c>
      <c r="AK45" s="123">
        <v>0</v>
      </c>
      <c r="AL45" s="117">
        <v>0</v>
      </c>
      <c r="AM45" s="117">
        <v>0</v>
      </c>
      <c r="AN45" s="117">
        <v>0</v>
      </c>
      <c r="AO45" s="123">
        <v>0</v>
      </c>
      <c r="AP45" s="123">
        <v>0</v>
      </c>
      <c r="AQ45" s="123">
        <v>0</v>
      </c>
      <c r="AR45" s="426"/>
      <c r="AS45" s="420"/>
      <c r="AT45" s="227"/>
      <c r="AU45" s="227"/>
      <c r="AV45" s="228"/>
    </row>
    <row r="46" spans="1:50" s="229" customFormat="1" ht="21" customHeight="1">
      <c r="A46" s="491"/>
      <c r="B46" s="484"/>
      <c r="C46" s="494"/>
      <c r="D46" s="219" t="s">
        <v>453</v>
      </c>
      <c r="E46" s="123">
        <f t="shared" ref="E46:F47" si="69">H46+K46+N46+Q46+T46+W46+Z46+AC46+AF46+AI46+AL46+AO46</f>
        <v>0</v>
      </c>
      <c r="F46" s="123">
        <f t="shared" si="69"/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23">
        <v>0</v>
      </c>
      <c r="AA46" s="123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23">
        <v>0</v>
      </c>
      <c r="AJ46" s="123">
        <v>0</v>
      </c>
      <c r="AK46" s="123">
        <v>0</v>
      </c>
      <c r="AL46" s="117">
        <v>0</v>
      </c>
      <c r="AM46" s="117">
        <v>0</v>
      </c>
      <c r="AN46" s="117">
        <v>0</v>
      </c>
      <c r="AO46" s="117">
        <v>0</v>
      </c>
      <c r="AP46" s="123">
        <v>0</v>
      </c>
      <c r="AQ46" s="123">
        <v>0</v>
      </c>
      <c r="AR46" s="426"/>
      <c r="AS46" s="420"/>
      <c r="AT46" s="227"/>
      <c r="AU46" s="227"/>
      <c r="AV46" s="228"/>
    </row>
    <row r="47" spans="1:50" s="229" customFormat="1" ht="30" customHeight="1">
      <c r="A47" s="491"/>
      <c r="B47" s="484"/>
      <c r="C47" s="494"/>
      <c r="D47" s="143" t="s">
        <v>257</v>
      </c>
      <c r="E47" s="123">
        <f t="shared" si="69"/>
        <v>0</v>
      </c>
      <c r="F47" s="123">
        <f t="shared" si="69"/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23">
        <v>0</v>
      </c>
      <c r="AA47" s="123">
        <v>0</v>
      </c>
      <c r="AB47" s="123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23">
        <v>0</v>
      </c>
      <c r="AJ47" s="123">
        <v>0</v>
      </c>
      <c r="AK47" s="123">
        <v>0</v>
      </c>
      <c r="AL47" s="117">
        <v>0</v>
      </c>
      <c r="AM47" s="117">
        <v>0</v>
      </c>
      <c r="AN47" s="117">
        <v>0</v>
      </c>
      <c r="AO47" s="117">
        <v>0</v>
      </c>
      <c r="AP47" s="123">
        <v>0</v>
      </c>
      <c r="AQ47" s="123">
        <v>0</v>
      </c>
      <c r="AR47" s="426"/>
      <c r="AS47" s="420"/>
      <c r="AT47" s="227"/>
      <c r="AU47" s="227"/>
      <c r="AV47" s="228"/>
    </row>
    <row r="48" spans="1:50" s="229" customFormat="1" ht="24">
      <c r="A48" s="492"/>
      <c r="B48" s="485"/>
      <c r="C48" s="495"/>
      <c r="D48" s="143" t="s">
        <v>459</v>
      </c>
      <c r="E48" s="123">
        <f>H48+K48+N48+Q48+T48+W48+Z48+AC48+AF48+AI48+AL48+AO48</f>
        <v>0</v>
      </c>
      <c r="F48" s="123">
        <f>I48+L48+O48+R48+U48+X48+AA48+AD48+AG48+AJ48+AM48+AP48</f>
        <v>0</v>
      </c>
      <c r="G48" s="123">
        <v>0</v>
      </c>
      <c r="H48" s="123">
        <v>0</v>
      </c>
      <c r="I48" s="123">
        <v>0</v>
      </c>
      <c r="J48" s="123">
        <v>0</v>
      </c>
      <c r="K48" s="132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17">
        <v>0</v>
      </c>
      <c r="U48" s="117">
        <v>0</v>
      </c>
      <c r="V48" s="123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23">
        <v>0</v>
      </c>
      <c r="AI48" s="123">
        <v>0</v>
      </c>
      <c r="AJ48" s="123">
        <v>0</v>
      </c>
      <c r="AK48" s="123">
        <v>0</v>
      </c>
      <c r="AL48" s="117">
        <v>0</v>
      </c>
      <c r="AM48" s="117">
        <v>0</v>
      </c>
      <c r="AN48" s="117">
        <v>0</v>
      </c>
      <c r="AO48" s="123">
        <v>0</v>
      </c>
      <c r="AP48" s="123">
        <v>0</v>
      </c>
      <c r="AQ48" s="123">
        <v>0</v>
      </c>
      <c r="AR48" s="427"/>
      <c r="AS48" s="421"/>
      <c r="AT48" s="227"/>
      <c r="AU48" s="227"/>
      <c r="AV48" s="228"/>
    </row>
    <row r="49" spans="1:50" s="233" customFormat="1" ht="343.5" customHeight="1">
      <c r="A49" s="254" t="s">
        <v>457</v>
      </c>
      <c r="B49" s="143" t="s">
        <v>465</v>
      </c>
      <c r="C49" s="255" t="s">
        <v>488</v>
      </c>
      <c r="D49" s="143" t="s">
        <v>442</v>
      </c>
      <c r="E49" s="149" t="s">
        <v>279</v>
      </c>
      <c r="F49" s="149" t="s">
        <v>279</v>
      </c>
      <c r="G49" s="149" t="s">
        <v>279</v>
      </c>
      <c r="H49" s="149" t="s">
        <v>279</v>
      </c>
      <c r="I49" s="149" t="s">
        <v>279</v>
      </c>
      <c r="J49" s="149" t="s">
        <v>279</v>
      </c>
      <c r="K49" s="149" t="s">
        <v>279</v>
      </c>
      <c r="L49" s="149" t="s">
        <v>279</v>
      </c>
      <c r="M49" s="149" t="s">
        <v>279</v>
      </c>
      <c r="N49" s="149" t="s">
        <v>279</v>
      </c>
      <c r="O49" s="149" t="s">
        <v>279</v>
      </c>
      <c r="P49" s="149" t="s">
        <v>279</v>
      </c>
      <c r="Q49" s="149" t="s">
        <v>279</v>
      </c>
      <c r="R49" s="149" t="s">
        <v>279</v>
      </c>
      <c r="S49" s="149" t="s">
        <v>279</v>
      </c>
      <c r="T49" s="149" t="s">
        <v>279</v>
      </c>
      <c r="U49" s="149" t="s">
        <v>279</v>
      </c>
      <c r="V49" s="149" t="s">
        <v>279</v>
      </c>
      <c r="W49" s="149" t="s">
        <v>279</v>
      </c>
      <c r="X49" s="149" t="s">
        <v>279</v>
      </c>
      <c r="Y49" s="149" t="s">
        <v>279</v>
      </c>
      <c r="Z49" s="149" t="s">
        <v>279</v>
      </c>
      <c r="AA49" s="149" t="s">
        <v>279</v>
      </c>
      <c r="AB49" s="149" t="s">
        <v>279</v>
      </c>
      <c r="AC49" s="149" t="s">
        <v>279</v>
      </c>
      <c r="AD49" s="149" t="s">
        <v>279</v>
      </c>
      <c r="AE49" s="149" t="s">
        <v>279</v>
      </c>
      <c r="AF49" s="149" t="s">
        <v>279</v>
      </c>
      <c r="AG49" s="149" t="s">
        <v>279</v>
      </c>
      <c r="AH49" s="149" t="s">
        <v>279</v>
      </c>
      <c r="AI49" s="149" t="s">
        <v>279</v>
      </c>
      <c r="AJ49" s="149" t="s">
        <v>279</v>
      </c>
      <c r="AK49" s="149" t="s">
        <v>279</v>
      </c>
      <c r="AL49" s="149" t="s">
        <v>279</v>
      </c>
      <c r="AM49" s="149" t="s">
        <v>279</v>
      </c>
      <c r="AN49" s="149" t="s">
        <v>279</v>
      </c>
      <c r="AO49" s="149" t="s">
        <v>279</v>
      </c>
      <c r="AP49" s="149"/>
      <c r="AQ49" s="149"/>
      <c r="AR49" s="262" t="s">
        <v>504</v>
      </c>
      <c r="AS49" s="134"/>
      <c r="AT49" s="227"/>
      <c r="AU49" s="227"/>
      <c r="AV49" s="228"/>
    </row>
    <row r="50" spans="1:50" s="233" customFormat="1" ht="12.75" customHeight="1">
      <c r="A50" s="470" t="s">
        <v>458</v>
      </c>
      <c r="B50" s="473" t="s">
        <v>446</v>
      </c>
      <c r="C50" s="474"/>
      <c r="D50" s="216" t="s">
        <v>443</v>
      </c>
      <c r="E50" s="149">
        <f>E51+E52+E53</f>
        <v>0</v>
      </c>
      <c r="F50" s="149">
        <f t="shared" ref="F50:AP50" si="70">F51+F52+F53</f>
        <v>0</v>
      </c>
      <c r="G50" s="149">
        <v>0</v>
      </c>
      <c r="H50" s="149">
        <f t="shared" si="70"/>
        <v>0</v>
      </c>
      <c r="I50" s="149">
        <f t="shared" si="70"/>
        <v>0</v>
      </c>
      <c r="J50" s="149">
        <v>0</v>
      </c>
      <c r="K50" s="149">
        <f t="shared" si="70"/>
        <v>0</v>
      </c>
      <c r="L50" s="149">
        <f t="shared" si="70"/>
        <v>0</v>
      </c>
      <c r="M50" s="149">
        <v>0</v>
      </c>
      <c r="N50" s="149">
        <f t="shared" si="70"/>
        <v>0</v>
      </c>
      <c r="O50" s="149">
        <f t="shared" si="70"/>
        <v>0</v>
      </c>
      <c r="P50" s="149">
        <v>0</v>
      </c>
      <c r="Q50" s="149">
        <f t="shared" si="70"/>
        <v>0</v>
      </c>
      <c r="R50" s="149">
        <f t="shared" si="70"/>
        <v>0</v>
      </c>
      <c r="S50" s="149">
        <v>0</v>
      </c>
      <c r="T50" s="149">
        <f t="shared" si="70"/>
        <v>0</v>
      </c>
      <c r="U50" s="149">
        <f t="shared" si="70"/>
        <v>0</v>
      </c>
      <c r="V50" s="149">
        <v>0</v>
      </c>
      <c r="W50" s="149">
        <f t="shared" si="70"/>
        <v>0</v>
      </c>
      <c r="X50" s="149">
        <f t="shared" si="70"/>
        <v>0</v>
      </c>
      <c r="Y50" s="149">
        <v>0</v>
      </c>
      <c r="Z50" s="149">
        <f t="shared" si="70"/>
        <v>0</v>
      </c>
      <c r="AA50" s="149">
        <f t="shared" si="70"/>
        <v>0</v>
      </c>
      <c r="AB50" s="149">
        <v>0</v>
      </c>
      <c r="AC50" s="149">
        <f t="shared" si="70"/>
        <v>0</v>
      </c>
      <c r="AD50" s="149">
        <f t="shared" si="70"/>
        <v>0</v>
      </c>
      <c r="AE50" s="149">
        <v>0</v>
      </c>
      <c r="AF50" s="149">
        <f t="shared" si="70"/>
        <v>0</v>
      </c>
      <c r="AG50" s="149">
        <f t="shared" si="70"/>
        <v>0</v>
      </c>
      <c r="AH50" s="149">
        <v>0</v>
      </c>
      <c r="AI50" s="149">
        <f t="shared" si="70"/>
        <v>0</v>
      </c>
      <c r="AJ50" s="149">
        <f t="shared" si="70"/>
        <v>0</v>
      </c>
      <c r="AK50" s="149">
        <v>0</v>
      </c>
      <c r="AL50" s="149">
        <f t="shared" si="70"/>
        <v>0</v>
      </c>
      <c r="AM50" s="149">
        <f t="shared" si="70"/>
        <v>0</v>
      </c>
      <c r="AN50" s="149">
        <v>0</v>
      </c>
      <c r="AO50" s="149">
        <f t="shared" si="70"/>
        <v>0</v>
      </c>
      <c r="AP50" s="149">
        <f t="shared" si="70"/>
        <v>0</v>
      </c>
      <c r="AQ50" s="149">
        <v>0</v>
      </c>
      <c r="AR50" s="479"/>
      <c r="AS50" s="361"/>
      <c r="AT50" s="227"/>
      <c r="AU50" s="227"/>
      <c r="AV50" s="228"/>
    </row>
    <row r="51" spans="1:50" s="233" customFormat="1" ht="48">
      <c r="A51" s="471"/>
      <c r="B51" s="475"/>
      <c r="C51" s="476"/>
      <c r="D51" s="217" t="s">
        <v>441</v>
      </c>
      <c r="E51" s="149">
        <f t="shared" ref="E51:F53" si="71">E57</f>
        <v>0</v>
      </c>
      <c r="F51" s="149">
        <f t="shared" si="71"/>
        <v>0</v>
      </c>
      <c r="G51" s="149">
        <v>0</v>
      </c>
      <c r="H51" s="149">
        <f t="shared" ref="H51:I53" si="72">H57</f>
        <v>0</v>
      </c>
      <c r="I51" s="149">
        <f t="shared" si="72"/>
        <v>0</v>
      </c>
      <c r="J51" s="149">
        <v>0</v>
      </c>
      <c r="K51" s="149">
        <f t="shared" ref="K51:L53" si="73">K57</f>
        <v>0</v>
      </c>
      <c r="L51" s="149">
        <f t="shared" si="73"/>
        <v>0</v>
      </c>
      <c r="M51" s="149">
        <v>0</v>
      </c>
      <c r="N51" s="149">
        <f t="shared" ref="N51:O53" si="74">N57</f>
        <v>0</v>
      </c>
      <c r="O51" s="149">
        <f t="shared" si="74"/>
        <v>0</v>
      </c>
      <c r="P51" s="149">
        <v>0</v>
      </c>
      <c r="Q51" s="149">
        <f t="shared" ref="Q51:R53" si="75">Q57</f>
        <v>0</v>
      </c>
      <c r="R51" s="149">
        <f t="shared" si="75"/>
        <v>0</v>
      </c>
      <c r="S51" s="149">
        <v>0</v>
      </c>
      <c r="T51" s="149">
        <f t="shared" ref="T51:AD53" si="76">T57</f>
        <v>0</v>
      </c>
      <c r="U51" s="149">
        <f t="shared" si="76"/>
        <v>0</v>
      </c>
      <c r="V51" s="149">
        <f t="shared" si="76"/>
        <v>0</v>
      </c>
      <c r="W51" s="149">
        <f t="shared" si="76"/>
        <v>0</v>
      </c>
      <c r="X51" s="149">
        <f t="shared" si="76"/>
        <v>0</v>
      </c>
      <c r="Y51" s="149">
        <f t="shared" si="76"/>
        <v>0</v>
      </c>
      <c r="Z51" s="149">
        <f t="shared" si="76"/>
        <v>0</v>
      </c>
      <c r="AA51" s="149">
        <f t="shared" si="76"/>
        <v>0</v>
      </c>
      <c r="AB51" s="149">
        <f t="shared" si="76"/>
        <v>0</v>
      </c>
      <c r="AC51" s="149">
        <f t="shared" si="76"/>
        <v>0</v>
      </c>
      <c r="AD51" s="149">
        <f t="shared" si="76"/>
        <v>0</v>
      </c>
      <c r="AE51" s="149">
        <v>0</v>
      </c>
      <c r="AF51" s="149">
        <f t="shared" ref="AF51:AQ53" si="77">AF57</f>
        <v>0</v>
      </c>
      <c r="AG51" s="149">
        <f t="shared" si="77"/>
        <v>0</v>
      </c>
      <c r="AH51" s="149">
        <f t="shared" si="77"/>
        <v>0</v>
      </c>
      <c r="AI51" s="149">
        <f t="shared" si="77"/>
        <v>0</v>
      </c>
      <c r="AJ51" s="149">
        <f t="shared" si="77"/>
        <v>0</v>
      </c>
      <c r="AK51" s="149">
        <f t="shared" si="77"/>
        <v>0</v>
      </c>
      <c r="AL51" s="149">
        <f t="shared" si="77"/>
        <v>0</v>
      </c>
      <c r="AM51" s="149">
        <f t="shared" si="77"/>
        <v>0</v>
      </c>
      <c r="AN51" s="149">
        <f t="shared" si="77"/>
        <v>0</v>
      </c>
      <c r="AO51" s="149">
        <f t="shared" si="77"/>
        <v>0</v>
      </c>
      <c r="AP51" s="149">
        <f t="shared" si="77"/>
        <v>0</v>
      </c>
      <c r="AQ51" s="149">
        <f t="shared" si="77"/>
        <v>0</v>
      </c>
      <c r="AR51" s="480"/>
      <c r="AS51" s="362"/>
      <c r="AT51" s="227"/>
      <c r="AU51" s="227"/>
      <c r="AV51" s="228"/>
    </row>
    <row r="52" spans="1:50" s="233" customFormat="1" ht="20.25" customHeight="1">
      <c r="A52" s="471"/>
      <c r="B52" s="475"/>
      <c r="C52" s="476"/>
      <c r="D52" s="217" t="s">
        <v>454</v>
      </c>
      <c r="E52" s="149">
        <f t="shared" si="71"/>
        <v>0</v>
      </c>
      <c r="F52" s="149">
        <f t="shared" si="71"/>
        <v>0</v>
      </c>
      <c r="G52" s="149">
        <v>0</v>
      </c>
      <c r="H52" s="149">
        <f t="shared" si="72"/>
        <v>0</v>
      </c>
      <c r="I52" s="149">
        <f t="shared" si="72"/>
        <v>0</v>
      </c>
      <c r="J52" s="149">
        <v>0</v>
      </c>
      <c r="K52" s="149">
        <f t="shared" si="73"/>
        <v>0</v>
      </c>
      <c r="L52" s="149">
        <f t="shared" si="73"/>
        <v>0</v>
      </c>
      <c r="M52" s="149">
        <v>0</v>
      </c>
      <c r="N52" s="149">
        <f t="shared" si="74"/>
        <v>0</v>
      </c>
      <c r="O52" s="149">
        <f t="shared" si="74"/>
        <v>0</v>
      </c>
      <c r="P52" s="149">
        <v>0</v>
      </c>
      <c r="Q52" s="149">
        <f t="shared" si="75"/>
        <v>0</v>
      </c>
      <c r="R52" s="149">
        <f t="shared" si="75"/>
        <v>0</v>
      </c>
      <c r="S52" s="149">
        <v>0</v>
      </c>
      <c r="T52" s="149">
        <f t="shared" si="76"/>
        <v>0</v>
      </c>
      <c r="U52" s="149">
        <f t="shared" si="76"/>
        <v>0</v>
      </c>
      <c r="V52" s="149">
        <f t="shared" si="76"/>
        <v>0</v>
      </c>
      <c r="W52" s="149">
        <f t="shared" si="76"/>
        <v>0</v>
      </c>
      <c r="X52" s="149">
        <f t="shared" si="76"/>
        <v>0</v>
      </c>
      <c r="Y52" s="149">
        <f t="shared" si="76"/>
        <v>0</v>
      </c>
      <c r="Z52" s="149">
        <f t="shared" si="76"/>
        <v>0</v>
      </c>
      <c r="AA52" s="149">
        <f t="shared" si="76"/>
        <v>0</v>
      </c>
      <c r="AB52" s="149">
        <f t="shared" si="76"/>
        <v>0</v>
      </c>
      <c r="AC52" s="149">
        <f t="shared" si="76"/>
        <v>0</v>
      </c>
      <c r="AD52" s="149">
        <f t="shared" si="76"/>
        <v>0</v>
      </c>
      <c r="AE52" s="149">
        <v>0</v>
      </c>
      <c r="AF52" s="149">
        <f t="shared" si="77"/>
        <v>0</v>
      </c>
      <c r="AG52" s="149">
        <f t="shared" si="77"/>
        <v>0</v>
      </c>
      <c r="AH52" s="149">
        <f t="shared" si="77"/>
        <v>0</v>
      </c>
      <c r="AI52" s="149">
        <f t="shared" si="77"/>
        <v>0</v>
      </c>
      <c r="AJ52" s="149">
        <f t="shared" si="77"/>
        <v>0</v>
      </c>
      <c r="AK52" s="149">
        <f t="shared" si="77"/>
        <v>0</v>
      </c>
      <c r="AL52" s="149">
        <f t="shared" si="77"/>
        <v>0</v>
      </c>
      <c r="AM52" s="149">
        <f t="shared" si="77"/>
        <v>0</v>
      </c>
      <c r="AN52" s="149">
        <f t="shared" si="77"/>
        <v>0</v>
      </c>
      <c r="AO52" s="149">
        <f t="shared" si="77"/>
        <v>0</v>
      </c>
      <c r="AP52" s="149">
        <f t="shared" si="77"/>
        <v>0</v>
      </c>
      <c r="AQ52" s="149">
        <f t="shared" si="77"/>
        <v>0</v>
      </c>
      <c r="AR52" s="480"/>
      <c r="AS52" s="362"/>
      <c r="AT52" s="227"/>
      <c r="AU52" s="227"/>
      <c r="AV52" s="228"/>
    </row>
    <row r="53" spans="1:50" s="233" customFormat="1" ht="26.25" customHeight="1">
      <c r="A53" s="471"/>
      <c r="B53" s="475"/>
      <c r="C53" s="476"/>
      <c r="D53" s="218" t="s">
        <v>257</v>
      </c>
      <c r="E53" s="149">
        <f t="shared" si="71"/>
        <v>0</v>
      </c>
      <c r="F53" s="149">
        <f t="shared" si="71"/>
        <v>0</v>
      </c>
      <c r="G53" s="149">
        <v>0</v>
      </c>
      <c r="H53" s="149">
        <f t="shared" si="72"/>
        <v>0</v>
      </c>
      <c r="I53" s="149">
        <f t="shared" si="72"/>
        <v>0</v>
      </c>
      <c r="J53" s="149">
        <v>0</v>
      </c>
      <c r="K53" s="149">
        <f t="shared" si="73"/>
        <v>0</v>
      </c>
      <c r="L53" s="149">
        <f t="shared" si="73"/>
        <v>0</v>
      </c>
      <c r="M53" s="149">
        <v>0</v>
      </c>
      <c r="N53" s="149">
        <f t="shared" si="74"/>
        <v>0</v>
      </c>
      <c r="O53" s="149">
        <f t="shared" si="74"/>
        <v>0</v>
      </c>
      <c r="P53" s="149">
        <f>P59</f>
        <v>0</v>
      </c>
      <c r="Q53" s="149">
        <f t="shared" si="75"/>
        <v>0</v>
      </c>
      <c r="R53" s="149">
        <f t="shared" si="75"/>
        <v>0</v>
      </c>
      <c r="S53" s="149">
        <v>0</v>
      </c>
      <c r="T53" s="149">
        <f t="shared" si="76"/>
        <v>0</v>
      </c>
      <c r="U53" s="149">
        <f t="shared" si="76"/>
        <v>0</v>
      </c>
      <c r="V53" s="149">
        <f t="shared" si="76"/>
        <v>0</v>
      </c>
      <c r="W53" s="149">
        <f t="shared" si="76"/>
        <v>0</v>
      </c>
      <c r="X53" s="149">
        <f t="shared" si="76"/>
        <v>0</v>
      </c>
      <c r="Y53" s="149">
        <f t="shared" si="76"/>
        <v>0</v>
      </c>
      <c r="Z53" s="149">
        <f t="shared" si="76"/>
        <v>0</v>
      </c>
      <c r="AA53" s="149">
        <f t="shared" si="76"/>
        <v>0</v>
      </c>
      <c r="AB53" s="149">
        <f t="shared" si="76"/>
        <v>0</v>
      </c>
      <c r="AC53" s="149">
        <f t="shared" si="76"/>
        <v>0</v>
      </c>
      <c r="AD53" s="149">
        <f t="shared" si="76"/>
        <v>0</v>
      </c>
      <c r="AE53" s="149">
        <f>AE59</f>
        <v>0</v>
      </c>
      <c r="AF53" s="149">
        <f t="shared" si="77"/>
        <v>0</v>
      </c>
      <c r="AG53" s="149">
        <f t="shared" si="77"/>
        <v>0</v>
      </c>
      <c r="AH53" s="149">
        <f t="shared" si="77"/>
        <v>0</v>
      </c>
      <c r="AI53" s="149">
        <f t="shared" si="77"/>
        <v>0</v>
      </c>
      <c r="AJ53" s="149">
        <f t="shared" si="77"/>
        <v>0</v>
      </c>
      <c r="AK53" s="149">
        <f t="shared" si="77"/>
        <v>0</v>
      </c>
      <c r="AL53" s="149">
        <f t="shared" si="77"/>
        <v>0</v>
      </c>
      <c r="AM53" s="149">
        <f t="shared" si="77"/>
        <v>0</v>
      </c>
      <c r="AN53" s="149">
        <f t="shared" si="77"/>
        <v>0</v>
      </c>
      <c r="AO53" s="149">
        <f t="shared" si="77"/>
        <v>0</v>
      </c>
      <c r="AP53" s="149">
        <f t="shared" si="77"/>
        <v>0</v>
      </c>
      <c r="AQ53" s="149">
        <f t="shared" si="77"/>
        <v>0</v>
      </c>
      <c r="AR53" s="480"/>
      <c r="AS53" s="362"/>
      <c r="AT53" s="227"/>
      <c r="AU53" s="227"/>
      <c r="AV53" s="228"/>
    </row>
    <row r="54" spans="1:50" s="233" customFormat="1" ht="24">
      <c r="A54" s="472"/>
      <c r="B54" s="477"/>
      <c r="C54" s="478"/>
      <c r="D54" s="218" t="s">
        <v>459</v>
      </c>
      <c r="E54" s="149">
        <f>H54+K54+N54+Q54+T54+W54+Z54+AC54+AF54+AI54+AL54+AO54</f>
        <v>0</v>
      </c>
      <c r="F54" s="149">
        <f>I54+L54+O54+R54+U54+X54+AA54+AD54+AG54+AJ54+AM54+AP54</f>
        <v>0</v>
      </c>
      <c r="G54" s="149">
        <v>0</v>
      </c>
      <c r="H54" s="149">
        <v>0</v>
      </c>
      <c r="I54" s="149">
        <v>0</v>
      </c>
      <c r="J54" s="149">
        <v>0</v>
      </c>
      <c r="K54" s="23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224">
        <v>0</v>
      </c>
      <c r="U54" s="224">
        <v>0</v>
      </c>
      <c r="V54" s="149">
        <v>0</v>
      </c>
      <c r="W54" s="224">
        <v>0</v>
      </c>
      <c r="X54" s="224">
        <v>0</v>
      </c>
      <c r="Y54" s="224">
        <v>0</v>
      </c>
      <c r="Z54" s="224">
        <v>0</v>
      </c>
      <c r="AA54" s="224">
        <v>0</v>
      </c>
      <c r="AB54" s="224">
        <v>0</v>
      </c>
      <c r="AC54" s="224">
        <v>0</v>
      </c>
      <c r="AD54" s="224">
        <v>0</v>
      </c>
      <c r="AE54" s="224">
        <v>0</v>
      </c>
      <c r="AF54" s="224">
        <v>0</v>
      </c>
      <c r="AG54" s="224">
        <v>0</v>
      </c>
      <c r="AH54" s="149">
        <v>0</v>
      </c>
      <c r="AI54" s="149">
        <v>0</v>
      </c>
      <c r="AJ54" s="149">
        <v>0</v>
      </c>
      <c r="AK54" s="149">
        <v>0</v>
      </c>
      <c r="AL54" s="224">
        <v>0</v>
      </c>
      <c r="AM54" s="224">
        <v>0</v>
      </c>
      <c r="AN54" s="224">
        <v>0</v>
      </c>
      <c r="AO54" s="149">
        <v>0</v>
      </c>
      <c r="AP54" s="149">
        <v>0</v>
      </c>
      <c r="AQ54" s="149">
        <v>0</v>
      </c>
      <c r="AR54" s="481"/>
      <c r="AS54" s="363"/>
      <c r="AT54" s="227"/>
      <c r="AU54" s="227"/>
      <c r="AV54" s="228"/>
    </row>
    <row r="55" spans="1:50" s="233" customFormat="1" ht="183.75" customHeight="1">
      <c r="A55" s="254" t="s">
        <v>7</v>
      </c>
      <c r="B55" s="143" t="s">
        <v>466</v>
      </c>
      <c r="C55" s="255" t="s">
        <v>489</v>
      </c>
      <c r="D55" s="143" t="s">
        <v>442</v>
      </c>
      <c r="E55" s="149" t="s">
        <v>279</v>
      </c>
      <c r="F55" s="149" t="s">
        <v>279</v>
      </c>
      <c r="G55" s="149" t="s">
        <v>279</v>
      </c>
      <c r="H55" s="149" t="s">
        <v>279</v>
      </c>
      <c r="I55" s="149" t="s">
        <v>279</v>
      </c>
      <c r="J55" s="149" t="s">
        <v>279</v>
      </c>
      <c r="K55" s="149" t="s">
        <v>279</v>
      </c>
      <c r="L55" s="149" t="s">
        <v>279</v>
      </c>
      <c r="M55" s="149" t="s">
        <v>279</v>
      </c>
      <c r="N55" s="149" t="s">
        <v>279</v>
      </c>
      <c r="O55" s="149" t="s">
        <v>279</v>
      </c>
      <c r="P55" s="149" t="s">
        <v>279</v>
      </c>
      <c r="Q55" s="149" t="s">
        <v>279</v>
      </c>
      <c r="R55" s="149" t="s">
        <v>279</v>
      </c>
      <c r="S55" s="149" t="s">
        <v>279</v>
      </c>
      <c r="T55" s="149" t="s">
        <v>279</v>
      </c>
      <c r="U55" s="149" t="s">
        <v>279</v>
      </c>
      <c r="V55" s="149" t="s">
        <v>279</v>
      </c>
      <c r="W55" s="149" t="s">
        <v>279</v>
      </c>
      <c r="X55" s="149" t="s">
        <v>279</v>
      </c>
      <c r="Y55" s="149" t="s">
        <v>279</v>
      </c>
      <c r="Z55" s="149" t="s">
        <v>279</v>
      </c>
      <c r="AA55" s="149" t="s">
        <v>279</v>
      </c>
      <c r="AB55" s="149" t="s">
        <v>279</v>
      </c>
      <c r="AC55" s="149" t="s">
        <v>279</v>
      </c>
      <c r="AD55" s="149" t="s">
        <v>279</v>
      </c>
      <c r="AE55" s="149" t="s">
        <v>279</v>
      </c>
      <c r="AF55" s="149" t="s">
        <v>279</v>
      </c>
      <c r="AG55" s="149" t="s">
        <v>279</v>
      </c>
      <c r="AH55" s="149" t="s">
        <v>279</v>
      </c>
      <c r="AI55" s="149" t="s">
        <v>279</v>
      </c>
      <c r="AJ55" s="149" t="s">
        <v>279</v>
      </c>
      <c r="AK55" s="149" t="s">
        <v>279</v>
      </c>
      <c r="AL55" s="149" t="s">
        <v>279</v>
      </c>
      <c r="AM55" s="149" t="s">
        <v>279</v>
      </c>
      <c r="AN55" s="149" t="s">
        <v>279</v>
      </c>
      <c r="AO55" s="149" t="s">
        <v>279</v>
      </c>
      <c r="AP55" s="149"/>
      <c r="AQ55" s="149"/>
      <c r="AR55" s="262" t="s">
        <v>505</v>
      </c>
      <c r="AS55" s="134"/>
      <c r="AT55" s="227"/>
      <c r="AU55" s="227"/>
      <c r="AV55" s="228"/>
    </row>
    <row r="56" spans="1:50" s="229" customFormat="1" ht="12.75" customHeight="1">
      <c r="A56" s="487" t="s">
        <v>8</v>
      </c>
      <c r="B56" s="483" t="s">
        <v>467</v>
      </c>
      <c r="C56" s="340" t="s">
        <v>490</v>
      </c>
      <c r="D56" s="258" t="s">
        <v>443</v>
      </c>
      <c r="E56" s="123">
        <f>SUM(E57:E59)</f>
        <v>0</v>
      </c>
      <c r="F56" s="123">
        <f t="shared" ref="F56" si="78">SUM(F57:F59)</f>
        <v>0</v>
      </c>
      <c r="G56" s="123">
        <v>0</v>
      </c>
      <c r="H56" s="132">
        <f>H57+H58+H59</f>
        <v>0</v>
      </c>
      <c r="I56" s="132">
        <f>I57+I58+I59</f>
        <v>0</v>
      </c>
      <c r="J56" s="123">
        <v>0</v>
      </c>
      <c r="K56" s="132">
        <f>K57+K58+K59</f>
        <v>0</v>
      </c>
      <c r="L56" s="132">
        <f>L57+L58+L59</f>
        <v>0</v>
      </c>
      <c r="M56" s="132">
        <v>0</v>
      </c>
      <c r="N56" s="132">
        <f>N57+N58+N59</f>
        <v>0</v>
      </c>
      <c r="O56" s="132">
        <f>O57+O58+O59</f>
        <v>0</v>
      </c>
      <c r="P56" s="123">
        <v>0</v>
      </c>
      <c r="Q56" s="132">
        <f>Q57+Q58+Q59</f>
        <v>0</v>
      </c>
      <c r="R56" s="132">
        <f>R57+R58+R59</f>
        <v>0</v>
      </c>
      <c r="S56" s="132">
        <v>0</v>
      </c>
      <c r="T56" s="132">
        <f t="shared" ref="T56:AP56" si="79">T57+T58+T59</f>
        <v>0</v>
      </c>
      <c r="U56" s="132">
        <f t="shared" si="79"/>
        <v>0</v>
      </c>
      <c r="V56" s="132">
        <v>0</v>
      </c>
      <c r="W56" s="132">
        <f t="shared" si="79"/>
        <v>0</v>
      </c>
      <c r="X56" s="132">
        <f t="shared" si="79"/>
        <v>0</v>
      </c>
      <c r="Y56" s="132">
        <v>0</v>
      </c>
      <c r="Z56" s="132">
        <f t="shared" si="79"/>
        <v>0</v>
      </c>
      <c r="AA56" s="132">
        <f t="shared" si="79"/>
        <v>0</v>
      </c>
      <c r="AB56" s="132">
        <v>0</v>
      </c>
      <c r="AC56" s="132">
        <f t="shared" si="79"/>
        <v>0</v>
      </c>
      <c r="AD56" s="132">
        <f t="shared" si="79"/>
        <v>0</v>
      </c>
      <c r="AE56" s="132">
        <v>0</v>
      </c>
      <c r="AF56" s="132">
        <f t="shared" si="79"/>
        <v>0</v>
      </c>
      <c r="AG56" s="132">
        <f t="shared" si="79"/>
        <v>0</v>
      </c>
      <c r="AH56" s="117">
        <v>0</v>
      </c>
      <c r="AI56" s="132">
        <f t="shared" si="79"/>
        <v>0</v>
      </c>
      <c r="AJ56" s="132">
        <f t="shared" si="79"/>
        <v>0</v>
      </c>
      <c r="AK56" s="132">
        <v>0</v>
      </c>
      <c r="AL56" s="132">
        <f t="shared" si="79"/>
        <v>0</v>
      </c>
      <c r="AM56" s="132">
        <f t="shared" si="79"/>
        <v>0</v>
      </c>
      <c r="AN56" s="132">
        <v>0</v>
      </c>
      <c r="AO56" s="132">
        <f t="shared" si="79"/>
        <v>0</v>
      </c>
      <c r="AP56" s="132">
        <f t="shared" si="79"/>
        <v>0</v>
      </c>
      <c r="AQ56" s="123">
        <v>0</v>
      </c>
      <c r="AR56" s="425" t="s">
        <v>503</v>
      </c>
      <c r="AS56" s="419"/>
      <c r="AT56" s="227"/>
      <c r="AU56" s="227"/>
      <c r="AV56" s="228"/>
      <c r="AX56" s="227"/>
    </row>
    <row r="57" spans="1:50" s="229" customFormat="1" ht="48">
      <c r="A57" s="488"/>
      <c r="B57" s="484"/>
      <c r="C57" s="341"/>
      <c r="D57" s="219" t="s">
        <v>441</v>
      </c>
      <c r="E57" s="123">
        <f>H57+K57+N57+Q57+T57+W57+Z57+AC57+AF57+AI57+AL57+AO57</f>
        <v>0</v>
      </c>
      <c r="F57" s="123">
        <f>I57+L57+O57+R57+U57+X57+AA57+AD57+AG57+AJ57+AM57+AP57</f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220">
        <v>0</v>
      </c>
      <c r="U57" s="220">
        <v>0</v>
      </c>
      <c r="V57" s="117">
        <v>0</v>
      </c>
      <c r="W57" s="117">
        <v>0</v>
      </c>
      <c r="X57" s="117">
        <v>0</v>
      </c>
      <c r="Y57" s="117">
        <v>0</v>
      </c>
      <c r="Z57" s="123">
        <v>0</v>
      </c>
      <c r="AA57" s="123">
        <v>0</v>
      </c>
      <c r="AB57" s="117">
        <v>0</v>
      </c>
      <c r="AC57" s="220">
        <v>0</v>
      </c>
      <c r="AD57" s="220">
        <v>0</v>
      </c>
      <c r="AE57" s="117">
        <v>0</v>
      </c>
      <c r="AF57" s="220">
        <v>0</v>
      </c>
      <c r="AG57" s="221">
        <v>0</v>
      </c>
      <c r="AH57" s="123">
        <v>0</v>
      </c>
      <c r="AI57" s="220">
        <v>0</v>
      </c>
      <c r="AJ57" s="220">
        <v>0</v>
      </c>
      <c r="AK57" s="220">
        <v>0</v>
      </c>
      <c r="AL57" s="220">
        <v>0</v>
      </c>
      <c r="AM57" s="220">
        <v>0</v>
      </c>
      <c r="AN57" s="220">
        <v>0</v>
      </c>
      <c r="AO57" s="220">
        <v>0</v>
      </c>
      <c r="AP57" s="123">
        <v>0</v>
      </c>
      <c r="AQ57" s="123">
        <v>0</v>
      </c>
      <c r="AR57" s="426"/>
      <c r="AS57" s="420"/>
      <c r="AT57" s="227"/>
      <c r="AU57" s="227"/>
      <c r="AV57" s="228"/>
      <c r="AX57" s="227"/>
    </row>
    <row r="58" spans="1:50" s="229" customFormat="1" ht="22.5" customHeight="1">
      <c r="A58" s="488"/>
      <c r="B58" s="484"/>
      <c r="C58" s="341"/>
      <c r="D58" s="219" t="s">
        <v>454</v>
      </c>
      <c r="E58" s="123">
        <f t="shared" ref="E58:F59" si="80">H58+K58+N58+Q58+T58+W58+Z58+AC58+AF58+AI58+AL58+AO58</f>
        <v>0</v>
      </c>
      <c r="F58" s="123">
        <f t="shared" si="80"/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220">
        <v>0</v>
      </c>
      <c r="U58" s="220">
        <v>0</v>
      </c>
      <c r="V58" s="117">
        <v>0</v>
      </c>
      <c r="W58" s="117">
        <v>0</v>
      </c>
      <c r="X58" s="117">
        <v>0</v>
      </c>
      <c r="Y58" s="117">
        <v>0</v>
      </c>
      <c r="Z58" s="123">
        <v>0</v>
      </c>
      <c r="AA58" s="123">
        <v>0</v>
      </c>
      <c r="AB58" s="117">
        <v>0</v>
      </c>
      <c r="AC58" s="220">
        <v>0</v>
      </c>
      <c r="AD58" s="220">
        <v>0</v>
      </c>
      <c r="AE58" s="117">
        <v>0</v>
      </c>
      <c r="AF58" s="220">
        <v>0</v>
      </c>
      <c r="AG58" s="221">
        <v>0</v>
      </c>
      <c r="AH58" s="123">
        <v>0</v>
      </c>
      <c r="AI58" s="220">
        <v>0</v>
      </c>
      <c r="AJ58" s="220">
        <v>0</v>
      </c>
      <c r="AK58" s="220">
        <v>0</v>
      </c>
      <c r="AL58" s="220">
        <v>0</v>
      </c>
      <c r="AM58" s="220">
        <v>0</v>
      </c>
      <c r="AN58" s="220">
        <v>0</v>
      </c>
      <c r="AO58" s="220">
        <v>0</v>
      </c>
      <c r="AP58" s="123">
        <v>0</v>
      </c>
      <c r="AQ58" s="123">
        <v>0</v>
      </c>
      <c r="AR58" s="426"/>
      <c r="AS58" s="420"/>
      <c r="AT58" s="227"/>
      <c r="AU58" s="227"/>
      <c r="AV58" s="228"/>
      <c r="AX58" s="227"/>
    </row>
    <row r="59" spans="1:50" s="229" customFormat="1" ht="29.25" customHeight="1">
      <c r="A59" s="488"/>
      <c r="B59" s="484"/>
      <c r="C59" s="341"/>
      <c r="D59" s="143" t="s">
        <v>257</v>
      </c>
      <c r="E59" s="123">
        <f t="shared" si="80"/>
        <v>0</v>
      </c>
      <c r="F59" s="123">
        <f t="shared" si="80"/>
        <v>0</v>
      </c>
      <c r="G59" s="123">
        <v>0</v>
      </c>
      <c r="H59" s="123">
        <v>0</v>
      </c>
      <c r="I59" s="123">
        <v>0</v>
      </c>
      <c r="J59" s="123">
        <v>0</v>
      </c>
      <c r="K59" s="132">
        <v>0</v>
      </c>
      <c r="L59" s="123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256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23">
        <v>0</v>
      </c>
      <c r="AJ59" s="123">
        <v>0</v>
      </c>
      <c r="AK59" s="123">
        <v>0</v>
      </c>
      <c r="AL59" s="117">
        <v>0</v>
      </c>
      <c r="AM59" s="117">
        <v>0</v>
      </c>
      <c r="AN59" s="117">
        <v>0</v>
      </c>
      <c r="AO59" s="123">
        <v>0</v>
      </c>
      <c r="AP59" s="123">
        <v>0</v>
      </c>
      <c r="AQ59" s="123">
        <v>0</v>
      </c>
      <c r="AR59" s="426"/>
      <c r="AS59" s="420"/>
      <c r="AT59" s="227"/>
      <c r="AU59" s="227"/>
      <c r="AV59" s="228"/>
      <c r="AX59" s="227"/>
    </row>
    <row r="60" spans="1:50" s="229" customFormat="1" ht="33" customHeight="1">
      <c r="A60" s="489"/>
      <c r="B60" s="485"/>
      <c r="C60" s="342"/>
      <c r="D60" s="143" t="s">
        <v>459</v>
      </c>
      <c r="E60" s="123">
        <f>H60+K60+N60+Q60+T60+W60+Z60+AC60+AF60+AI60+AL60+AO60</f>
        <v>0</v>
      </c>
      <c r="F60" s="123">
        <f>I60+L60+O60+R60+U60+X60+AA60+AD60+AG60+AJ60+AM60+AP60</f>
        <v>0</v>
      </c>
      <c r="G60" s="123">
        <v>0</v>
      </c>
      <c r="H60" s="123">
        <v>0</v>
      </c>
      <c r="I60" s="123">
        <v>0</v>
      </c>
      <c r="J60" s="123">
        <v>0</v>
      </c>
      <c r="K60" s="132">
        <v>0</v>
      </c>
      <c r="L60" s="123">
        <v>0</v>
      </c>
      <c r="M60" s="123">
        <v>0</v>
      </c>
      <c r="N60" s="123"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17">
        <v>0</v>
      </c>
      <c r="U60" s="117">
        <v>0</v>
      </c>
      <c r="V60" s="123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23">
        <v>0</v>
      </c>
      <c r="AI60" s="123">
        <v>0</v>
      </c>
      <c r="AJ60" s="123">
        <v>0</v>
      </c>
      <c r="AK60" s="123">
        <v>0</v>
      </c>
      <c r="AL60" s="117">
        <v>0</v>
      </c>
      <c r="AM60" s="117">
        <v>0</v>
      </c>
      <c r="AN60" s="117">
        <v>0</v>
      </c>
      <c r="AO60" s="123">
        <v>0</v>
      </c>
      <c r="AP60" s="123">
        <v>0</v>
      </c>
      <c r="AQ60" s="123">
        <v>0</v>
      </c>
      <c r="AR60" s="427"/>
      <c r="AS60" s="421"/>
      <c r="AT60" s="227"/>
      <c r="AU60" s="227"/>
      <c r="AV60" s="228"/>
    </row>
    <row r="61" spans="1:50" s="233" customFormat="1" ht="33.75" customHeight="1">
      <c r="A61" s="470" t="s">
        <v>468</v>
      </c>
      <c r="B61" s="473" t="s">
        <v>447</v>
      </c>
      <c r="C61" s="474"/>
      <c r="D61" s="216" t="s">
        <v>443</v>
      </c>
      <c r="E61" s="149">
        <f>E62+E63+E64</f>
        <v>745.30000000000007</v>
      </c>
      <c r="F61" s="149">
        <f>F62+F63+F64</f>
        <v>176.9</v>
      </c>
      <c r="G61" s="149">
        <f>F61/E61*100</f>
        <v>23.735408560311281</v>
      </c>
      <c r="H61" s="149">
        <f>H62+H63+H64</f>
        <v>0</v>
      </c>
      <c r="I61" s="149">
        <f>I62+I63+I64</f>
        <v>0</v>
      </c>
      <c r="J61" s="149">
        <v>0</v>
      </c>
      <c r="K61" s="149">
        <f>K62+K63+K64</f>
        <v>40</v>
      </c>
      <c r="L61" s="149">
        <f>L62+L63+L64</f>
        <v>40</v>
      </c>
      <c r="M61" s="149">
        <f>L61/K61*100</f>
        <v>100</v>
      </c>
      <c r="N61" s="149">
        <f>N62+N63+N64</f>
        <v>136.9</v>
      </c>
      <c r="O61" s="149">
        <f>O62+O63+O64</f>
        <v>136.9</v>
      </c>
      <c r="P61" s="149">
        <f>O61/N61*100</f>
        <v>100</v>
      </c>
      <c r="Q61" s="149">
        <f>Q62+Q63+Q64</f>
        <v>82.2</v>
      </c>
      <c r="R61" s="149">
        <f>R62+R63+R64</f>
        <v>0</v>
      </c>
      <c r="S61" s="123">
        <f>R61/Q61*100</f>
        <v>0</v>
      </c>
      <c r="T61" s="149">
        <f>T62+T63+T64</f>
        <v>82.2</v>
      </c>
      <c r="U61" s="149">
        <f>U62+U63+U64</f>
        <v>0</v>
      </c>
      <c r="V61" s="123">
        <f>U61/T61*100</f>
        <v>0</v>
      </c>
      <c r="W61" s="149">
        <f>W62+W63+W64</f>
        <v>82.2</v>
      </c>
      <c r="X61" s="149">
        <f>X62+X63+X64</f>
        <v>0</v>
      </c>
      <c r="Y61" s="149">
        <f>X61/W61*100</f>
        <v>0</v>
      </c>
      <c r="Z61" s="149">
        <f>Z62+Z63+Z64</f>
        <v>0</v>
      </c>
      <c r="AA61" s="149">
        <f>AA62+AA63+AA64</f>
        <v>0</v>
      </c>
      <c r="AB61" s="149" t="e">
        <f>AA61/Z61*100</f>
        <v>#DIV/0!</v>
      </c>
      <c r="AC61" s="149">
        <f>AC62+AC63+AC64</f>
        <v>82.2</v>
      </c>
      <c r="AD61" s="149">
        <f>AD62+AD63+AD64</f>
        <v>0</v>
      </c>
      <c r="AE61" s="149">
        <f>AD61/AC61*100</f>
        <v>0</v>
      </c>
      <c r="AF61" s="149">
        <f>AF62+AF63+AF64</f>
        <v>82.2</v>
      </c>
      <c r="AG61" s="149">
        <f>AG62+AG63+AG64</f>
        <v>0</v>
      </c>
      <c r="AH61" s="149">
        <f>AG61/AF61*100</f>
        <v>0</v>
      </c>
      <c r="AI61" s="149">
        <f>AI62+AI63+AI64</f>
        <v>82.2</v>
      </c>
      <c r="AJ61" s="149">
        <f>AJ62+AJ63+AJ64</f>
        <v>0</v>
      </c>
      <c r="AK61" s="149">
        <f>AJ61/AI61*100</f>
        <v>0</v>
      </c>
      <c r="AL61" s="149">
        <f>AL62+AL63+AL64</f>
        <v>75.2</v>
      </c>
      <c r="AM61" s="149">
        <f>AM62+AM63+AM64</f>
        <v>0</v>
      </c>
      <c r="AN61" s="149">
        <f>AM61/AL61*100</f>
        <v>0</v>
      </c>
      <c r="AO61" s="149">
        <f>AO62+AO63+AO64</f>
        <v>0</v>
      </c>
      <c r="AP61" s="149">
        <f>AP62+AP63+AP64</f>
        <v>0</v>
      </c>
      <c r="AQ61" s="149" t="e">
        <f>AP61/AO61*100</f>
        <v>#DIV/0!</v>
      </c>
      <c r="AR61" s="479"/>
      <c r="AS61" s="361"/>
      <c r="AT61" s="227"/>
      <c r="AU61" s="227"/>
      <c r="AV61" s="228"/>
    </row>
    <row r="62" spans="1:50" s="233" customFormat="1" ht="49.5" customHeight="1">
      <c r="A62" s="471"/>
      <c r="B62" s="475"/>
      <c r="C62" s="476"/>
      <c r="D62" s="217" t="s">
        <v>441</v>
      </c>
      <c r="E62" s="149">
        <f>E68</f>
        <v>0</v>
      </c>
      <c r="F62" s="149">
        <f t="shared" ref="F62:AQ63" si="81">F68</f>
        <v>0</v>
      </c>
      <c r="G62" s="149">
        <v>0</v>
      </c>
      <c r="H62" s="149">
        <f t="shared" si="81"/>
        <v>0</v>
      </c>
      <c r="I62" s="149">
        <f t="shared" si="81"/>
        <v>0</v>
      </c>
      <c r="J62" s="149">
        <v>0</v>
      </c>
      <c r="K62" s="149">
        <f t="shared" si="81"/>
        <v>0</v>
      </c>
      <c r="L62" s="149">
        <f t="shared" si="81"/>
        <v>0</v>
      </c>
      <c r="M62" s="149">
        <v>0</v>
      </c>
      <c r="N62" s="149">
        <f t="shared" si="81"/>
        <v>0</v>
      </c>
      <c r="O62" s="149">
        <f t="shared" si="81"/>
        <v>0</v>
      </c>
      <c r="P62" s="149">
        <v>0</v>
      </c>
      <c r="Q62" s="149">
        <f t="shared" si="81"/>
        <v>0</v>
      </c>
      <c r="R62" s="149">
        <f t="shared" si="81"/>
        <v>0</v>
      </c>
      <c r="S62" s="149">
        <f t="shared" si="81"/>
        <v>0</v>
      </c>
      <c r="T62" s="149">
        <f t="shared" si="81"/>
        <v>0</v>
      </c>
      <c r="U62" s="149">
        <f t="shared" si="81"/>
        <v>0</v>
      </c>
      <c r="V62" s="149">
        <f t="shared" si="81"/>
        <v>0</v>
      </c>
      <c r="W62" s="149">
        <f t="shared" si="81"/>
        <v>0</v>
      </c>
      <c r="X62" s="149">
        <f t="shared" si="81"/>
        <v>0</v>
      </c>
      <c r="Y62" s="149">
        <f t="shared" si="81"/>
        <v>0</v>
      </c>
      <c r="Z62" s="149">
        <f t="shared" si="81"/>
        <v>0</v>
      </c>
      <c r="AA62" s="149">
        <f t="shared" si="81"/>
        <v>0</v>
      </c>
      <c r="AB62" s="149">
        <f t="shared" si="81"/>
        <v>0</v>
      </c>
      <c r="AC62" s="149">
        <f t="shared" si="81"/>
        <v>0</v>
      </c>
      <c r="AD62" s="149">
        <f t="shared" si="81"/>
        <v>0</v>
      </c>
      <c r="AE62" s="149">
        <f t="shared" si="81"/>
        <v>0</v>
      </c>
      <c r="AF62" s="149">
        <f t="shared" si="81"/>
        <v>0</v>
      </c>
      <c r="AG62" s="149">
        <f t="shared" si="81"/>
        <v>0</v>
      </c>
      <c r="AH62" s="149">
        <f t="shared" si="81"/>
        <v>0</v>
      </c>
      <c r="AI62" s="149">
        <f t="shared" si="81"/>
        <v>0</v>
      </c>
      <c r="AJ62" s="149">
        <f t="shared" si="81"/>
        <v>0</v>
      </c>
      <c r="AK62" s="149">
        <f t="shared" si="81"/>
        <v>0</v>
      </c>
      <c r="AL62" s="149">
        <f t="shared" si="81"/>
        <v>0</v>
      </c>
      <c r="AM62" s="149">
        <f t="shared" si="81"/>
        <v>0</v>
      </c>
      <c r="AN62" s="149">
        <f t="shared" si="81"/>
        <v>0</v>
      </c>
      <c r="AO62" s="149">
        <f t="shared" si="81"/>
        <v>0</v>
      </c>
      <c r="AP62" s="149">
        <f t="shared" si="81"/>
        <v>0</v>
      </c>
      <c r="AQ62" s="149">
        <f t="shared" si="81"/>
        <v>0</v>
      </c>
      <c r="AR62" s="480"/>
      <c r="AS62" s="362"/>
      <c r="AT62" s="227"/>
      <c r="AU62" s="227"/>
      <c r="AV62" s="228"/>
    </row>
    <row r="63" spans="1:50" s="233" customFormat="1" ht="57" customHeight="1">
      <c r="A63" s="471"/>
      <c r="B63" s="475"/>
      <c r="C63" s="476"/>
      <c r="D63" s="217" t="s">
        <v>454</v>
      </c>
      <c r="E63" s="149">
        <f>E69</f>
        <v>745.30000000000007</v>
      </c>
      <c r="F63" s="149">
        <f t="shared" si="81"/>
        <v>176.9</v>
      </c>
      <c r="G63" s="149">
        <f>F63/E63*100</f>
        <v>23.735408560311281</v>
      </c>
      <c r="H63" s="149">
        <f t="shared" si="81"/>
        <v>0</v>
      </c>
      <c r="I63" s="149">
        <f t="shared" si="81"/>
        <v>0</v>
      </c>
      <c r="J63" s="149">
        <v>0</v>
      </c>
      <c r="K63" s="149">
        <f t="shared" si="81"/>
        <v>40</v>
      </c>
      <c r="L63" s="149">
        <f t="shared" si="81"/>
        <v>40</v>
      </c>
      <c r="M63" s="149">
        <f>L63/K63*100</f>
        <v>100</v>
      </c>
      <c r="N63" s="149">
        <f t="shared" si="81"/>
        <v>136.9</v>
      </c>
      <c r="O63" s="149">
        <f t="shared" si="81"/>
        <v>136.9</v>
      </c>
      <c r="P63" s="149">
        <f>O63/N63*100</f>
        <v>100</v>
      </c>
      <c r="Q63" s="149">
        <f t="shared" si="81"/>
        <v>82.2</v>
      </c>
      <c r="R63" s="149">
        <f t="shared" si="81"/>
        <v>0</v>
      </c>
      <c r="S63" s="123">
        <f>R63/Q63*100</f>
        <v>0</v>
      </c>
      <c r="T63" s="149">
        <f t="shared" si="81"/>
        <v>82.2</v>
      </c>
      <c r="U63" s="149">
        <f t="shared" si="81"/>
        <v>0</v>
      </c>
      <c r="V63" s="123">
        <f>U63/T63*100</f>
        <v>0</v>
      </c>
      <c r="W63" s="149">
        <f t="shared" si="81"/>
        <v>82.2</v>
      </c>
      <c r="X63" s="149">
        <f t="shared" si="81"/>
        <v>0</v>
      </c>
      <c r="Y63" s="149">
        <f>X63/W63*100</f>
        <v>0</v>
      </c>
      <c r="Z63" s="149">
        <f t="shared" si="81"/>
        <v>0</v>
      </c>
      <c r="AA63" s="149">
        <f t="shared" si="81"/>
        <v>0</v>
      </c>
      <c r="AB63" s="149" t="e">
        <f>AA63/Z63*100</f>
        <v>#DIV/0!</v>
      </c>
      <c r="AC63" s="149">
        <f t="shared" si="81"/>
        <v>82.2</v>
      </c>
      <c r="AD63" s="149">
        <f t="shared" si="81"/>
        <v>0</v>
      </c>
      <c r="AE63" s="149">
        <f>AD63/AC63*100</f>
        <v>0</v>
      </c>
      <c r="AF63" s="149">
        <f t="shared" si="81"/>
        <v>82.2</v>
      </c>
      <c r="AG63" s="149">
        <f t="shared" si="81"/>
        <v>0</v>
      </c>
      <c r="AH63" s="149">
        <f>AG63/AF63*100</f>
        <v>0</v>
      </c>
      <c r="AI63" s="149">
        <f>AI69</f>
        <v>82.2</v>
      </c>
      <c r="AJ63" s="149">
        <f t="shared" si="81"/>
        <v>0</v>
      </c>
      <c r="AK63" s="149">
        <f>AJ63/AI63*100</f>
        <v>0</v>
      </c>
      <c r="AL63" s="149">
        <f t="shared" si="81"/>
        <v>75.2</v>
      </c>
      <c r="AM63" s="149">
        <f t="shared" si="81"/>
        <v>0</v>
      </c>
      <c r="AN63" s="149">
        <f t="shared" si="81"/>
        <v>0</v>
      </c>
      <c r="AO63" s="149">
        <f t="shared" si="81"/>
        <v>0</v>
      </c>
      <c r="AP63" s="149">
        <f t="shared" si="81"/>
        <v>0</v>
      </c>
      <c r="AQ63" s="149" t="e">
        <f>AP63/AO63*100</f>
        <v>#DIV/0!</v>
      </c>
      <c r="AR63" s="480"/>
      <c r="AS63" s="362"/>
      <c r="AT63" s="227"/>
      <c r="AU63" s="227"/>
      <c r="AV63" s="228"/>
    </row>
    <row r="64" spans="1:50" s="233" customFormat="1" ht="12.75" customHeight="1">
      <c r="A64" s="471"/>
      <c r="B64" s="475"/>
      <c r="C64" s="476"/>
      <c r="D64" s="218" t="s">
        <v>257</v>
      </c>
      <c r="E64" s="149">
        <f>E70</f>
        <v>0</v>
      </c>
      <c r="F64" s="149">
        <f>F70</f>
        <v>0</v>
      </c>
      <c r="G64" s="149">
        <v>0</v>
      </c>
      <c r="H64" s="149">
        <f>H70</f>
        <v>0</v>
      </c>
      <c r="I64" s="149">
        <f>I70</f>
        <v>0</v>
      </c>
      <c r="J64" s="149">
        <f>J70</f>
        <v>0</v>
      </c>
      <c r="K64" s="149">
        <f>K70</f>
        <v>0</v>
      </c>
      <c r="L64" s="149">
        <f>L70</f>
        <v>0</v>
      </c>
      <c r="M64" s="149">
        <v>0</v>
      </c>
      <c r="N64" s="149">
        <f t="shared" ref="N64:AQ64" si="82">N70</f>
        <v>0</v>
      </c>
      <c r="O64" s="149">
        <f t="shared" si="82"/>
        <v>0</v>
      </c>
      <c r="P64" s="149">
        <f t="shared" si="82"/>
        <v>0</v>
      </c>
      <c r="Q64" s="149">
        <f t="shared" si="82"/>
        <v>0</v>
      </c>
      <c r="R64" s="149">
        <f t="shared" si="82"/>
        <v>0</v>
      </c>
      <c r="S64" s="149">
        <f t="shared" si="82"/>
        <v>0</v>
      </c>
      <c r="T64" s="149">
        <f t="shared" si="82"/>
        <v>0</v>
      </c>
      <c r="U64" s="149">
        <f t="shared" si="82"/>
        <v>0</v>
      </c>
      <c r="V64" s="149">
        <f t="shared" si="82"/>
        <v>0</v>
      </c>
      <c r="W64" s="149">
        <f t="shared" si="82"/>
        <v>0</v>
      </c>
      <c r="X64" s="149">
        <f t="shared" si="82"/>
        <v>0</v>
      </c>
      <c r="Y64" s="149">
        <f t="shared" si="82"/>
        <v>0</v>
      </c>
      <c r="Z64" s="149">
        <f t="shared" si="82"/>
        <v>0</v>
      </c>
      <c r="AA64" s="149">
        <f t="shared" si="82"/>
        <v>0</v>
      </c>
      <c r="AB64" s="149">
        <f t="shared" si="82"/>
        <v>0</v>
      </c>
      <c r="AC64" s="149">
        <f t="shared" si="82"/>
        <v>0</v>
      </c>
      <c r="AD64" s="149">
        <f t="shared" si="82"/>
        <v>0</v>
      </c>
      <c r="AE64" s="149">
        <f t="shared" si="82"/>
        <v>0</v>
      </c>
      <c r="AF64" s="149">
        <f t="shared" si="82"/>
        <v>0</v>
      </c>
      <c r="AG64" s="149">
        <f t="shared" si="82"/>
        <v>0</v>
      </c>
      <c r="AH64" s="149">
        <f t="shared" si="82"/>
        <v>0</v>
      </c>
      <c r="AI64" s="149">
        <f t="shared" si="82"/>
        <v>0</v>
      </c>
      <c r="AJ64" s="149">
        <f t="shared" si="82"/>
        <v>0</v>
      </c>
      <c r="AK64" s="149">
        <f t="shared" si="82"/>
        <v>0</v>
      </c>
      <c r="AL64" s="149">
        <f t="shared" si="82"/>
        <v>0</v>
      </c>
      <c r="AM64" s="149">
        <f t="shared" si="82"/>
        <v>0</v>
      </c>
      <c r="AN64" s="149">
        <f t="shared" si="82"/>
        <v>0</v>
      </c>
      <c r="AO64" s="149">
        <f t="shared" si="82"/>
        <v>0</v>
      </c>
      <c r="AP64" s="149">
        <f t="shared" si="82"/>
        <v>0</v>
      </c>
      <c r="AQ64" s="149">
        <f t="shared" si="82"/>
        <v>0</v>
      </c>
      <c r="AR64" s="480"/>
      <c r="AS64" s="362"/>
      <c r="AT64" s="227"/>
      <c r="AU64" s="227"/>
      <c r="AV64" s="228"/>
    </row>
    <row r="65" spans="1:50" s="233" customFormat="1" ht="24">
      <c r="A65" s="472"/>
      <c r="B65" s="477"/>
      <c r="C65" s="478"/>
      <c r="D65" s="218" t="s">
        <v>459</v>
      </c>
      <c r="E65" s="149">
        <f>H65+K65+N65+Q65+T65+W65+Z65+AC65+AF65+AI65+AL65+AO65</f>
        <v>0</v>
      </c>
      <c r="F65" s="149">
        <f>I65+L65+O65+R65+U65+X65+AA65+AD65+AG65+AJ65+AM65+AP65</f>
        <v>0</v>
      </c>
      <c r="G65" s="149">
        <v>0</v>
      </c>
      <c r="H65" s="149">
        <v>0</v>
      </c>
      <c r="I65" s="149">
        <v>0</v>
      </c>
      <c r="J65" s="149">
        <v>0</v>
      </c>
      <c r="K65" s="239">
        <v>0</v>
      </c>
      <c r="L65" s="149">
        <v>0</v>
      </c>
      <c r="M65" s="149">
        <v>0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49">
        <v>0</v>
      </c>
      <c r="T65" s="224">
        <v>0</v>
      </c>
      <c r="U65" s="224">
        <v>0</v>
      </c>
      <c r="V65" s="149">
        <v>0</v>
      </c>
      <c r="W65" s="224">
        <v>0</v>
      </c>
      <c r="X65" s="224">
        <v>0</v>
      </c>
      <c r="Y65" s="224">
        <v>0</v>
      </c>
      <c r="Z65" s="224">
        <v>0</v>
      </c>
      <c r="AA65" s="224">
        <v>0</v>
      </c>
      <c r="AB65" s="224">
        <v>0</v>
      </c>
      <c r="AC65" s="224">
        <v>0</v>
      </c>
      <c r="AD65" s="224">
        <v>0</v>
      </c>
      <c r="AE65" s="224">
        <v>0</v>
      </c>
      <c r="AF65" s="224">
        <v>0</v>
      </c>
      <c r="AG65" s="224">
        <v>0</v>
      </c>
      <c r="AH65" s="149">
        <v>0</v>
      </c>
      <c r="AI65" s="149">
        <v>0</v>
      </c>
      <c r="AJ65" s="149">
        <v>0</v>
      </c>
      <c r="AK65" s="149">
        <v>0</v>
      </c>
      <c r="AL65" s="224">
        <v>0</v>
      </c>
      <c r="AM65" s="224">
        <v>0</v>
      </c>
      <c r="AN65" s="224">
        <v>0</v>
      </c>
      <c r="AO65" s="149">
        <v>0</v>
      </c>
      <c r="AP65" s="149">
        <v>0</v>
      </c>
      <c r="AQ65" s="149">
        <v>0</v>
      </c>
      <c r="AR65" s="481"/>
      <c r="AS65" s="363"/>
      <c r="AT65" s="227"/>
      <c r="AU65" s="227"/>
      <c r="AV65" s="228"/>
    </row>
    <row r="66" spans="1:50" s="233" customFormat="1" ht="85.5" customHeight="1">
      <c r="A66" s="222" t="s">
        <v>17</v>
      </c>
      <c r="B66" s="143" t="s">
        <v>470</v>
      </c>
      <c r="C66" s="255" t="s">
        <v>491</v>
      </c>
      <c r="D66" s="143" t="s">
        <v>442</v>
      </c>
      <c r="E66" s="149" t="s">
        <v>279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263" t="s">
        <v>507</v>
      </c>
      <c r="AS66" s="259"/>
      <c r="AT66" s="227"/>
      <c r="AU66" s="227"/>
      <c r="AV66" s="228"/>
    </row>
    <row r="67" spans="1:50" s="229" customFormat="1" ht="12.75" customHeight="1">
      <c r="A67" s="482" t="s">
        <v>469</v>
      </c>
      <c r="B67" s="483" t="s">
        <v>496</v>
      </c>
      <c r="C67" s="486" t="s">
        <v>492</v>
      </c>
      <c r="D67" s="258" t="s">
        <v>443</v>
      </c>
      <c r="E67" s="123">
        <f>E68+E69+E70+E71</f>
        <v>745.30000000000007</v>
      </c>
      <c r="F67" s="123">
        <f>F68+F69+F70+F71</f>
        <v>176.9</v>
      </c>
      <c r="G67" s="123">
        <f>F67/E67*100</f>
        <v>23.735408560311281</v>
      </c>
      <c r="H67" s="123">
        <f>H68+H69+H70+H71</f>
        <v>0</v>
      </c>
      <c r="I67" s="123">
        <f>I68+I69+I70+I71</f>
        <v>0</v>
      </c>
      <c r="J67" s="123">
        <v>0</v>
      </c>
      <c r="K67" s="123">
        <f>K68+K69+K70+K71</f>
        <v>40</v>
      </c>
      <c r="L67" s="123">
        <f>L68+L69+L70+L71</f>
        <v>40</v>
      </c>
      <c r="M67" s="123">
        <f>L67/K67*100</f>
        <v>100</v>
      </c>
      <c r="N67" s="123">
        <f>N68+N69+N70+N71</f>
        <v>136.9</v>
      </c>
      <c r="O67" s="123">
        <f>O68+O69+O70+O71</f>
        <v>136.9</v>
      </c>
      <c r="P67" s="123">
        <f>O67/N67*100</f>
        <v>100</v>
      </c>
      <c r="Q67" s="123">
        <f>Q68+Q69+Q70+Q71</f>
        <v>82.2</v>
      </c>
      <c r="R67" s="123">
        <f>R68+R69+R70+R71</f>
        <v>0</v>
      </c>
      <c r="S67" s="123">
        <f>R67/Q67*100</f>
        <v>0</v>
      </c>
      <c r="T67" s="123">
        <f>T68+T69+T70+T71</f>
        <v>82.2</v>
      </c>
      <c r="U67" s="123">
        <f>U68+U69+U70+U71</f>
        <v>0</v>
      </c>
      <c r="V67" s="123">
        <f>U67/T67*100</f>
        <v>0</v>
      </c>
      <c r="W67" s="123">
        <f>W68+W69+W70+W71</f>
        <v>82.2</v>
      </c>
      <c r="X67" s="123">
        <f>X68+X69+X70+X71</f>
        <v>0</v>
      </c>
      <c r="Y67" s="123">
        <f>X67/W67*100</f>
        <v>0</v>
      </c>
      <c r="Z67" s="123">
        <f>Z68+Z69+Z70+Z71</f>
        <v>0</v>
      </c>
      <c r="AA67" s="123">
        <f>AA68+AA69+AA70+AA71</f>
        <v>0</v>
      </c>
      <c r="AB67" s="123" t="e">
        <f>AA67/Z67*100</f>
        <v>#DIV/0!</v>
      </c>
      <c r="AC67" s="123">
        <f>AC68+AC69+AC70+AC71</f>
        <v>82.2</v>
      </c>
      <c r="AD67" s="123">
        <f>AD68+AD69+AD70+AD71</f>
        <v>0</v>
      </c>
      <c r="AE67" s="123">
        <f>AD67/AC67*100</f>
        <v>0</v>
      </c>
      <c r="AF67" s="123">
        <f>AF68+AF69+AF70+AF71</f>
        <v>82.2</v>
      </c>
      <c r="AG67" s="123">
        <f>AG68+AG69+AG70+AG71</f>
        <v>0</v>
      </c>
      <c r="AH67" s="123">
        <f>AG67/AF67*100</f>
        <v>0</v>
      </c>
      <c r="AI67" s="123">
        <f>AI68+AI69+AI70+AI71</f>
        <v>82.2</v>
      </c>
      <c r="AJ67" s="123">
        <f>AJ68+AJ69+AJ70+AJ71</f>
        <v>0</v>
      </c>
      <c r="AK67" s="123">
        <f>AJ67/AI67*100</f>
        <v>0</v>
      </c>
      <c r="AL67" s="123">
        <f>AL68+AL69+AL70+AL71</f>
        <v>75.2</v>
      </c>
      <c r="AM67" s="123">
        <f>AM68+AM69+AM70+AM71</f>
        <v>0</v>
      </c>
      <c r="AN67" s="123">
        <f>AM67/AL67*100</f>
        <v>0</v>
      </c>
      <c r="AO67" s="123">
        <f>AO68+AO69+AO70+AO71</f>
        <v>0</v>
      </c>
      <c r="AP67" s="132">
        <f>AP68+AP69+AP70</f>
        <v>0</v>
      </c>
      <c r="AQ67" s="149" t="e">
        <f>AP67/AO67*100</f>
        <v>#DIV/0!</v>
      </c>
      <c r="AR67" s="425" t="s">
        <v>506</v>
      </c>
      <c r="AS67" s="425"/>
      <c r="AT67" s="227"/>
      <c r="AU67" s="227"/>
      <c r="AV67" s="228"/>
      <c r="AX67" s="227"/>
    </row>
    <row r="68" spans="1:50" s="229" customFormat="1" ht="52.5" customHeight="1">
      <c r="A68" s="482"/>
      <c r="B68" s="484"/>
      <c r="C68" s="486"/>
      <c r="D68" s="219" t="s">
        <v>441</v>
      </c>
      <c r="E68" s="123">
        <f>H68+K68+N68+Q68+T68+W68+Z68+AC68+AF68+AI68+AL68+AO68</f>
        <v>0</v>
      </c>
      <c r="F68" s="123">
        <f>I68+L68+O68+R68+U68+X68+AA68+AD68+AG68+AJ68+AM68+AP68</f>
        <v>0</v>
      </c>
      <c r="G68" s="123">
        <v>0</v>
      </c>
      <c r="H68" s="123">
        <v>0</v>
      </c>
      <c r="I68" s="123">
        <v>0</v>
      </c>
      <c r="J68" s="123">
        <v>0</v>
      </c>
      <c r="K68" s="132">
        <v>0</v>
      </c>
      <c r="L68" s="123">
        <v>0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  <c r="R68" s="123">
        <v>0</v>
      </c>
      <c r="S68" s="123">
        <v>0</v>
      </c>
      <c r="T68" s="117">
        <v>0</v>
      </c>
      <c r="U68" s="117">
        <v>0</v>
      </c>
      <c r="V68" s="117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117">
        <v>0</v>
      </c>
      <c r="AD68" s="117">
        <v>0</v>
      </c>
      <c r="AE68" s="117">
        <v>0</v>
      </c>
      <c r="AF68" s="117">
        <v>0</v>
      </c>
      <c r="AG68" s="117">
        <v>0</v>
      </c>
      <c r="AH68" s="117">
        <v>0</v>
      </c>
      <c r="AI68" s="123">
        <v>0</v>
      </c>
      <c r="AJ68" s="123">
        <v>0</v>
      </c>
      <c r="AK68" s="123">
        <v>0</v>
      </c>
      <c r="AL68" s="117">
        <v>0</v>
      </c>
      <c r="AM68" s="117">
        <v>0</v>
      </c>
      <c r="AN68" s="117">
        <v>0</v>
      </c>
      <c r="AO68" s="123">
        <v>0</v>
      </c>
      <c r="AP68" s="123">
        <v>0</v>
      </c>
      <c r="AQ68" s="123">
        <v>0</v>
      </c>
      <c r="AR68" s="426"/>
      <c r="AS68" s="426"/>
      <c r="AT68" s="227"/>
      <c r="AU68" s="227"/>
      <c r="AV68" s="228"/>
      <c r="AX68" s="227"/>
    </row>
    <row r="69" spans="1:50" s="229" customFormat="1" ht="14.25" customHeight="1">
      <c r="A69" s="482"/>
      <c r="B69" s="484"/>
      <c r="C69" s="486"/>
      <c r="D69" s="219" t="s">
        <v>454</v>
      </c>
      <c r="E69" s="123">
        <f t="shared" ref="E69:F70" si="83">H69+K69+N69+Q69+T69+W69+Z69+AC69+AF69+AI69+AL69+AO69</f>
        <v>745.30000000000007</v>
      </c>
      <c r="F69" s="123">
        <f t="shared" si="83"/>
        <v>176.9</v>
      </c>
      <c r="G69" s="123">
        <f>F69/E69*100</f>
        <v>23.735408560311281</v>
      </c>
      <c r="H69" s="123">
        <v>0</v>
      </c>
      <c r="I69" s="123">
        <v>0</v>
      </c>
      <c r="J69" s="123">
        <v>0</v>
      </c>
      <c r="K69" s="123">
        <v>40</v>
      </c>
      <c r="L69" s="123">
        <v>40</v>
      </c>
      <c r="M69" s="123">
        <f>L69/K69*100</f>
        <v>100</v>
      </c>
      <c r="N69" s="123">
        <f>43.7+89.2+4</f>
        <v>136.9</v>
      </c>
      <c r="O69" s="123">
        <v>136.9</v>
      </c>
      <c r="P69" s="123">
        <f>O69/N69*100</f>
        <v>100</v>
      </c>
      <c r="Q69" s="123">
        <v>82.2</v>
      </c>
      <c r="R69" s="123">
        <v>0</v>
      </c>
      <c r="S69" s="123">
        <f>R69/Q69*100</f>
        <v>0</v>
      </c>
      <c r="T69" s="220">
        <v>82.2</v>
      </c>
      <c r="U69" s="220">
        <v>0</v>
      </c>
      <c r="V69" s="123">
        <f>U69/T69*100</f>
        <v>0</v>
      </c>
      <c r="W69" s="117">
        <v>82.2</v>
      </c>
      <c r="X69" s="117">
        <v>0</v>
      </c>
      <c r="Y69" s="117">
        <f t="shared" ref="Y69" si="84">X69/W69*100</f>
        <v>0</v>
      </c>
      <c r="Z69" s="123">
        <v>0</v>
      </c>
      <c r="AA69" s="123">
        <v>0</v>
      </c>
      <c r="AB69" s="123" t="e">
        <f>AA69/Z69*100</f>
        <v>#DIV/0!</v>
      </c>
      <c r="AC69" s="220">
        <v>82.2</v>
      </c>
      <c r="AD69" s="220">
        <v>0</v>
      </c>
      <c r="AE69" s="117">
        <f>AD69/AC69*100</f>
        <v>0</v>
      </c>
      <c r="AF69" s="220">
        <v>82.2</v>
      </c>
      <c r="AG69" s="221">
        <v>0</v>
      </c>
      <c r="AH69" s="117">
        <f>AG69/AF69*100</f>
        <v>0</v>
      </c>
      <c r="AI69" s="220">
        <v>82.2</v>
      </c>
      <c r="AJ69" s="220">
        <v>0</v>
      </c>
      <c r="AK69" s="220">
        <f>AJ69/AI69*100</f>
        <v>0</v>
      </c>
      <c r="AL69" s="220">
        <f>82.2-7</f>
        <v>75.2</v>
      </c>
      <c r="AM69" s="220">
        <v>0</v>
      </c>
      <c r="AN69" s="123">
        <f>AM69/AL69*100</f>
        <v>0</v>
      </c>
      <c r="AO69" s="220">
        <f>82.2-82.2</f>
        <v>0</v>
      </c>
      <c r="AP69" s="123">
        <v>0</v>
      </c>
      <c r="AQ69" s="123" t="e">
        <f>AP69/AO69*100</f>
        <v>#DIV/0!</v>
      </c>
      <c r="AR69" s="426"/>
      <c r="AS69" s="426"/>
      <c r="AT69" s="232"/>
      <c r="AU69" s="232"/>
      <c r="AV69" s="228"/>
      <c r="AX69" s="227"/>
    </row>
    <row r="70" spans="1:50" s="229" customFormat="1" ht="12.75" customHeight="1">
      <c r="A70" s="482"/>
      <c r="B70" s="484"/>
      <c r="C70" s="486"/>
      <c r="D70" s="143" t="s">
        <v>257</v>
      </c>
      <c r="E70" s="123">
        <f t="shared" si="83"/>
        <v>0</v>
      </c>
      <c r="F70" s="123">
        <f t="shared" si="83"/>
        <v>0</v>
      </c>
      <c r="G70" s="123">
        <v>0</v>
      </c>
      <c r="H70" s="123">
        <v>0</v>
      </c>
      <c r="I70" s="123">
        <v>0</v>
      </c>
      <c r="J70" s="123">
        <v>0</v>
      </c>
      <c r="K70" s="132">
        <v>0</v>
      </c>
      <c r="L70" s="123">
        <v>0</v>
      </c>
      <c r="M70" s="123">
        <v>0</v>
      </c>
      <c r="N70" s="123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17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23">
        <v>0</v>
      </c>
      <c r="AJ70" s="123">
        <v>0</v>
      </c>
      <c r="AK70" s="123">
        <v>0</v>
      </c>
      <c r="AL70" s="117">
        <v>0</v>
      </c>
      <c r="AM70" s="117">
        <v>0</v>
      </c>
      <c r="AN70" s="117">
        <v>0</v>
      </c>
      <c r="AO70" s="123">
        <v>0</v>
      </c>
      <c r="AP70" s="123">
        <v>0</v>
      </c>
      <c r="AQ70" s="123">
        <v>0</v>
      </c>
      <c r="AR70" s="426"/>
      <c r="AS70" s="426"/>
      <c r="AT70" s="227"/>
      <c r="AU70" s="227"/>
      <c r="AV70" s="228"/>
      <c r="AX70" s="227"/>
    </row>
    <row r="71" spans="1:50" s="229" customFormat="1" ht="24">
      <c r="A71" s="482"/>
      <c r="B71" s="485"/>
      <c r="C71" s="486"/>
      <c r="D71" s="143" t="s">
        <v>459</v>
      </c>
      <c r="E71" s="123">
        <f>H71+K71+N71+Q71+T71+W71+Z71+AC71+AF71+AI71+AL71+AO71</f>
        <v>0</v>
      </c>
      <c r="F71" s="123">
        <f>I71+L71+O71+R71+U71+X71+AA71+AD71+AG71+AJ71+AM71+AP71</f>
        <v>0</v>
      </c>
      <c r="G71" s="123">
        <v>0</v>
      </c>
      <c r="H71" s="123">
        <v>0</v>
      </c>
      <c r="I71" s="123">
        <v>0</v>
      </c>
      <c r="J71" s="123">
        <v>0</v>
      </c>
      <c r="K71" s="132">
        <v>0</v>
      </c>
      <c r="L71" s="123">
        <v>0</v>
      </c>
      <c r="M71" s="123">
        <v>0</v>
      </c>
      <c r="N71" s="123">
        <v>0</v>
      </c>
      <c r="O71" s="123">
        <v>0</v>
      </c>
      <c r="P71" s="123">
        <v>0</v>
      </c>
      <c r="Q71" s="123">
        <v>0</v>
      </c>
      <c r="R71" s="123">
        <v>0</v>
      </c>
      <c r="S71" s="123">
        <v>0</v>
      </c>
      <c r="T71" s="117">
        <v>0</v>
      </c>
      <c r="U71" s="117">
        <v>0</v>
      </c>
      <c r="V71" s="123">
        <v>0</v>
      </c>
      <c r="W71" s="117">
        <v>0</v>
      </c>
      <c r="X71" s="117">
        <v>0</v>
      </c>
      <c r="Y71" s="117">
        <v>0</v>
      </c>
      <c r="Z71" s="117">
        <v>0</v>
      </c>
      <c r="AA71" s="117">
        <v>0</v>
      </c>
      <c r="AB71" s="117">
        <v>0</v>
      </c>
      <c r="AC71" s="117">
        <v>0</v>
      </c>
      <c r="AD71" s="117">
        <v>0</v>
      </c>
      <c r="AE71" s="117">
        <v>0</v>
      </c>
      <c r="AF71" s="117">
        <v>0</v>
      </c>
      <c r="AG71" s="117">
        <v>0</v>
      </c>
      <c r="AH71" s="123">
        <v>0</v>
      </c>
      <c r="AI71" s="123">
        <v>0</v>
      </c>
      <c r="AJ71" s="123">
        <v>0</v>
      </c>
      <c r="AK71" s="123">
        <v>0</v>
      </c>
      <c r="AL71" s="117">
        <v>0</v>
      </c>
      <c r="AM71" s="117">
        <v>0</v>
      </c>
      <c r="AN71" s="117">
        <v>0</v>
      </c>
      <c r="AO71" s="123">
        <v>0</v>
      </c>
      <c r="AP71" s="123">
        <v>0</v>
      </c>
      <c r="AQ71" s="123">
        <v>0</v>
      </c>
      <c r="AR71" s="427"/>
      <c r="AS71" s="427"/>
      <c r="AT71" s="227"/>
      <c r="AU71" s="227"/>
      <c r="AV71" s="228"/>
    </row>
    <row r="72" spans="1:50" s="233" customFormat="1" ht="12.75" customHeight="1">
      <c r="A72" s="459" t="s">
        <v>444</v>
      </c>
      <c r="B72" s="459"/>
      <c r="C72" s="459"/>
      <c r="D72" s="218" t="s">
        <v>443</v>
      </c>
      <c r="E72" s="149">
        <f>E73+E74+E76</f>
        <v>427518.99999999994</v>
      </c>
      <c r="F72" s="149">
        <f>F73+F74+F76</f>
        <v>88203.5</v>
      </c>
      <c r="G72" s="149">
        <f>F72/E72*100</f>
        <v>20.631480706120666</v>
      </c>
      <c r="H72" s="149">
        <f t="shared" ref="H72:I72" si="85">H73+H74+H76</f>
        <v>6558.8999999999987</v>
      </c>
      <c r="I72" s="149">
        <f t="shared" si="85"/>
        <v>6503.1999999999989</v>
      </c>
      <c r="J72" s="149">
        <f>I72/H72*100</f>
        <v>99.150772233148857</v>
      </c>
      <c r="K72" s="149">
        <f t="shared" ref="K72:L72" si="86">K73+K74+K76</f>
        <v>48179.100000000006</v>
      </c>
      <c r="L72" s="149">
        <f t="shared" si="86"/>
        <v>47124.600000000006</v>
      </c>
      <c r="M72" s="149">
        <f>L72/K72*100</f>
        <v>97.811291618149781</v>
      </c>
      <c r="N72" s="149">
        <f t="shared" ref="N72:O72" si="87">N73+N74+N76</f>
        <v>37593.19999999999</v>
      </c>
      <c r="O72" s="149">
        <f t="shared" si="87"/>
        <v>34575.700000000004</v>
      </c>
      <c r="P72" s="149">
        <f>O72/N72*100</f>
        <v>91.97328240213659</v>
      </c>
      <c r="Q72" s="149">
        <f t="shared" ref="Q72:R72" si="88">Q73+Q74+Q76</f>
        <v>33649</v>
      </c>
      <c r="R72" s="149">
        <f t="shared" si="88"/>
        <v>0</v>
      </c>
      <c r="S72" s="149">
        <f>R72/Q72*100</f>
        <v>0</v>
      </c>
      <c r="T72" s="149">
        <f t="shared" ref="T72:U72" si="89">T73+T74+T76</f>
        <v>32335.7</v>
      </c>
      <c r="U72" s="149">
        <f t="shared" si="89"/>
        <v>0</v>
      </c>
      <c r="V72" s="149">
        <f>U72/T72*100</f>
        <v>0</v>
      </c>
      <c r="W72" s="149">
        <f t="shared" ref="W72:X72" si="90">W73+W74+W76</f>
        <v>43707.5</v>
      </c>
      <c r="X72" s="149">
        <f t="shared" si="90"/>
        <v>0</v>
      </c>
      <c r="Y72" s="149">
        <f>X72/W72*100</f>
        <v>0</v>
      </c>
      <c r="Z72" s="149">
        <f t="shared" ref="Z72:AA72" si="91">Z73+Z74+Z76</f>
        <v>36606.299999999996</v>
      </c>
      <c r="AA72" s="149">
        <f t="shared" si="91"/>
        <v>0</v>
      </c>
      <c r="AB72" s="149">
        <f>AA72/Z72*100</f>
        <v>0</v>
      </c>
      <c r="AC72" s="149">
        <f t="shared" ref="AC72:AD72" si="92">AC73+AC74+AC76</f>
        <v>32508.7</v>
      </c>
      <c r="AD72" s="149">
        <f t="shared" si="92"/>
        <v>0</v>
      </c>
      <c r="AE72" s="149">
        <f>AD72/AC72*100</f>
        <v>0</v>
      </c>
      <c r="AF72" s="149">
        <f t="shared" ref="AF72:AG72" si="93">AF73+AF74+AF76</f>
        <v>30259.800000000003</v>
      </c>
      <c r="AG72" s="149">
        <f t="shared" si="93"/>
        <v>0</v>
      </c>
      <c r="AH72" s="149">
        <f>AG72/AF72*100</f>
        <v>0</v>
      </c>
      <c r="AI72" s="149">
        <f t="shared" ref="AI72:AJ72" si="94">AI73+AI74+AI76</f>
        <v>31917.400000000005</v>
      </c>
      <c r="AJ72" s="149">
        <f t="shared" si="94"/>
        <v>0</v>
      </c>
      <c r="AK72" s="149">
        <f>AJ72/AI72*100</f>
        <v>0</v>
      </c>
      <c r="AL72" s="149">
        <f t="shared" ref="AL72:AM72" si="95">AL73+AL74+AL76</f>
        <v>37798.899999999994</v>
      </c>
      <c r="AM72" s="149">
        <f t="shared" si="95"/>
        <v>0</v>
      </c>
      <c r="AN72" s="149">
        <f>AM72/AL72*100</f>
        <v>0</v>
      </c>
      <c r="AO72" s="149">
        <f t="shared" ref="AO72:AP72" si="96">AO73+AO74+AO76</f>
        <v>56404.5</v>
      </c>
      <c r="AP72" s="149">
        <f t="shared" si="96"/>
        <v>0</v>
      </c>
      <c r="AQ72" s="225">
        <f>AP72/AO72*100</f>
        <v>0</v>
      </c>
      <c r="AR72" s="457"/>
      <c r="AS72" s="458"/>
      <c r="AT72" s="227"/>
      <c r="AU72" s="227"/>
      <c r="AV72" s="228"/>
    </row>
    <row r="73" spans="1:50" s="233" customFormat="1" ht="48">
      <c r="A73" s="459"/>
      <c r="B73" s="459"/>
      <c r="C73" s="459"/>
      <c r="D73" s="217" t="s">
        <v>441</v>
      </c>
      <c r="E73" s="149">
        <f>E12+E51+E62</f>
        <v>12435.400000000001</v>
      </c>
      <c r="F73" s="149">
        <f>F12+F51+F62</f>
        <v>1120.5</v>
      </c>
      <c r="G73" s="149">
        <f>F73/E73*100</f>
        <v>9.010566608231338</v>
      </c>
      <c r="H73" s="149">
        <f>H12+H51+H62</f>
        <v>75.600000000000023</v>
      </c>
      <c r="I73" s="149">
        <f>I12+I51+I62</f>
        <v>75.599999999999994</v>
      </c>
      <c r="J73" s="149">
        <f t="shared" ref="J73:J74" si="97">I73/H73*100</f>
        <v>99.999999999999972</v>
      </c>
      <c r="K73" s="149">
        <f>K12+K51+K62</f>
        <v>571.79999999999995</v>
      </c>
      <c r="L73" s="149">
        <f>L12+L51+L62</f>
        <v>537.9</v>
      </c>
      <c r="M73" s="149">
        <f t="shared" ref="M73:M76" si="98">L73/K73*100</f>
        <v>94.071353620146908</v>
      </c>
      <c r="N73" s="149">
        <f>N12+N51+N62</f>
        <v>729.2</v>
      </c>
      <c r="O73" s="149">
        <f>O12+O51+O62</f>
        <v>507</v>
      </c>
      <c r="P73" s="149">
        <f t="shared" ref="P73:P76" si="99">O73/N73*100</f>
        <v>69.528250137136581</v>
      </c>
      <c r="Q73" s="149">
        <f>Q12+Q51+Q62</f>
        <v>1032.5999999999999</v>
      </c>
      <c r="R73" s="149">
        <f>R12+R51+R62</f>
        <v>0</v>
      </c>
      <c r="S73" s="149">
        <f t="shared" ref="S73:S76" si="100">R73/Q73*100</f>
        <v>0</v>
      </c>
      <c r="T73" s="149">
        <f>T12+T51+T62</f>
        <v>1050.9000000000001</v>
      </c>
      <c r="U73" s="149">
        <f>U12+U51+U62</f>
        <v>0</v>
      </c>
      <c r="V73" s="149">
        <f t="shared" ref="V73:V76" si="101">U73/T73*100</f>
        <v>0</v>
      </c>
      <c r="W73" s="149">
        <f>W12+W51+W62</f>
        <v>1746.1</v>
      </c>
      <c r="X73" s="149">
        <f>X12+X51+X62</f>
        <v>0</v>
      </c>
      <c r="Y73" s="149">
        <f t="shared" ref="Y73:Y76" si="102">X73/W73*100</f>
        <v>0</v>
      </c>
      <c r="Z73" s="149">
        <f t="shared" ref="Z73:AD74" si="103">Z12+Z51+Z62</f>
        <v>1661.6999999999998</v>
      </c>
      <c r="AA73" s="149">
        <f t="shared" si="103"/>
        <v>0</v>
      </c>
      <c r="AB73" s="149">
        <f t="shared" ref="AB73" si="104">AA73/Z73*100</f>
        <v>0</v>
      </c>
      <c r="AC73" s="149">
        <f t="shared" si="103"/>
        <v>1777.5</v>
      </c>
      <c r="AD73" s="149">
        <f t="shared" si="103"/>
        <v>0</v>
      </c>
      <c r="AE73" s="149">
        <f t="shared" ref="AE73:AE74" si="105">AD73/AC73*100</f>
        <v>0</v>
      </c>
      <c r="AF73" s="149">
        <f>AF12+AF51+AF62</f>
        <v>1183.8</v>
      </c>
      <c r="AG73" s="149">
        <f>AG12+AG51+AG62</f>
        <v>0</v>
      </c>
      <c r="AH73" s="149">
        <f t="shared" ref="AH73" si="106">AG73/AF73*100</f>
        <v>0</v>
      </c>
      <c r="AI73" s="149">
        <f t="shared" ref="AI73:AP74" si="107">AI12+AI51+AI62</f>
        <v>834.69999999999993</v>
      </c>
      <c r="AJ73" s="149">
        <f t="shared" si="107"/>
        <v>0</v>
      </c>
      <c r="AK73" s="149">
        <f t="shared" ref="AK73" si="108">AJ73/AI73*100</f>
        <v>0</v>
      </c>
      <c r="AL73" s="149">
        <f t="shared" si="107"/>
        <v>971.59999999999991</v>
      </c>
      <c r="AM73" s="149">
        <f t="shared" si="107"/>
        <v>0</v>
      </c>
      <c r="AN73" s="149">
        <f t="shared" ref="AN73" si="109">AM73/AL73*100</f>
        <v>0</v>
      </c>
      <c r="AO73" s="149">
        <f t="shared" si="107"/>
        <v>799.9</v>
      </c>
      <c r="AP73" s="149">
        <f t="shared" si="107"/>
        <v>0</v>
      </c>
      <c r="AQ73" s="149">
        <f t="shared" ref="AQ73:AQ74" si="110">AP73/AO73*100</f>
        <v>0</v>
      </c>
      <c r="AR73" s="457"/>
      <c r="AS73" s="458"/>
      <c r="AT73" s="227"/>
      <c r="AU73" s="227"/>
      <c r="AV73" s="228"/>
    </row>
    <row r="74" spans="1:50" s="233" customFormat="1" ht="12.75" customHeight="1">
      <c r="A74" s="459"/>
      <c r="B74" s="459"/>
      <c r="C74" s="459"/>
      <c r="D74" s="217" t="s">
        <v>454</v>
      </c>
      <c r="E74" s="149">
        <f>E13+E52+E63</f>
        <v>409673.49999999994</v>
      </c>
      <c r="F74" s="149">
        <f>F13+F52+F63</f>
        <v>86321.7</v>
      </c>
      <c r="G74" s="149">
        <f>F74/E74*100</f>
        <v>21.070852764457552</v>
      </c>
      <c r="H74" s="149">
        <f>H13+H52+H63</f>
        <v>6483.2999999999984</v>
      </c>
      <c r="I74" s="149">
        <f>I13+I52+I63</f>
        <v>6427.5999999999985</v>
      </c>
      <c r="J74" s="149">
        <f t="shared" si="97"/>
        <v>99.14086961886693</v>
      </c>
      <c r="K74" s="149">
        <f>K13+K52+K63</f>
        <v>47492.100000000006</v>
      </c>
      <c r="L74" s="149">
        <f>L13+L52+L63</f>
        <v>46461.500000000007</v>
      </c>
      <c r="M74" s="149">
        <f t="shared" si="98"/>
        <v>97.829954876705813</v>
      </c>
      <c r="N74" s="149">
        <f>N13+N52+N63</f>
        <v>36194.799999999996</v>
      </c>
      <c r="O74" s="149">
        <f>O13+O52+O63</f>
        <v>33432.600000000006</v>
      </c>
      <c r="P74" s="149">
        <f t="shared" si="99"/>
        <v>92.368517024545</v>
      </c>
      <c r="Q74" s="149">
        <f>Q13+Q52+Q63</f>
        <v>32163.3</v>
      </c>
      <c r="R74" s="149">
        <f>R13+R52+R63</f>
        <v>0</v>
      </c>
      <c r="S74" s="149">
        <f t="shared" si="100"/>
        <v>0</v>
      </c>
      <c r="T74" s="149">
        <f>T13+T52+T63</f>
        <v>30561.7</v>
      </c>
      <c r="U74" s="149">
        <f>U13+U52+U63</f>
        <v>0</v>
      </c>
      <c r="V74" s="149">
        <f t="shared" si="101"/>
        <v>0</v>
      </c>
      <c r="W74" s="149">
        <f>W13+W52+W63</f>
        <v>41456.9</v>
      </c>
      <c r="X74" s="149">
        <f>X13+X52+X63</f>
        <v>0</v>
      </c>
      <c r="Y74" s="149">
        <f t="shared" si="102"/>
        <v>0</v>
      </c>
      <c r="Z74" s="149">
        <f t="shared" si="103"/>
        <v>34389</v>
      </c>
      <c r="AA74" s="149">
        <f t="shared" si="103"/>
        <v>0</v>
      </c>
      <c r="AB74" s="149">
        <f>AA74/Z74*100</f>
        <v>0</v>
      </c>
      <c r="AC74" s="149">
        <f t="shared" si="103"/>
        <v>29979.3</v>
      </c>
      <c r="AD74" s="149">
        <f t="shared" si="103"/>
        <v>0</v>
      </c>
      <c r="AE74" s="149">
        <f t="shared" si="105"/>
        <v>0</v>
      </c>
      <c r="AF74" s="149">
        <f>AF13+AF52+AF63</f>
        <v>28795.200000000004</v>
      </c>
      <c r="AG74" s="149">
        <f>AG13+AG52+AG63</f>
        <v>0</v>
      </c>
      <c r="AH74" s="149">
        <f>AG74/AF74*100</f>
        <v>0</v>
      </c>
      <c r="AI74" s="149">
        <f t="shared" si="107"/>
        <v>30629.400000000005</v>
      </c>
      <c r="AJ74" s="149">
        <f t="shared" si="107"/>
        <v>0</v>
      </c>
      <c r="AK74" s="149">
        <f>AJ74/AI74*100</f>
        <v>0</v>
      </c>
      <c r="AL74" s="149">
        <f t="shared" si="107"/>
        <v>36477.599999999999</v>
      </c>
      <c r="AM74" s="149">
        <f t="shared" si="107"/>
        <v>0</v>
      </c>
      <c r="AN74" s="149">
        <f>AM74/AL74*100</f>
        <v>0</v>
      </c>
      <c r="AO74" s="149">
        <f t="shared" si="107"/>
        <v>55050.9</v>
      </c>
      <c r="AP74" s="149">
        <f t="shared" si="107"/>
        <v>0</v>
      </c>
      <c r="AQ74" s="225">
        <f t="shared" si="110"/>
        <v>0</v>
      </c>
      <c r="AR74" s="457"/>
      <c r="AS74" s="458"/>
      <c r="AT74" s="227"/>
      <c r="AU74" s="227"/>
      <c r="AV74" s="228"/>
    </row>
    <row r="75" spans="1:50" s="233" customFormat="1" ht="48">
      <c r="A75" s="459"/>
      <c r="B75" s="459"/>
      <c r="C75" s="459"/>
      <c r="D75" s="248" t="s">
        <v>495</v>
      </c>
      <c r="E75" s="249">
        <f>H75+K75+N75+Q75+T75+W75+Z75+AC75+AF75+AI75+AL75+AO75</f>
        <v>66.2</v>
      </c>
      <c r="F75" s="249">
        <f>I75+L75+O75+R75+U75+X75+AA75+AD75+AG75+AJ75+AM75+AP75</f>
        <v>0</v>
      </c>
      <c r="G75" s="249">
        <f>F75/E75*100</f>
        <v>0</v>
      </c>
      <c r="H75" s="249">
        <f>H14</f>
        <v>0</v>
      </c>
      <c r="I75" s="249">
        <f>I14</f>
        <v>0</v>
      </c>
      <c r="J75" s="249">
        <v>0</v>
      </c>
      <c r="K75" s="249">
        <f>K14</f>
        <v>0</v>
      </c>
      <c r="L75" s="249">
        <f>L14</f>
        <v>0</v>
      </c>
      <c r="M75" s="249">
        <v>0</v>
      </c>
      <c r="N75" s="249">
        <f>N14</f>
        <v>66.2</v>
      </c>
      <c r="O75" s="249">
        <f>O14</f>
        <v>0</v>
      </c>
      <c r="P75" s="249">
        <f>O75/N75*100</f>
        <v>0</v>
      </c>
      <c r="Q75" s="249">
        <f t="shared" ref="Q75:AP75" si="111">Q14</f>
        <v>0</v>
      </c>
      <c r="R75" s="249">
        <f t="shared" si="111"/>
        <v>0</v>
      </c>
      <c r="S75" s="249">
        <v>0</v>
      </c>
      <c r="T75" s="249">
        <f t="shared" si="111"/>
        <v>0</v>
      </c>
      <c r="U75" s="249">
        <f t="shared" si="111"/>
        <v>0</v>
      </c>
      <c r="V75" s="249">
        <v>0</v>
      </c>
      <c r="W75" s="249">
        <f t="shared" si="111"/>
        <v>0</v>
      </c>
      <c r="X75" s="249">
        <f t="shared" si="111"/>
        <v>0</v>
      </c>
      <c r="Y75" s="249">
        <v>0</v>
      </c>
      <c r="Z75" s="249">
        <f t="shared" si="111"/>
        <v>0</v>
      </c>
      <c r="AA75" s="249">
        <f t="shared" si="111"/>
        <v>0</v>
      </c>
      <c r="AB75" s="249">
        <f t="shared" si="111"/>
        <v>0</v>
      </c>
      <c r="AC75" s="249">
        <f t="shared" si="111"/>
        <v>0</v>
      </c>
      <c r="AD75" s="249">
        <f t="shared" si="111"/>
        <v>0</v>
      </c>
      <c r="AE75" s="249">
        <f t="shared" si="111"/>
        <v>0</v>
      </c>
      <c r="AF75" s="249">
        <f t="shared" si="111"/>
        <v>0</v>
      </c>
      <c r="AG75" s="249">
        <f t="shared" si="111"/>
        <v>0</v>
      </c>
      <c r="AH75" s="249">
        <f t="shared" si="111"/>
        <v>0</v>
      </c>
      <c r="AI75" s="249">
        <f t="shared" si="111"/>
        <v>0</v>
      </c>
      <c r="AJ75" s="249">
        <f t="shared" si="111"/>
        <v>0</v>
      </c>
      <c r="AK75" s="249">
        <v>0</v>
      </c>
      <c r="AL75" s="249">
        <f t="shared" si="111"/>
        <v>0</v>
      </c>
      <c r="AM75" s="249">
        <f t="shared" si="111"/>
        <v>0</v>
      </c>
      <c r="AN75" s="249">
        <f t="shared" si="111"/>
        <v>0</v>
      </c>
      <c r="AO75" s="249">
        <f t="shared" si="111"/>
        <v>0</v>
      </c>
      <c r="AP75" s="249">
        <f t="shared" si="111"/>
        <v>0</v>
      </c>
      <c r="AQ75" s="225">
        <v>0</v>
      </c>
      <c r="AR75" s="457"/>
      <c r="AS75" s="458"/>
      <c r="AT75" s="227"/>
      <c r="AU75" s="227"/>
      <c r="AV75" s="228"/>
    </row>
    <row r="76" spans="1:50" s="233" customFormat="1" ht="24" customHeight="1">
      <c r="A76" s="459"/>
      <c r="B76" s="459"/>
      <c r="C76" s="459"/>
      <c r="D76" s="218" t="s">
        <v>257</v>
      </c>
      <c r="E76" s="149">
        <f>E15+E53+E64</f>
        <v>5410.0999999999995</v>
      </c>
      <c r="F76" s="149">
        <f>F15+F53+F64</f>
        <v>761.30000000000007</v>
      </c>
      <c r="G76" s="149">
        <f>F76/E76*100</f>
        <v>14.071828616846272</v>
      </c>
      <c r="H76" s="149">
        <f>H15+H53+H64</f>
        <v>0</v>
      </c>
      <c r="I76" s="149">
        <f>I15+I53+I64</f>
        <v>0</v>
      </c>
      <c r="J76" s="149">
        <v>0</v>
      </c>
      <c r="K76" s="149">
        <f>K15+K53+K64</f>
        <v>115.2</v>
      </c>
      <c r="L76" s="149">
        <f>L15+L53+L64</f>
        <v>125.2</v>
      </c>
      <c r="M76" s="149">
        <f t="shared" si="98"/>
        <v>108.68055555555556</v>
      </c>
      <c r="N76" s="149">
        <f>N15+N53+N64</f>
        <v>669.2</v>
      </c>
      <c r="O76" s="149">
        <f>O15+O53+O64</f>
        <v>636.1</v>
      </c>
      <c r="P76" s="149">
        <f t="shared" si="99"/>
        <v>95.053795576808128</v>
      </c>
      <c r="Q76" s="149">
        <f>Q15+Q53+Q64</f>
        <v>453.1</v>
      </c>
      <c r="R76" s="149">
        <f>R15+R53+R64</f>
        <v>0</v>
      </c>
      <c r="S76" s="149">
        <f t="shared" si="100"/>
        <v>0</v>
      </c>
      <c r="T76" s="149">
        <f>T15+T53+T64</f>
        <v>723.1</v>
      </c>
      <c r="U76" s="149">
        <f>U15+U53+U64</f>
        <v>0</v>
      </c>
      <c r="V76" s="149">
        <f t="shared" si="101"/>
        <v>0</v>
      </c>
      <c r="W76" s="149">
        <f>W15+W53+W64</f>
        <v>504.5</v>
      </c>
      <c r="X76" s="149">
        <f>X15+X53+X64</f>
        <v>0</v>
      </c>
      <c r="Y76" s="149">
        <f t="shared" si="102"/>
        <v>0</v>
      </c>
      <c r="Z76" s="149">
        <f>Z15+Z53+Z64</f>
        <v>555.6</v>
      </c>
      <c r="AA76" s="149">
        <f>AA15+AA53+AA64</f>
        <v>0</v>
      </c>
      <c r="AB76" s="149">
        <f>AA76/Z76*100</f>
        <v>0</v>
      </c>
      <c r="AC76" s="149">
        <f>AC15+AC53+AC64</f>
        <v>751.90000000000009</v>
      </c>
      <c r="AD76" s="149">
        <f>AD15+AD53+AD64</f>
        <v>0</v>
      </c>
      <c r="AE76" s="149">
        <f>AD76/AC76*100</f>
        <v>0</v>
      </c>
      <c r="AF76" s="149">
        <f>AF15+AF53+AF64</f>
        <v>280.8</v>
      </c>
      <c r="AG76" s="149">
        <f>AG15+AG53+AG64</f>
        <v>0</v>
      </c>
      <c r="AH76" s="149">
        <f>AG76/AF76*100</f>
        <v>0</v>
      </c>
      <c r="AI76" s="149">
        <f>AI15+AI53+AI64</f>
        <v>453.3</v>
      </c>
      <c r="AJ76" s="149">
        <f>AJ15+AJ53+AJ64</f>
        <v>0</v>
      </c>
      <c r="AK76" s="149">
        <f>AJ76/AI76*100</f>
        <v>0</v>
      </c>
      <c r="AL76" s="149">
        <f>AL15+AL53+AL64</f>
        <v>349.7</v>
      </c>
      <c r="AM76" s="149">
        <f>AM15+AM53+AM64</f>
        <v>0</v>
      </c>
      <c r="AN76" s="149">
        <f>AM76/AL76*100</f>
        <v>0</v>
      </c>
      <c r="AO76" s="149">
        <f>AO15+AO53+AO64</f>
        <v>553.70000000000005</v>
      </c>
      <c r="AP76" s="149">
        <f>AP15+AP53+AP64</f>
        <v>0</v>
      </c>
      <c r="AQ76" s="225">
        <f>AP76/AO76*100</f>
        <v>0</v>
      </c>
      <c r="AR76" s="457"/>
      <c r="AS76" s="458"/>
      <c r="AT76" s="227"/>
      <c r="AU76" s="227"/>
      <c r="AV76" s="228"/>
    </row>
    <row r="77" spans="1:50" s="229" customFormat="1" ht="24">
      <c r="A77" s="459"/>
      <c r="B77" s="459"/>
      <c r="C77" s="459"/>
      <c r="D77" s="218" t="s">
        <v>459</v>
      </c>
      <c r="E77" s="149">
        <f>H77+K77+N77+Q77+T77+W77+Z77+AC77+AF77+AI77+AL77+AO77</f>
        <v>0</v>
      </c>
      <c r="F77" s="149">
        <f>I77+L77+O77+R77+U77+X77+AA77+AD77+AG77+AJ77+AM77+AP77</f>
        <v>0</v>
      </c>
      <c r="G77" s="149">
        <v>0</v>
      </c>
      <c r="H77" s="149">
        <v>0</v>
      </c>
      <c r="I77" s="149">
        <v>0</v>
      </c>
      <c r="J77" s="149">
        <v>0</v>
      </c>
      <c r="K77" s="239">
        <v>0</v>
      </c>
      <c r="L77" s="149">
        <v>0</v>
      </c>
      <c r="M77" s="149">
        <v>0</v>
      </c>
      <c r="N77" s="149">
        <v>0</v>
      </c>
      <c r="O77" s="149">
        <v>0</v>
      </c>
      <c r="P77" s="149">
        <v>0</v>
      </c>
      <c r="Q77" s="149">
        <v>0</v>
      </c>
      <c r="R77" s="149">
        <v>0</v>
      </c>
      <c r="S77" s="149">
        <v>0</v>
      </c>
      <c r="T77" s="224">
        <v>0</v>
      </c>
      <c r="U77" s="224">
        <v>0</v>
      </c>
      <c r="V77" s="149">
        <v>0</v>
      </c>
      <c r="W77" s="224">
        <v>0</v>
      </c>
      <c r="X77" s="224">
        <v>0</v>
      </c>
      <c r="Y77" s="224">
        <v>0</v>
      </c>
      <c r="Z77" s="224">
        <v>0</v>
      </c>
      <c r="AA77" s="224">
        <v>0</v>
      </c>
      <c r="AB77" s="224">
        <v>0</v>
      </c>
      <c r="AC77" s="224">
        <v>0</v>
      </c>
      <c r="AD77" s="224">
        <v>0</v>
      </c>
      <c r="AE77" s="224">
        <v>0</v>
      </c>
      <c r="AF77" s="224">
        <v>0</v>
      </c>
      <c r="AG77" s="224">
        <v>0</v>
      </c>
      <c r="AH77" s="149">
        <v>0</v>
      </c>
      <c r="AI77" s="149">
        <v>0</v>
      </c>
      <c r="AJ77" s="149">
        <v>0</v>
      </c>
      <c r="AK77" s="149">
        <v>0</v>
      </c>
      <c r="AL77" s="224">
        <v>0</v>
      </c>
      <c r="AM77" s="224">
        <v>0</v>
      </c>
      <c r="AN77" s="224">
        <v>0</v>
      </c>
      <c r="AO77" s="149">
        <v>0</v>
      </c>
      <c r="AP77" s="149">
        <v>0</v>
      </c>
      <c r="AQ77" s="149">
        <v>0</v>
      </c>
      <c r="AR77" s="457"/>
      <c r="AS77" s="458"/>
      <c r="AT77" s="227"/>
      <c r="AU77" s="227"/>
      <c r="AV77" s="228"/>
    </row>
    <row r="78" spans="1:50" s="233" customFormat="1" ht="12.75" customHeight="1">
      <c r="A78" s="459" t="s">
        <v>471</v>
      </c>
      <c r="B78" s="459"/>
      <c r="C78" s="459"/>
      <c r="D78" s="218" t="s">
        <v>443</v>
      </c>
      <c r="E78" s="149">
        <f>E79+E80+E81</f>
        <v>164.3</v>
      </c>
      <c r="F78" s="149">
        <f>F79+F80+F81</f>
        <v>0</v>
      </c>
      <c r="G78" s="149">
        <v>0</v>
      </c>
      <c r="H78" s="149">
        <f t="shared" ref="H78:I78" si="112">H79+H80+H81</f>
        <v>0</v>
      </c>
      <c r="I78" s="149">
        <f t="shared" si="112"/>
        <v>0</v>
      </c>
      <c r="J78" s="149">
        <v>0</v>
      </c>
      <c r="K78" s="149">
        <f t="shared" ref="K78:L78" si="113">K79+K80+K81</f>
        <v>0</v>
      </c>
      <c r="L78" s="149">
        <f t="shared" si="113"/>
        <v>0</v>
      </c>
      <c r="M78" s="149">
        <v>0</v>
      </c>
      <c r="N78" s="149">
        <f t="shared" ref="N78:O78" si="114">N79+N80+N81</f>
        <v>0</v>
      </c>
      <c r="O78" s="149">
        <f t="shared" si="114"/>
        <v>0</v>
      </c>
      <c r="P78" s="149">
        <v>0</v>
      </c>
      <c r="Q78" s="149">
        <f t="shared" ref="Q78:R78" si="115">Q79+Q80+Q81</f>
        <v>0</v>
      </c>
      <c r="R78" s="149">
        <f t="shared" si="115"/>
        <v>0</v>
      </c>
      <c r="S78" s="149">
        <v>0</v>
      </c>
      <c r="T78" s="149">
        <f t="shared" ref="T78:U78" si="116">T79+T80+T81</f>
        <v>164.3</v>
      </c>
      <c r="U78" s="149">
        <f t="shared" si="116"/>
        <v>0</v>
      </c>
      <c r="V78" s="149">
        <v>0</v>
      </c>
      <c r="W78" s="149">
        <f t="shared" ref="W78:X78" si="117">W79+W80+W81</f>
        <v>0</v>
      </c>
      <c r="X78" s="149">
        <f t="shared" si="117"/>
        <v>0</v>
      </c>
      <c r="Y78" s="149">
        <v>0</v>
      </c>
      <c r="Z78" s="149">
        <f t="shared" ref="Z78:AA78" si="118">Z79+Z80+Z81</f>
        <v>0</v>
      </c>
      <c r="AA78" s="149">
        <f t="shared" si="118"/>
        <v>0</v>
      </c>
      <c r="AB78" s="149">
        <v>0</v>
      </c>
      <c r="AC78" s="149">
        <f t="shared" ref="AC78:AD78" si="119">AC79+AC80+AC81</f>
        <v>0</v>
      </c>
      <c r="AD78" s="149">
        <f t="shared" si="119"/>
        <v>0</v>
      </c>
      <c r="AE78" s="149">
        <v>0</v>
      </c>
      <c r="AF78" s="149">
        <f t="shared" ref="AF78:AG78" si="120">AF79+AF80+AF81</f>
        <v>0</v>
      </c>
      <c r="AG78" s="149">
        <f t="shared" si="120"/>
        <v>0</v>
      </c>
      <c r="AH78" s="149">
        <v>0</v>
      </c>
      <c r="AI78" s="149">
        <f t="shared" ref="AI78:AJ78" si="121">AI79+AI80+AI81</f>
        <v>0</v>
      </c>
      <c r="AJ78" s="149">
        <f t="shared" si="121"/>
        <v>0</v>
      </c>
      <c r="AK78" s="149">
        <v>0</v>
      </c>
      <c r="AL78" s="149">
        <f t="shared" ref="AL78:AM78" si="122">AL79+AL80+AL81</f>
        <v>0</v>
      </c>
      <c r="AM78" s="149">
        <f t="shared" si="122"/>
        <v>0</v>
      </c>
      <c r="AN78" s="149">
        <v>0</v>
      </c>
      <c r="AO78" s="149">
        <f t="shared" ref="AO78:AP78" si="123">AO79+AO80+AO81</f>
        <v>0</v>
      </c>
      <c r="AP78" s="149">
        <f t="shared" si="123"/>
        <v>0</v>
      </c>
      <c r="AQ78" s="149">
        <v>0</v>
      </c>
      <c r="AR78" s="457"/>
      <c r="AS78" s="458"/>
      <c r="AT78" s="227"/>
      <c r="AU78" s="227"/>
      <c r="AV78" s="228"/>
    </row>
    <row r="79" spans="1:50" s="233" customFormat="1" ht="48">
      <c r="A79" s="459"/>
      <c r="B79" s="459"/>
      <c r="C79" s="459"/>
      <c r="D79" s="217" t="s">
        <v>441</v>
      </c>
      <c r="E79" s="149">
        <f>H79+K79+N79+Q79+T79+W79+Z79+AC79+AF79+AI79+AL79+AO79</f>
        <v>0</v>
      </c>
      <c r="F79" s="149">
        <f>I79+L79+O79+R79+U79+X79+AA79+AD79+AG79+AJ79+AM79+AP79</f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149">
        <v>0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49">
        <v>0</v>
      </c>
      <c r="V79" s="149">
        <v>0</v>
      </c>
      <c r="W79" s="149">
        <v>0</v>
      </c>
      <c r="X79" s="149">
        <v>0</v>
      </c>
      <c r="Y79" s="149">
        <v>0</v>
      </c>
      <c r="Z79" s="149">
        <v>0</v>
      </c>
      <c r="AA79" s="149">
        <v>0</v>
      </c>
      <c r="AB79" s="149">
        <v>0</v>
      </c>
      <c r="AC79" s="149">
        <v>0</v>
      </c>
      <c r="AD79" s="149">
        <v>0</v>
      </c>
      <c r="AE79" s="149">
        <v>0</v>
      </c>
      <c r="AF79" s="149">
        <v>0</v>
      </c>
      <c r="AG79" s="149">
        <v>0</v>
      </c>
      <c r="AH79" s="149">
        <v>0</v>
      </c>
      <c r="AI79" s="149">
        <v>0</v>
      </c>
      <c r="AJ79" s="149">
        <v>0</v>
      </c>
      <c r="AK79" s="149">
        <v>0</v>
      </c>
      <c r="AL79" s="149">
        <v>0</v>
      </c>
      <c r="AM79" s="149">
        <v>0</v>
      </c>
      <c r="AN79" s="149">
        <v>0</v>
      </c>
      <c r="AO79" s="149">
        <v>0</v>
      </c>
      <c r="AP79" s="149">
        <v>0</v>
      </c>
      <c r="AQ79" s="149">
        <v>0</v>
      </c>
      <c r="AR79" s="457"/>
      <c r="AS79" s="458"/>
      <c r="AT79" s="227"/>
      <c r="AU79" s="227"/>
      <c r="AV79" s="228"/>
    </row>
    <row r="80" spans="1:50" s="233" customFormat="1" ht="12.75" customHeight="1">
      <c r="A80" s="459"/>
      <c r="B80" s="459"/>
      <c r="C80" s="459"/>
      <c r="D80" s="217" t="s">
        <v>454</v>
      </c>
      <c r="E80" s="149">
        <f t="shared" ref="E80:F81" si="124">H80+K80+N80+Q80+T80+W80+Z80+AC80+AF80+AI80+AL80+AO80</f>
        <v>164.3</v>
      </c>
      <c r="F80" s="149">
        <f t="shared" si="124"/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149">
        <v>164.3</v>
      </c>
      <c r="U80" s="149">
        <v>0</v>
      </c>
      <c r="V80" s="149">
        <v>0</v>
      </c>
      <c r="W80" s="149">
        <v>0</v>
      </c>
      <c r="X80" s="149">
        <v>0</v>
      </c>
      <c r="Y80" s="149">
        <v>0</v>
      </c>
      <c r="Z80" s="149">
        <v>0</v>
      </c>
      <c r="AA80" s="149">
        <v>0</v>
      </c>
      <c r="AB80" s="149">
        <v>0</v>
      </c>
      <c r="AC80" s="149">
        <v>0</v>
      </c>
      <c r="AD80" s="149">
        <v>0</v>
      </c>
      <c r="AE80" s="149">
        <v>0</v>
      </c>
      <c r="AF80" s="149">
        <v>0</v>
      </c>
      <c r="AG80" s="149">
        <v>0</v>
      </c>
      <c r="AH80" s="149">
        <v>0</v>
      </c>
      <c r="AI80" s="149">
        <v>0</v>
      </c>
      <c r="AJ80" s="149">
        <v>0</v>
      </c>
      <c r="AK80" s="149">
        <v>0</v>
      </c>
      <c r="AL80" s="149">
        <v>0</v>
      </c>
      <c r="AM80" s="149">
        <v>0</v>
      </c>
      <c r="AN80" s="149">
        <v>0</v>
      </c>
      <c r="AO80" s="149">
        <v>0</v>
      </c>
      <c r="AP80" s="149">
        <v>0</v>
      </c>
      <c r="AQ80" s="149">
        <v>0</v>
      </c>
      <c r="AR80" s="457"/>
      <c r="AS80" s="458"/>
      <c r="AT80" s="227"/>
      <c r="AU80" s="227"/>
      <c r="AV80" s="228"/>
    </row>
    <row r="81" spans="1:48" s="233" customFormat="1" ht="28.5" customHeight="1">
      <c r="A81" s="459"/>
      <c r="B81" s="459"/>
      <c r="C81" s="459"/>
      <c r="D81" s="218" t="s">
        <v>257</v>
      </c>
      <c r="E81" s="149">
        <f t="shared" si="124"/>
        <v>0</v>
      </c>
      <c r="F81" s="149">
        <f t="shared" si="124"/>
        <v>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v>0</v>
      </c>
      <c r="M81" s="149">
        <v>0</v>
      </c>
      <c r="N81" s="149">
        <v>0</v>
      </c>
      <c r="O81" s="149">
        <v>0</v>
      </c>
      <c r="P81" s="149">
        <v>0</v>
      </c>
      <c r="Q81" s="149">
        <v>0</v>
      </c>
      <c r="R81" s="149">
        <v>0</v>
      </c>
      <c r="S81" s="149">
        <v>0</v>
      </c>
      <c r="T81" s="149">
        <v>0</v>
      </c>
      <c r="U81" s="149">
        <v>0</v>
      </c>
      <c r="V81" s="149">
        <v>0</v>
      </c>
      <c r="W81" s="149">
        <v>0</v>
      </c>
      <c r="X81" s="149">
        <v>0</v>
      </c>
      <c r="Y81" s="149">
        <v>0</v>
      </c>
      <c r="Z81" s="149">
        <v>0</v>
      </c>
      <c r="AA81" s="149">
        <v>0</v>
      </c>
      <c r="AB81" s="149">
        <v>0</v>
      </c>
      <c r="AC81" s="149">
        <v>0</v>
      </c>
      <c r="AD81" s="149">
        <v>0</v>
      </c>
      <c r="AE81" s="149">
        <v>0</v>
      </c>
      <c r="AF81" s="149">
        <v>0</v>
      </c>
      <c r="AG81" s="149">
        <v>0</v>
      </c>
      <c r="AH81" s="149">
        <v>0</v>
      </c>
      <c r="AI81" s="149">
        <v>0</v>
      </c>
      <c r="AJ81" s="149">
        <v>0</v>
      </c>
      <c r="AK81" s="149">
        <v>0</v>
      </c>
      <c r="AL81" s="149">
        <v>0</v>
      </c>
      <c r="AM81" s="149">
        <v>0</v>
      </c>
      <c r="AN81" s="149">
        <v>0</v>
      </c>
      <c r="AO81" s="149">
        <v>0</v>
      </c>
      <c r="AP81" s="149">
        <v>0</v>
      </c>
      <c r="AQ81" s="149">
        <v>0</v>
      </c>
      <c r="AR81" s="457"/>
      <c r="AS81" s="458"/>
      <c r="AT81" s="227"/>
      <c r="AU81" s="227"/>
      <c r="AV81" s="228"/>
    </row>
    <row r="82" spans="1:48" s="229" customFormat="1" ht="49.5" customHeight="1">
      <c r="A82" s="459"/>
      <c r="B82" s="459"/>
      <c r="C82" s="459"/>
      <c r="D82" s="218" t="s">
        <v>459</v>
      </c>
      <c r="E82" s="149">
        <f>H82+K82+N82+Q82+T82+W82+Z82+AC82+AF82+AI82+AL82+AO82</f>
        <v>0</v>
      </c>
      <c r="F82" s="149">
        <f>I82+L82+O82+R82+U82+X82+AA82+AD82+AG82+AJ82+AM82+AP82</f>
        <v>0</v>
      </c>
      <c r="G82" s="149">
        <v>0</v>
      </c>
      <c r="H82" s="149">
        <v>0</v>
      </c>
      <c r="I82" s="149">
        <v>0</v>
      </c>
      <c r="J82" s="149">
        <v>0</v>
      </c>
      <c r="K82" s="149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49">
        <v>0</v>
      </c>
      <c r="W82" s="149">
        <v>0</v>
      </c>
      <c r="X82" s="149">
        <v>0</v>
      </c>
      <c r="Y82" s="149">
        <v>0</v>
      </c>
      <c r="Z82" s="149">
        <v>0</v>
      </c>
      <c r="AA82" s="149">
        <v>0</v>
      </c>
      <c r="AB82" s="149">
        <v>0</v>
      </c>
      <c r="AC82" s="149">
        <v>0</v>
      </c>
      <c r="AD82" s="149">
        <v>0</v>
      </c>
      <c r="AE82" s="149">
        <v>0</v>
      </c>
      <c r="AF82" s="149">
        <v>0</v>
      </c>
      <c r="AG82" s="149">
        <v>0</v>
      </c>
      <c r="AH82" s="149">
        <v>0</v>
      </c>
      <c r="AI82" s="149">
        <v>0</v>
      </c>
      <c r="AJ82" s="149">
        <v>0</v>
      </c>
      <c r="AK82" s="149">
        <v>0</v>
      </c>
      <c r="AL82" s="149">
        <v>0</v>
      </c>
      <c r="AM82" s="149">
        <v>0</v>
      </c>
      <c r="AN82" s="149">
        <v>0</v>
      </c>
      <c r="AO82" s="149">
        <v>0</v>
      </c>
      <c r="AP82" s="149">
        <v>0</v>
      </c>
      <c r="AQ82" s="149">
        <v>0</v>
      </c>
      <c r="AR82" s="457"/>
      <c r="AS82" s="458"/>
      <c r="AT82" s="227"/>
      <c r="AU82" s="227"/>
      <c r="AV82" s="228"/>
    </row>
    <row r="83" spans="1:48" s="233" customFormat="1" ht="26.25" customHeight="1">
      <c r="A83" s="459" t="s">
        <v>472</v>
      </c>
      <c r="B83" s="459"/>
      <c r="C83" s="459"/>
      <c r="D83" s="218" t="s">
        <v>443</v>
      </c>
      <c r="E83" s="149">
        <f>E84+E85+E86</f>
        <v>427354.7</v>
      </c>
      <c r="F83" s="149">
        <f>F84+F85+F86</f>
        <v>88203.500000000015</v>
      </c>
      <c r="G83" s="149">
        <f>F83/E83*100</f>
        <v>20.639412647152355</v>
      </c>
      <c r="H83" s="149">
        <f>H84+H85+H86</f>
        <v>6558.8999999999987</v>
      </c>
      <c r="I83" s="149">
        <f>I84+I85+I86</f>
        <v>6503.1999999999989</v>
      </c>
      <c r="J83" s="149">
        <f>I83/H83*100</f>
        <v>99.150772233148857</v>
      </c>
      <c r="K83" s="149">
        <f>K84+K85+K86</f>
        <v>48179.100000000006</v>
      </c>
      <c r="L83" s="149">
        <f>L84+L85+L86</f>
        <v>47124.600000000006</v>
      </c>
      <c r="M83" s="149">
        <f>L83/K83*100</f>
        <v>97.811291618149781</v>
      </c>
      <c r="N83" s="149">
        <f>N84+N85+N86</f>
        <v>37593.19999999999</v>
      </c>
      <c r="O83" s="149">
        <f>O84+O85+O86</f>
        <v>34575.700000000004</v>
      </c>
      <c r="P83" s="149">
        <f>O83/N83*100</f>
        <v>91.97328240213659</v>
      </c>
      <c r="Q83" s="149">
        <f>Q84+Q85+Q86</f>
        <v>33649</v>
      </c>
      <c r="R83" s="149">
        <f>R84+R85+R86</f>
        <v>0</v>
      </c>
      <c r="S83" s="149">
        <f>R83/Q83*100</f>
        <v>0</v>
      </c>
      <c r="T83" s="149">
        <f>T84+T85+T86</f>
        <v>32171.4</v>
      </c>
      <c r="U83" s="149">
        <f>U84+U85+U86</f>
        <v>0</v>
      </c>
      <c r="V83" s="149">
        <f>U83/T83*100</f>
        <v>0</v>
      </c>
      <c r="W83" s="149">
        <f>W84+W85+W86</f>
        <v>43707.5</v>
      </c>
      <c r="X83" s="149">
        <f>X84+X85+X86</f>
        <v>0</v>
      </c>
      <c r="Y83" s="149">
        <f>X83/W83*100</f>
        <v>0</v>
      </c>
      <c r="Z83" s="149">
        <f>Z84+Z85+Z86</f>
        <v>36606.299999999996</v>
      </c>
      <c r="AA83" s="149">
        <f>AA84+AA85+AA86</f>
        <v>0</v>
      </c>
      <c r="AB83" s="149">
        <f>AA83/Z83*100</f>
        <v>0</v>
      </c>
      <c r="AC83" s="149">
        <f>AC84+AC85+AC86</f>
        <v>32508.7</v>
      </c>
      <c r="AD83" s="149">
        <f>AD84+AD85+AD86</f>
        <v>0</v>
      </c>
      <c r="AE83" s="149">
        <f>AD83/AC83*100</f>
        <v>0</v>
      </c>
      <c r="AF83" s="149">
        <f>AF84+AF85+AF86</f>
        <v>30259.800000000003</v>
      </c>
      <c r="AG83" s="149">
        <f>AG84+AG85+AG86</f>
        <v>0</v>
      </c>
      <c r="AH83" s="149">
        <f>AG83/AF83*100</f>
        <v>0</v>
      </c>
      <c r="AI83" s="149">
        <f>AI84+AI85+AI86</f>
        <v>31917.400000000005</v>
      </c>
      <c r="AJ83" s="149">
        <f>AJ84+AJ85+AJ86</f>
        <v>0</v>
      </c>
      <c r="AK83" s="149">
        <f>AJ83/AI83*100</f>
        <v>0</v>
      </c>
      <c r="AL83" s="149">
        <f>AL84+AL85+AL86</f>
        <v>37798.899999999994</v>
      </c>
      <c r="AM83" s="149">
        <f>AM84+AM85+AM86</f>
        <v>0</v>
      </c>
      <c r="AN83" s="149">
        <f>AM83/AL83*100</f>
        <v>0</v>
      </c>
      <c r="AO83" s="149">
        <f>AO84+AO85+AO86</f>
        <v>56404.5</v>
      </c>
      <c r="AP83" s="149">
        <f>AP84+AP85+AP86</f>
        <v>0</v>
      </c>
      <c r="AQ83" s="225">
        <f>AP83/AO83*100</f>
        <v>0</v>
      </c>
      <c r="AR83" s="457"/>
      <c r="AS83" s="458"/>
      <c r="AT83" s="227"/>
      <c r="AU83" s="227"/>
      <c r="AV83" s="228"/>
    </row>
    <row r="84" spans="1:48" s="233" customFormat="1" ht="35.25" customHeight="1">
      <c r="A84" s="459"/>
      <c r="B84" s="459"/>
      <c r="C84" s="459"/>
      <c r="D84" s="217" t="s">
        <v>441</v>
      </c>
      <c r="E84" s="149">
        <f>H84+K84+N84+Q84+T84+W84+Z84+AC84+AF84+AI84+AL84+AO84</f>
        <v>12435.4</v>
      </c>
      <c r="F84" s="149">
        <f>I84+L84+O84+R84+U84+X84+AA84+AD84+AG84+AJ84+AM84+AP84</f>
        <v>1120.5</v>
      </c>
      <c r="G84" s="149">
        <f>F84/E84*100</f>
        <v>9.0105666082313398</v>
      </c>
      <c r="H84" s="149">
        <f>H73-H79</f>
        <v>75.600000000000023</v>
      </c>
      <c r="I84" s="149">
        <f>I73-I79</f>
        <v>75.599999999999994</v>
      </c>
      <c r="J84" s="149">
        <f t="shared" ref="J84:J85" si="125">I84/H84*100</f>
        <v>99.999999999999972</v>
      </c>
      <c r="K84" s="149">
        <f>K73-K79</f>
        <v>571.79999999999995</v>
      </c>
      <c r="L84" s="149">
        <f>L73-L79</f>
        <v>537.9</v>
      </c>
      <c r="M84" s="149">
        <f t="shared" ref="M84:M86" si="126">L84/K84*100</f>
        <v>94.071353620146908</v>
      </c>
      <c r="N84" s="149">
        <f>N73-N79</f>
        <v>729.2</v>
      </c>
      <c r="O84" s="149">
        <f>O73-O79</f>
        <v>507</v>
      </c>
      <c r="P84" s="149">
        <f t="shared" ref="P84:P86" si="127">O84/N84*100</f>
        <v>69.528250137136581</v>
      </c>
      <c r="Q84" s="149">
        <f>Q73-Q79</f>
        <v>1032.5999999999999</v>
      </c>
      <c r="R84" s="149">
        <f>R73-R79</f>
        <v>0</v>
      </c>
      <c r="S84" s="149">
        <f t="shared" ref="S84:S86" si="128">R84/Q84*100</f>
        <v>0</v>
      </c>
      <c r="T84" s="149">
        <f>T73-T79</f>
        <v>1050.9000000000001</v>
      </c>
      <c r="U84" s="149">
        <f>U73-U79</f>
        <v>0</v>
      </c>
      <c r="V84" s="149">
        <f t="shared" ref="V84:V86" si="129">U84/T84*100</f>
        <v>0</v>
      </c>
      <c r="W84" s="149">
        <f>W73-W79</f>
        <v>1746.1</v>
      </c>
      <c r="X84" s="149">
        <f>X73-X79</f>
        <v>0</v>
      </c>
      <c r="Y84" s="149">
        <f t="shared" ref="Y84:Y86" si="130">X84/W84*100</f>
        <v>0</v>
      </c>
      <c r="Z84" s="149">
        <f>Z73-Z79</f>
        <v>1661.6999999999998</v>
      </c>
      <c r="AA84" s="149">
        <f>AA73-AA79</f>
        <v>0</v>
      </c>
      <c r="AB84" s="149">
        <f t="shared" ref="AB84:AB86" si="131">AA84/Z84*100</f>
        <v>0</v>
      </c>
      <c r="AC84" s="149">
        <f>AC73-AC79</f>
        <v>1777.5</v>
      </c>
      <c r="AD84" s="149">
        <f>AD73-AD79</f>
        <v>0</v>
      </c>
      <c r="AE84" s="149">
        <f t="shared" ref="AE84:AE86" si="132">AD84/AC84*100</f>
        <v>0</v>
      </c>
      <c r="AF84" s="149">
        <f>AF73-AF79</f>
        <v>1183.8</v>
      </c>
      <c r="AG84" s="149">
        <f>AG73-AG79</f>
        <v>0</v>
      </c>
      <c r="AH84" s="149">
        <f t="shared" ref="AH84:AH86" si="133">AG84/AF84*100</f>
        <v>0</v>
      </c>
      <c r="AI84" s="149">
        <f>AI73-AI79</f>
        <v>834.69999999999993</v>
      </c>
      <c r="AJ84" s="149">
        <f>AJ73-AJ79</f>
        <v>0</v>
      </c>
      <c r="AK84" s="149">
        <f t="shared" ref="AK84:AK86" si="134">AJ84/AI84*100</f>
        <v>0</v>
      </c>
      <c r="AL84" s="149">
        <f>AL73-AL79</f>
        <v>971.59999999999991</v>
      </c>
      <c r="AM84" s="149">
        <f>AM73-AM79</f>
        <v>0</v>
      </c>
      <c r="AN84" s="149">
        <f t="shared" ref="AN84:AN86" si="135">AM84/AL84*100</f>
        <v>0</v>
      </c>
      <c r="AO84" s="149">
        <f>AO73-AO79</f>
        <v>799.9</v>
      </c>
      <c r="AP84" s="149">
        <f>AP73-AP79</f>
        <v>0</v>
      </c>
      <c r="AQ84" s="225">
        <f t="shared" ref="AQ84:AQ86" si="136">AP84/AO84*100</f>
        <v>0</v>
      </c>
      <c r="AR84" s="457"/>
      <c r="AS84" s="458"/>
      <c r="AT84" s="227"/>
      <c r="AU84" s="227"/>
      <c r="AV84" s="228"/>
    </row>
    <row r="85" spans="1:48" s="233" customFormat="1" ht="54" customHeight="1">
      <c r="A85" s="459"/>
      <c r="B85" s="459"/>
      <c r="C85" s="459"/>
      <c r="D85" s="217" t="s">
        <v>454</v>
      </c>
      <c r="E85" s="149">
        <f t="shared" ref="E85:F86" si="137">H85+K85+N85+Q85+T85+W85+Z85+AC85+AF85+AI85+AL85+AO85</f>
        <v>409509.2</v>
      </c>
      <c r="F85" s="149">
        <f>I85+L85+O85+R85+U85+X85+AA85+AD85+AG85+AJ85+AM85+AP85</f>
        <v>86321.700000000012</v>
      </c>
      <c r="G85" s="149">
        <f>F85/E85*100</f>
        <v>21.079306643171876</v>
      </c>
      <c r="H85" s="149">
        <f>H74-H80</f>
        <v>6483.2999999999984</v>
      </c>
      <c r="I85" s="149">
        <f>I74-I80</f>
        <v>6427.5999999999985</v>
      </c>
      <c r="J85" s="149">
        <f t="shared" si="125"/>
        <v>99.14086961886693</v>
      </c>
      <c r="K85" s="149">
        <f>K74-K80</f>
        <v>47492.100000000006</v>
      </c>
      <c r="L85" s="149">
        <f>L74-L80</f>
        <v>46461.500000000007</v>
      </c>
      <c r="M85" s="149">
        <f t="shared" si="126"/>
        <v>97.829954876705813</v>
      </c>
      <c r="N85" s="149">
        <f>N74-N80</f>
        <v>36194.799999999996</v>
      </c>
      <c r="O85" s="149">
        <f>O74-O80</f>
        <v>33432.600000000006</v>
      </c>
      <c r="P85" s="149">
        <f t="shared" si="127"/>
        <v>92.368517024545</v>
      </c>
      <c r="Q85" s="149">
        <f>Q74-Q80</f>
        <v>32163.3</v>
      </c>
      <c r="R85" s="149">
        <f>R74-R80</f>
        <v>0</v>
      </c>
      <c r="S85" s="149">
        <f t="shared" si="128"/>
        <v>0</v>
      </c>
      <c r="T85" s="149">
        <f>T74-T80</f>
        <v>30397.4</v>
      </c>
      <c r="U85" s="149">
        <f>U74-U80</f>
        <v>0</v>
      </c>
      <c r="V85" s="149">
        <f t="shared" si="129"/>
        <v>0</v>
      </c>
      <c r="W85" s="149">
        <f>W74-W80</f>
        <v>41456.9</v>
      </c>
      <c r="X85" s="149">
        <f>X74-X80</f>
        <v>0</v>
      </c>
      <c r="Y85" s="149">
        <f t="shared" si="130"/>
        <v>0</v>
      </c>
      <c r="Z85" s="149">
        <f>Z74-Z80</f>
        <v>34389</v>
      </c>
      <c r="AA85" s="149">
        <f>AA74-AA80</f>
        <v>0</v>
      </c>
      <c r="AB85" s="149">
        <f t="shared" si="131"/>
        <v>0</v>
      </c>
      <c r="AC85" s="149">
        <f>AC74-AC80</f>
        <v>29979.3</v>
      </c>
      <c r="AD85" s="149">
        <f>AD74-AD80</f>
        <v>0</v>
      </c>
      <c r="AE85" s="149">
        <f t="shared" si="132"/>
        <v>0</v>
      </c>
      <c r="AF85" s="149">
        <f>AF74-AF80</f>
        <v>28795.200000000004</v>
      </c>
      <c r="AG85" s="149">
        <f>AG74-AG80</f>
        <v>0</v>
      </c>
      <c r="AH85" s="149">
        <f t="shared" si="133"/>
        <v>0</v>
      </c>
      <c r="AI85" s="149">
        <f>AI74-AI80</f>
        <v>30629.400000000005</v>
      </c>
      <c r="AJ85" s="149">
        <f>AJ74-AJ80</f>
        <v>0</v>
      </c>
      <c r="AK85" s="149">
        <f t="shared" si="134"/>
        <v>0</v>
      </c>
      <c r="AL85" s="149">
        <f>AL74-AL80</f>
        <v>36477.599999999999</v>
      </c>
      <c r="AM85" s="149">
        <f>AM74-AM80</f>
        <v>0</v>
      </c>
      <c r="AN85" s="149">
        <f t="shared" si="135"/>
        <v>0</v>
      </c>
      <c r="AO85" s="149">
        <f>AO74-AO80</f>
        <v>55050.9</v>
      </c>
      <c r="AP85" s="149">
        <f>AP74-AP80</f>
        <v>0</v>
      </c>
      <c r="AQ85" s="225">
        <f t="shared" si="136"/>
        <v>0</v>
      </c>
      <c r="AR85" s="457"/>
      <c r="AS85" s="458"/>
      <c r="AT85" s="227"/>
      <c r="AU85" s="227"/>
      <c r="AV85" s="228"/>
    </row>
    <row r="86" spans="1:48" s="233" customFormat="1" ht="81.75" customHeight="1">
      <c r="A86" s="459"/>
      <c r="B86" s="459"/>
      <c r="C86" s="459"/>
      <c r="D86" s="218" t="s">
        <v>257</v>
      </c>
      <c r="E86" s="149">
        <f>H86+K86+N86+Q86+T86+W86+Z86+AC86+AF86+AI86+AL86+AO86</f>
        <v>5410.0999999999995</v>
      </c>
      <c r="F86" s="149">
        <f t="shared" si="137"/>
        <v>761.30000000000007</v>
      </c>
      <c r="G86" s="149">
        <f>F86/E86*100</f>
        <v>14.071828616846272</v>
      </c>
      <c r="H86" s="149">
        <f t="shared" ref="H86:I86" si="138">H76-H81</f>
        <v>0</v>
      </c>
      <c r="I86" s="149">
        <f t="shared" si="138"/>
        <v>0</v>
      </c>
      <c r="J86" s="149">
        <v>0</v>
      </c>
      <c r="K86" s="149">
        <f t="shared" ref="K86:L86" si="139">K76-K81</f>
        <v>115.2</v>
      </c>
      <c r="L86" s="149">
        <f t="shared" si="139"/>
        <v>125.2</v>
      </c>
      <c r="M86" s="149">
        <f t="shared" si="126"/>
        <v>108.68055555555556</v>
      </c>
      <c r="N86" s="149">
        <f t="shared" ref="N86:O86" si="140">N76-N81</f>
        <v>669.2</v>
      </c>
      <c r="O86" s="149">
        <f t="shared" si="140"/>
        <v>636.1</v>
      </c>
      <c r="P86" s="149">
        <f t="shared" si="127"/>
        <v>95.053795576808128</v>
      </c>
      <c r="Q86" s="149">
        <f t="shared" ref="Q86:R86" si="141">Q76-Q81</f>
        <v>453.1</v>
      </c>
      <c r="R86" s="149">
        <f t="shared" si="141"/>
        <v>0</v>
      </c>
      <c r="S86" s="149">
        <f t="shared" si="128"/>
        <v>0</v>
      </c>
      <c r="T86" s="149">
        <f t="shared" ref="T86:U86" si="142">T76-T81</f>
        <v>723.1</v>
      </c>
      <c r="U86" s="149">
        <f t="shared" si="142"/>
        <v>0</v>
      </c>
      <c r="V86" s="149">
        <f t="shared" si="129"/>
        <v>0</v>
      </c>
      <c r="W86" s="149">
        <f t="shared" ref="W86:X86" si="143">W76-W81</f>
        <v>504.5</v>
      </c>
      <c r="X86" s="149">
        <f t="shared" si="143"/>
        <v>0</v>
      </c>
      <c r="Y86" s="149">
        <f t="shared" si="130"/>
        <v>0</v>
      </c>
      <c r="Z86" s="149">
        <f t="shared" ref="Z86:AA86" si="144">Z76-Z81</f>
        <v>555.6</v>
      </c>
      <c r="AA86" s="149">
        <f t="shared" si="144"/>
        <v>0</v>
      </c>
      <c r="AB86" s="149">
        <f t="shared" si="131"/>
        <v>0</v>
      </c>
      <c r="AC86" s="149">
        <f t="shared" ref="AC86:AD86" si="145">AC76-AC81</f>
        <v>751.90000000000009</v>
      </c>
      <c r="AD86" s="149">
        <f t="shared" si="145"/>
        <v>0</v>
      </c>
      <c r="AE86" s="149">
        <f t="shared" si="132"/>
        <v>0</v>
      </c>
      <c r="AF86" s="149">
        <f t="shared" ref="AF86:AG86" si="146">AF76-AF81</f>
        <v>280.8</v>
      </c>
      <c r="AG86" s="149">
        <f t="shared" si="146"/>
        <v>0</v>
      </c>
      <c r="AH86" s="149">
        <f t="shared" si="133"/>
        <v>0</v>
      </c>
      <c r="AI86" s="149">
        <f t="shared" ref="AI86:AJ86" si="147">AI76-AI81</f>
        <v>453.3</v>
      </c>
      <c r="AJ86" s="149">
        <f t="shared" si="147"/>
        <v>0</v>
      </c>
      <c r="AK86" s="149">
        <f t="shared" si="134"/>
        <v>0</v>
      </c>
      <c r="AL86" s="149">
        <f t="shared" ref="AL86:AM86" si="148">AL76-AL81</f>
        <v>349.7</v>
      </c>
      <c r="AM86" s="149">
        <f t="shared" si="148"/>
        <v>0</v>
      </c>
      <c r="AN86" s="149">
        <f t="shared" si="135"/>
        <v>0</v>
      </c>
      <c r="AO86" s="149">
        <f t="shared" ref="AO86:AP86" si="149">AO76-AO81</f>
        <v>553.70000000000005</v>
      </c>
      <c r="AP86" s="149">
        <f t="shared" si="149"/>
        <v>0</v>
      </c>
      <c r="AQ86" s="225">
        <f t="shared" si="136"/>
        <v>0</v>
      </c>
      <c r="AR86" s="457"/>
      <c r="AS86" s="458"/>
      <c r="AT86" s="227"/>
      <c r="AU86" s="227"/>
      <c r="AV86" s="228"/>
    </row>
    <row r="87" spans="1:48" s="229" customFormat="1" ht="99" customHeight="1">
      <c r="A87" s="459"/>
      <c r="B87" s="459"/>
      <c r="C87" s="459"/>
      <c r="D87" s="218" t="s">
        <v>459</v>
      </c>
      <c r="E87" s="149">
        <f>H87+K87+N87+Q87+T87+W87+Z87+AC87+AF87+AI87+AL87+AO87</f>
        <v>0</v>
      </c>
      <c r="F87" s="149">
        <f>I87+L87+O87+R87+U87+X87+AA87+AD87+AG87+AJ87+AM87+AP87</f>
        <v>0</v>
      </c>
      <c r="G87" s="149">
        <v>0</v>
      </c>
      <c r="H87" s="149">
        <v>0</v>
      </c>
      <c r="I87" s="149">
        <v>0</v>
      </c>
      <c r="J87" s="149">
        <v>0</v>
      </c>
      <c r="K87" s="239">
        <v>0</v>
      </c>
      <c r="L87" s="149">
        <v>0</v>
      </c>
      <c r="M87" s="149">
        <v>0</v>
      </c>
      <c r="N87" s="149">
        <v>0</v>
      </c>
      <c r="O87" s="149">
        <v>0</v>
      </c>
      <c r="P87" s="149">
        <v>0</v>
      </c>
      <c r="Q87" s="149">
        <v>0</v>
      </c>
      <c r="R87" s="149">
        <v>0</v>
      </c>
      <c r="S87" s="149">
        <v>0</v>
      </c>
      <c r="T87" s="224">
        <v>0</v>
      </c>
      <c r="U87" s="224">
        <v>0</v>
      </c>
      <c r="V87" s="149">
        <v>0</v>
      </c>
      <c r="W87" s="224">
        <v>0</v>
      </c>
      <c r="X87" s="224">
        <v>0</v>
      </c>
      <c r="Y87" s="224">
        <v>0</v>
      </c>
      <c r="Z87" s="224">
        <v>0</v>
      </c>
      <c r="AA87" s="224">
        <v>0</v>
      </c>
      <c r="AB87" s="224">
        <v>0</v>
      </c>
      <c r="AC87" s="224">
        <v>0</v>
      </c>
      <c r="AD87" s="224">
        <v>0</v>
      </c>
      <c r="AE87" s="224">
        <v>0</v>
      </c>
      <c r="AF87" s="224">
        <v>0</v>
      </c>
      <c r="AG87" s="224">
        <v>0</v>
      </c>
      <c r="AH87" s="149">
        <v>0</v>
      </c>
      <c r="AI87" s="149">
        <v>0</v>
      </c>
      <c r="AJ87" s="149">
        <v>0</v>
      </c>
      <c r="AK87" s="149">
        <v>0</v>
      </c>
      <c r="AL87" s="224">
        <v>0</v>
      </c>
      <c r="AM87" s="224">
        <v>0</v>
      </c>
      <c r="AN87" s="224">
        <v>0</v>
      </c>
      <c r="AO87" s="149">
        <v>0</v>
      </c>
      <c r="AP87" s="149">
        <v>0</v>
      </c>
      <c r="AQ87" s="149">
        <v>0</v>
      </c>
      <c r="AR87" s="457"/>
      <c r="AS87" s="458"/>
      <c r="AT87" s="227"/>
      <c r="AU87" s="227"/>
      <c r="AV87" s="228"/>
    </row>
    <row r="88" spans="1:48" ht="21.75" customHeight="1">
      <c r="A88" s="460" t="s">
        <v>37</v>
      </c>
      <c r="B88" s="460"/>
      <c r="C88" s="460"/>
      <c r="AR88" s="42"/>
    </row>
    <row r="89" spans="1:48" s="229" customFormat="1" ht="92.25" customHeight="1">
      <c r="A89" s="461" t="s">
        <v>485</v>
      </c>
      <c r="B89" s="462"/>
      <c r="C89" s="463"/>
      <c r="D89" s="143" t="s">
        <v>443</v>
      </c>
      <c r="E89" s="123">
        <f>E90+E91+E92</f>
        <v>262399.5</v>
      </c>
      <c r="F89" s="123">
        <f>F90+F91+F92</f>
        <v>59818.100000000013</v>
      </c>
      <c r="G89" s="123">
        <f>F89/E89*100</f>
        <v>22.796575450791643</v>
      </c>
      <c r="H89" s="123">
        <f>H90+H91+H92</f>
        <v>4246.1999999999989</v>
      </c>
      <c r="I89" s="123">
        <f>I90+I91+I92</f>
        <v>4225.7999999999993</v>
      </c>
      <c r="J89" s="123">
        <f>I89/H89*100</f>
        <v>99.519570439451755</v>
      </c>
      <c r="K89" s="123">
        <f>K90+K91+K92</f>
        <v>34373.800000000003</v>
      </c>
      <c r="L89" s="123">
        <f>L90+L91+L92</f>
        <v>34355.600000000006</v>
      </c>
      <c r="M89" s="123">
        <f>L89/K89*100</f>
        <v>99.947052697112355</v>
      </c>
      <c r="N89" s="123">
        <f>N90+N91+N92</f>
        <v>23190.699999999997</v>
      </c>
      <c r="O89" s="123">
        <f>O90+O91+O92</f>
        <v>21236.700000000004</v>
      </c>
      <c r="P89" s="123">
        <f>O89/N89*100</f>
        <v>91.57420862673402</v>
      </c>
      <c r="Q89" s="123">
        <f>Q90+Q91+Q92</f>
        <v>19363</v>
      </c>
      <c r="R89" s="123">
        <f>R90+R91+R92</f>
        <v>0</v>
      </c>
      <c r="S89" s="123">
        <f>R89/Q89*100</f>
        <v>0</v>
      </c>
      <c r="T89" s="123">
        <f>T90+T91+T92</f>
        <v>16875.199999999997</v>
      </c>
      <c r="U89" s="123">
        <f>U90+U91+U92</f>
        <v>0</v>
      </c>
      <c r="V89" s="123">
        <f>U89/T89*100</f>
        <v>0</v>
      </c>
      <c r="W89" s="123">
        <f>W90+W91+W92</f>
        <v>25626.200000000004</v>
      </c>
      <c r="X89" s="123">
        <f>X90+X91+X92</f>
        <v>0</v>
      </c>
      <c r="Y89" s="123">
        <f>X89/W89*100</f>
        <v>0</v>
      </c>
      <c r="Z89" s="123">
        <f>Z90+Z91+Z92</f>
        <v>19734.199999999997</v>
      </c>
      <c r="AA89" s="123">
        <f>AA90+AA91+AA92</f>
        <v>0</v>
      </c>
      <c r="AB89" s="123">
        <f>AA89/Z89*100</f>
        <v>0</v>
      </c>
      <c r="AC89" s="123">
        <f>AC90+AC91+AC92</f>
        <v>19741.8</v>
      </c>
      <c r="AD89" s="123">
        <f>AD90+AD91+AD92</f>
        <v>0</v>
      </c>
      <c r="AE89" s="123">
        <f>AD89/AC89*100</f>
        <v>0</v>
      </c>
      <c r="AF89" s="123">
        <f>AF90+AF91+AF92</f>
        <v>17864.100000000006</v>
      </c>
      <c r="AG89" s="123">
        <f>AG90+AG91+AG92</f>
        <v>0</v>
      </c>
      <c r="AH89" s="123">
        <f>AG89/AF89*100</f>
        <v>0</v>
      </c>
      <c r="AI89" s="123">
        <f>AI90+AI91+AI92</f>
        <v>19098.200000000008</v>
      </c>
      <c r="AJ89" s="123">
        <f>AJ90+AJ91+AJ92</f>
        <v>0</v>
      </c>
      <c r="AK89" s="123">
        <f>AJ89/AI89*100</f>
        <v>0</v>
      </c>
      <c r="AL89" s="123">
        <f>AL90+AL91+AL92</f>
        <v>25351.600000000002</v>
      </c>
      <c r="AM89" s="123">
        <f>AM90+AM91+AM92</f>
        <v>0</v>
      </c>
      <c r="AN89" s="123">
        <f>AM89/AL89*100</f>
        <v>0</v>
      </c>
      <c r="AO89" s="123">
        <f>AO90+AO91+AO92</f>
        <v>36934.500000000007</v>
      </c>
      <c r="AP89" s="123">
        <f>AP90+AP91+AP92</f>
        <v>0</v>
      </c>
      <c r="AQ89" s="123">
        <f>AP89/AO89*100</f>
        <v>0</v>
      </c>
      <c r="AR89" s="457"/>
      <c r="AS89" s="458"/>
      <c r="AT89" s="227"/>
      <c r="AU89" s="227"/>
      <c r="AV89" s="228"/>
    </row>
    <row r="90" spans="1:48" s="229" customFormat="1" ht="95.25" customHeight="1">
      <c r="A90" s="464"/>
      <c r="B90" s="465"/>
      <c r="C90" s="466"/>
      <c r="D90" s="219" t="s">
        <v>441</v>
      </c>
      <c r="E90" s="123">
        <f>H90+K90+N90+Q90+T90+W90+Z90+AC90+AF90+AI90+AL90+AO90</f>
        <v>6393.9999999999991</v>
      </c>
      <c r="F90" s="123">
        <f>I90+L90+O90+R90+U90+X90+AA90+AD90+AG90+AJ90+AM90+AP90</f>
        <v>930.8</v>
      </c>
      <c r="G90" s="123">
        <f>F90/E90*100</f>
        <v>14.557397560212701</v>
      </c>
      <c r="H90" s="123">
        <f>H84-H95-H100-H104-H109-H114-H119-H124-H129</f>
        <v>75.600000000000023</v>
      </c>
      <c r="I90" s="123">
        <f>I84-I95-I100-I104-I109-I114-I119-I124</f>
        <v>75.599999999999994</v>
      </c>
      <c r="J90" s="123">
        <f t="shared" ref="J90:J91" si="150">I90/H90*100</f>
        <v>99.999999999999972</v>
      </c>
      <c r="K90" s="123">
        <f>K84-K95-K100-K104-K109-K114-K119-K124-K129</f>
        <v>499.69999999999993</v>
      </c>
      <c r="L90" s="123">
        <f>L84-L95-L100-L104-L109-L114-L119-L124</f>
        <v>465.79999999999995</v>
      </c>
      <c r="M90" s="123">
        <f t="shared" ref="M90:M92" si="151">L90/K90*100</f>
        <v>93.21592955773464</v>
      </c>
      <c r="N90" s="123">
        <f>N84-N95-N100-N104-N109-N114-N119-N124-N129</f>
        <v>575.20000000000005</v>
      </c>
      <c r="O90" s="123">
        <f>O84-O95-O100-O104-O109-O114-O119-O124</f>
        <v>389.4</v>
      </c>
      <c r="P90" s="123">
        <f t="shared" ref="P90:P92" si="152">O90/N90*100</f>
        <v>67.698191933240608</v>
      </c>
      <c r="Q90" s="123">
        <f>Q84-Q95-Q100-Q104-Q109-Q114-Q119-Q124-Q129</f>
        <v>263.39999999999986</v>
      </c>
      <c r="R90" s="123">
        <f>R84-R95-R100-R104-R109-R114-R119-R124</f>
        <v>0</v>
      </c>
      <c r="S90" s="123">
        <f t="shared" ref="S90:S92" si="153">R90/Q90*100</f>
        <v>0</v>
      </c>
      <c r="T90" s="123">
        <f>T84-T95-T100-T104-T109-T114-T119-T124-T129</f>
        <v>514.70000000000005</v>
      </c>
      <c r="U90" s="123">
        <f>U84-U95-U100-U104-U109-U114-U119-U124-U129</f>
        <v>0</v>
      </c>
      <c r="V90" s="123">
        <f t="shared" ref="V90:V92" si="154">U90/T90*100</f>
        <v>0</v>
      </c>
      <c r="W90" s="123">
        <f>W84-W95-W100-W104-W109-W114-W119-W124-W129</f>
        <v>1093.5</v>
      </c>
      <c r="X90" s="123">
        <f>X84-X95-X100-X104-X109-X114-X119-X124-X129</f>
        <v>0</v>
      </c>
      <c r="Y90" s="123">
        <f t="shared" ref="Y90:Y92" si="155">X90/W90*100</f>
        <v>0</v>
      </c>
      <c r="Z90" s="123">
        <f t="shared" ref="Z90:AA90" si="156">Z84-Z95-Z100-Z104-Z109-Z114-Z119-Z124-Z129</f>
        <v>903.29999999999973</v>
      </c>
      <c r="AA90" s="123">
        <f t="shared" si="156"/>
        <v>0</v>
      </c>
      <c r="AB90" s="123">
        <f t="shared" ref="AB90:AB92" si="157">AA90/Z90*100</f>
        <v>0</v>
      </c>
      <c r="AC90" s="123">
        <f t="shared" ref="AC90:AD90" si="158">AC84-AC95-AC100-AC104-AC109-AC114-AC119-AC124-AC129</f>
        <v>984.09999999999991</v>
      </c>
      <c r="AD90" s="123">
        <f t="shared" si="158"/>
        <v>0</v>
      </c>
      <c r="AE90" s="123">
        <f t="shared" ref="AE90:AE92" si="159">AD90/AC90*100</f>
        <v>0</v>
      </c>
      <c r="AF90" s="123">
        <f t="shared" ref="AF90:AG90" si="160">AF84-AF95-AF100-AF104-AF109-AF114-AF119-AF124-AF129</f>
        <v>438.2</v>
      </c>
      <c r="AG90" s="123">
        <f t="shared" si="160"/>
        <v>0</v>
      </c>
      <c r="AH90" s="123">
        <f t="shared" ref="AH90:AH92" si="161">AG90/AF90*100</f>
        <v>0</v>
      </c>
      <c r="AI90" s="123">
        <f t="shared" ref="AI90:AO90" si="162">AI84-AI95-AI100-AI104-AI109-AI114-AI119-AI124-AI129</f>
        <v>275.69999999999987</v>
      </c>
      <c r="AJ90" s="123">
        <f t="shared" si="162"/>
        <v>0</v>
      </c>
      <c r="AK90" s="123">
        <f t="shared" ref="AK90:AK92" si="163">AJ90/AI90*100</f>
        <v>0</v>
      </c>
      <c r="AL90" s="123">
        <f t="shared" si="162"/>
        <v>275.69999999999993</v>
      </c>
      <c r="AM90" s="123">
        <f t="shared" si="162"/>
        <v>0</v>
      </c>
      <c r="AN90" s="123">
        <f t="shared" ref="AN90:AN92" si="164">AM90/AL90*100</f>
        <v>0</v>
      </c>
      <c r="AO90" s="123">
        <f t="shared" si="162"/>
        <v>494.9</v>
      </c>
      <c r="AP90" s="123">
        <f>AP84-AP95-AP100-AP104-AP109-AP114-AP119-AP124</f>
        <v>0</v>
      </c>
      <c r="AQ90" s="123">
        <f t="shared" ref="AQ90:AQ92" si="165">AP90/AO90*100</f>
        <v>0</v>
      </c>
      <c r="AR90" s="457"/>
      <c r="AS90" s="458"/>
      <c r="AT90" s="227"/>
      <c r="AU90" s="227"/>
      <c r="AV90" s="228"/>
    </row>
    <row r="91" spans="1:48" s="229" customFormat="1" ht="12.75" customHeight="1">
      <c r="A91" s="464"/>
      <c r="B91" s="465"/>
      <c r="C91" s="466"/>
      <c r="D91" s="219" t="s">
        <v>454</v>
      </c>
      <c r="E91" s="123">
        <f t="shared" ref="E91:F92" si="166">H91+K91+N91+Q91+T91+W91+Z91+AC91+AF91+AI91+AL91+AO91</f>
        <v>250595.40000000002</v>
      </c>
      <c r="F91" s="123">
        <f t="shared" si="166"/>
        <v>58126.000000000007</v>
      </c>
      <c r="G91" s="123">
        <f>F91/E91*100</f>
        <v>23.195158410729007</v>
      </c>
      <c r="H91" s="123">
        <f>H85-H96-H101-H105-H110-H115-H120-H125-H130</f>
        <v>4170.5999999999985</v>
      </c>
      <c r="I91" s="123">
        <f>I85-I96-I101-I105-I110-I115-I120-I125</f>
        <v>4150.1999999999989</v>
      </c>
      <c r="J91" s="123">
        <f t="shared" si="150"/>
        <v>99.51086174651131</v>
      </c>
      <c r="K91" s="123">
        <f>K85-K96-K101-K105-K110-K115-K120-K125-K130</f>
        <v>33758.900000000009</v>
      </c>
      <c r="L91" s="123">
        <f>L85-L96-L101-L105-L110-L115-L120-L125</f>
        <v>33764.600000000006</v>
      </c>
      <c r="M91" s="123">
        <f t="shared" si="151"/>
        <v>100.01688443640046</v>
      </c>
      <c r="N91" s="123">
        <f>N85-N96-N101-N105-N110-N115-N120-N125-N130</f>
        <v>21946.299999999996</v>
      </c>
      <c r="O91" s="123">
        <f>O85-O96-O101-O105-O110-O115-O120-O125</f>
        <v>20211.200000000004</v>
      </c>
      <c r="P91" s="123">
        <f t="shared" si="152"/>
        <v>92.093883707048604</v>
      </c>
      <c r="Q91" s="123">
        <f t="shared" ref="Q91:R91" si="167">Q85-Q96-Q101-Q105-Q110-Q115-Q120-Q125-Q130</f>
        <v>18646.5</v>
      </c>
      <c r="R91" s="123">
        <f t="shared" si="167"/>
        <v>0</v>
      </c>
      <c r="S91" s="123">
        <f t="shared" si="153"/>
        <v>0</v>
      </c>
      <c r="T91" s="123">
        <f>T74-T96-T101-T105-T110-T115-T120-T125-T130</f>
        <v>15637.399999999998</v>
      </c>
      <c r="U91" s="123">
        <f t="shared" ref="U91" si="168">U85-U96-U101-U105-U110-U115-U120-U125-U130</f>
        <v>0</v>
      </c>
      <c r="V91" s="123">
        <f t="shared" si="154"/>
        <v>0</v>
      </c>
      <c r="W91" s="123">
        <f>W85-W96-W101-W105-W110-W115-W120-W125-W130</f>
        <v>24028.200000000004</v>
      </c>
      <c r="X91" s="123">
        <f t="shared" ref="X91:AO91" si="169">X85-X96-X101-X105-X110-X115-X120-X125-X130</f>
        <v>0</v>
      </c>
      <c r="Y91" s="123">
        <f t="shared" si="155"/>
        <v>0</v>
      </c>
      <c r="Z91" s="123">
        <f t="shared" si="169"/>
        <v>18275.3</v>
      </c>
      <c r="AA91" s="123">
        <f t="shared" si="169"/>
        <v>0</v>
      </c>
      <c r="AB91" s="123">
        <f t="shared" si="157"/>
        <v>0</v>
      </c>
      <c r="AC91" s="123">
        <f t="shared" si="169"/>
        <v>18005.8</v>
      </c>
      <c r="AD91" s="123">
        <f t="shared" si="169"/>
        <v>0</v>
      </c>
      <c r="AE91" s="123">
        <f t="shared" si="159"/>
        <v>0</v>
      </c>
      <c r="AF91" s="123">
        <f t="shared" si="169"/>
        <v>17145.100000000006</v>
      </c>
      <c r="AG91" s="123">
        <f t="shared" si="169"/>
        <v>0</v>
      </c>
      <c r="AH91" s="123">
        <f t="shared" si="161"/>
        <v>0</v>
      </c>
      <c r="AI91" s="123">
        <f t="shared" si="169"/>
        <v>18369.200000000008</v>
      </c>
      <c r="AJ91" s="123">
        <f t="shared" si="169"/>
        <v>0</v>
      </c>
      <c r="AK91" s="123">
        <f t="shared" si="163"/>
        <v>0</v>
      </c>
      <c r="AL91" s="123">
        <f t="shared" si="169"/>
        <v>24726.2</v>
      </c>
      <c r="AM91" s="123">
        <f t="shared" si="169"/>
        <v>0</v>
      </c>
      <c r="AN91" s="123">
        <f t="shared" si="164"/>
        <v>0</v>
      </c>
      <c r="AO91" s="123">
        <f t="shared" si="169"/>
        <v>35885.900000000009</v>
      </c>
      <c r="AP91" s="123">
        <f>AP85-AP96-AP101-AP105-AP110-AP115-AP120-AP125</f>
        <v>0</v>
      </c>
      <c r="AQ91" s="123">
        <f t="shared" si="165"/>
        <v>0</v>
      </c>
      <c r="AR91" s="457"/>
      <c r="AS91" s="458"/>
      <c r="AT91" s="227"/>
      <c r="AU91" s="227"/>
      <c r="AV91" s="228"/>
    </row>
    <row r="92" spans="1:48" s="229" customFormat="1" ht="24">
      <c r="A92" s="464"/>
      <c r="B92" s="465"/>
      <c r="C92" s="466"/>
      <c r="D92" s="143" t="s">
        <v>257</v>
      </c>
      <c r="E92" s="123">
        <f t="shared" si="166"/>
        <v>5410.0999999999995</v>
      </c>
      <c r="F92" s="123">
        <f t="shared" si="166"/>
        <v>761.30000000000007</v>
      </c>
      <c r="G92" s="123">
        <f>F92/E92*100</f>
        <v>14.071828616846272</v>
      </c>
      <c r="H92" s="123">
        <f>H86-H97-H106-H111-H116-H121-H126</f>
        <v>0</v>
      </c>
      <c r="I92" s="123">
        <f>I86-I97-I106-I111-I116-I121-I126</f>
        <v>0</v>
      </c>
      <c r="J92" s="123">
        <v>0</v>
      </c>
      <c r="K92" s="123">
        <f>K86-K97-K106-K111-K116-K121-K126</f>
        <v>115.2</v>
      </c>
      <c r="L92" s="123">
        <f>L86-L97-L106-L111-L116-L121-L126</f>
        <v>125.2</v>
      </c>
      <c r="M92" s="123">
        <f t="shared" si="151"/>
        <v>108.68055555555556</v>
      </c>
      <c r="N92" s="123">
        <f>N86-N97-N106-N111-N116-N121-N126</f>
        <v>669.2</v>
      </c>
      <c r="O92" s="123">
        <f>O86-O97-O106-O111-O116-O121-O126</f>
        <v>636.1</v>
      </c>
      <c r="P92" s="123">
        <f t="shared" si="152"/>
        <v>95.053795576808128</v>
      </c>
      <c r="Q92" s="123">
        <f>Q86-Q97-Q106-Q111-Q116-Q121-Q126</f>
        <v>453.1</v>
      </c>
      <c r="R92" s="123">
        <f>R86-R97-R106-R111-R116-R121-R126</f>
        <v>0</v>
      </c>
      <c r="S92" s="123">
        <f t="shared" si="153"/>
        <v>0</v>
      </c>
      <c r="T92" s="123">
        <f>T86-T97-T106-T111-T116-T121-T126</f>
        <v>723.1</v>
      </c>
      <c r="U92" s="123">
        <f>U86-U97-U106-U111-U116-U121-U126</f>
        <v>0</v>
      </c>
      <c r="V92" s="123">
        <f t="shared" si="154"/>
        <v>0</v>
      </c>
      <c r="W92" s="123">
        <f>W86-W97-W106-W111-W116-W121-W126</f>
        <v>504.5</v>
      </c>
      <c r="X92" s="123">
        <f>X86-X97-X106-X111-X116-X121-X126</f>
        <v>0</v>
      </c>
      <c r="Y92" s="123">
        <f t="shared" si="155"/>
        <v>0</v>
      </c>
      <c r="Z92" s="123">
        <f t="shared" ref="Z92:AA92" si="170">Z86-Z97-Z106-Z111-Z116-Z121-Z126</f>
        <v>555.6</v>
      </c>
      <c r="AA92" s="123">
        <f t="shared" si="170"/>
        <v>0</v>
      </c>
      <c r="AB92" s="123">
        <f t="shared" si="157"/>
        <v>0</v>
      </c>
      <c r="AC92" s="123">
        <f t="shared" ref="AC92:AD92" si="171">AC86-AC97-AC106-AC111-AC116-AC121-AC126</f>
        <v>751.90000000000009</v>
      </c>
      <c r="AD92" s="123">
        <f t="shared" si="171"/>
        <v>0</v>
      </c>
      <c r="AE92" s="123">
        <f t="shared" si="159"/>
        <v>0</v>
      </c>
      <c r="AF92" s="123">
        <f t="shared" ref="AF92:AG92" si="172">AF86-AF97-AF106-AF111-AF116-AF121-AF126</f>
        <v>280.8</v>
      </c>
      <c r="AG92" s="123">
        <f t="shared" si="172"/>
        <v>0</v>
      </c>
      <c r="AH92" s="123">
        <f t="shared" si="161"/>
        <v>0</v>
      </c>
      <c r="AI92" s="123">
        <f t="shared" ref="AI92:AO92" si="173">AI86-AI97-AI106-AI111-AI116-AI121-AI126</f>
        <v>453.3</v>
      </c>
      <c r="AJ92" s="123">
        <f t="shared" si="173"/>
        <v>0</v>
      </c>
      <c r="AK92" s="123">
        <f t="shared" si="163"/>
        <v>0</v>
      </c>
      <c r="AL92" s="123">
        <f>AL86-AL97-AL106-AL111-AL116-AL121-AL126</f>
        <v>349.7</v>
      </c>
      <c r="AM92" s="123">
        <f t="shared" si="173"/>
        <v>0</v>
      </c>
      <c r="AN92" s="123">
        <f t="shared" si="164"/>
        <v>0</v>
      </c>
      <c r="AO92" s="123">
        <f t="shared" si="173"/>
        <v>553.70000000000005</v>
      </c>
      <c r="AP92" s="123">
        <f>AP86-AP97-AP106-AP111-AP116-AP121-AP126</f>
        <v>0</v>
      </c>
      <c r="AQ92" s="123">
        <f t="shared" si="165"/>
        <v>0</v>
      </c>
      <c r="AR92" s="457"/>
      <c r="AS92" s="458"/>
      <c r="AT92" s="227"/>
      <c r="AU92" s="227"/>
      <c r="AV92" s="228"/>
    </row>
    <row r="93" spans="1:48" s="229" customFormat="1" ht="12.75" customHeight="1">
      <c r="A93" s="467"/>
      <c r="B93" s="468"/>
      <c r="C93" s="469"/>
      <c r="D93" s="143" t="s">
        <v>459</v>
      </c>
      <c r="E93" s="123">
        <f>H93+K93+N93+Q93+T93+W93+Z93+AC93+AF93+AI93+AL93+AO93</f>
        <v>0</v>
      </c>
      <c r="F93" s="123">
        <f>I93+L93+O93+R93+U93+X93+AA93+AD93+AG93+AJ93+AM93+AP93</f>
        <v>0</v>
      </c>
      <c r="G93" s="123">
        <v>0</v>
      </c>
      <c r="H93" s="123">
        <v>0</v>
      </c>
      <c r="I93" s="123">
        <v>0</v>
      </c>
      <c r="J93" s="123">
        <v>0</v>
      </c>
      <c r="K93" s="132">
        <v>0</v>
      </c>
      <c r="L93" s="123">
        <v>0</v>
      </c>
      <c r="M93" s="123">
        <v>0</v>
      </c>
      <c r="N93" s="123">
        <v>0</v>
      </c>
      <c r="O93" s="123">
        <v>0</v>
      </c>
      <c r="P93" s="123">
        <v>0</v>
      </c>
      <c r="Q93" s="123">
        <v>0</v>
      </c>
      <c r="R93" s="123">
        <v>0</v>
      </c>
      <c r="S93" s="123">
        <v>0</v>
      </c>
      <c r="T93" s="117">
        <v>0</v>
      </c>
      <c r="U93" s="117">
        <v>0</v>
      </c>
      <c r="V93" s="123">
        <v>0</v>
      </c>
      <c r="W93" s="117">
        <v>0</v>
      </c>
      <c r="X93" s="117">
        <v>0</v>
      </c>
      <c r="Y93" s="117">
        <v>0</v>
      </c>
      <c r="Z93" s="117">
        <v>0</v>
      </c>
      <c r="AA93" s="117">
        <v>0</v>
      </c>
      <c r="AB93" s="117">
        <v>0</v>
      </c>
      <c r="AC93" s="117">
        <v>0</v>
      </c>
      <c r="AD93" s="117">
        <v>0</v>
      </c>
      <c r="AE93" s="117">
        <v>0</v>
      </c>
      <c r="AF93" s="117">
        <v>0</v>
      </c>
      <c r="AG93" s="117">
        <v>0</v>
      </c>
      <c r="AH93" s="123">
        <v>0</v>
      </c>
      <c r="AI93" s="123">
        <v>0</v>
      </c>
      <c r="AJ93" s="123">
        <v>0</v>
      </c>
      <c r="AK93" s="123">
        <v>0</v>
      </c>
      <c r="AL93" s="117">
        <v>0</v>
      </c>
      <c r="AM93" s="117">
        <v>0</v>
      </c>
      <c r="AN93" s="117">
        <v>0</v>
      </c>
      <c r="AO93" s="123">
        <v>0</v>
      </c>
      <c r="AP93" s="123">
        <v>0</v>
      </c>
      <c r="AQ93" s="123">
        <v>0</v>
      </c>
      <c r="AR93" s="457"/>
      <c r="AS93" s="458"/>
      <c r="AT93" s="227"/>
      <c r="AU93" s="227"/>
      <c r="AV93" s="228"/>
    </row>
    <row r="94" spans="1:48" s="229" customFormat="1" ht="12.75" customHeight="1">
      <c r="A94" s="448" t="s">
        <v>473</v>
      </c>
      <c r="B94" s="449"/>
      <c r="C94" s="450"/>
      <c r="D94" s="143" t="s">
        <v>443</v>
      </c>
      <c r="E94" s="123">
        <f>E95+E96+E97</f>
        <v>106904.6</v>
      </c>
      <c r="F94" s="123">
        <f>F95+F96+F97</f>
        <v>20222.600000000002</v>
      </c>
      <c r="G94" s="123">
        <f>F94/E94*100</f>
        <v>18.916491900254996</v>
      </c>
      <c r="H94" s="123">
        <f>H95+H96+H97</f>
        <v>1352.7</v>
      </c>
      <c r="I94" s="123">
        <f>I95+I96+I97</f>
        <v>1317.4</v>
      </c>
      <c r="J94" s="123">
        <f>I94/H94*100</f>
        <v>97.390404376432329</v>
      </c>
      <c r="K94" s="123">
        <f>K95+K96+K97</f>
        <v>9861.6</v>
      </c>
      <c r="L94" s="123">
        <f>L95+L96+L97</f>
        <v>9203.2000000000007</v>
      </c>
      <c r="M94" s="123">
        <f>L94/K94*100</f>
        <v>93.323598604688897</v>
      </c>
      <c r="N94" s="123">
        <f>N95+N96+N97</f>
        <v>10698.7</v>
      </c>
      <c r="O94" s="123">
        <f>O95+O96+O97</f>
        <v>9702</v>
      </c>
      <c r="P94" s="123">
        <f>O94/N94*100</f>
        <v>90.683914868161537</v>
      </c>
      <c r="Q94" s="123">
        <f>Q95+Q96+Q97</f>
        <v>8778.5</v>
      </c>
      <c r="R94" s="123">
        <f>R95+R96+R97</f>
        <v>0</v>
      </c>
      <c r="S94" s="123">
        <f>R94/Q94*100</f>
        <v>0</v>
      </c>
      <c r="T94" s="123">
        <f>T95+T96+T97</f>
        <v>9468.3000000000011</v>
      </c>
      <c r="U94" s="123">
        <f>U95+U96+U97</f>
        <v>0</v>
      </c>
      <c r="V94" s="123">
        <f>U94/T94*100</f>
        <v>0</v>
      </c>
      <c r="W94" s="123">
        <f>W95+W96+W97</f>
        <v>10851.4</v>
      </c>
      <c r="X94" s="123">
        <f>X95+X96+X97</f>
        <v>0</v>
      </c>
      <c r="Y94" s="123">
        <f>X94/W94*100</f>
        <v>0</v>
      </c>
      <c r="Z94" s="123">
        <f>Z95+Z96+Z97</f>
        <v>11155.500000000002</v>
      </c>
      <c r="AA94" s="123">
        <f>AA95+AA96+AA97</f>
        <v>0</v>
      </c>
      <c r="AB94" s="123">
        <f>AA94/Z94*100</f>
        <v>0</v>
      </c>
      <c r="AC94" s="123">
        <f>AC95+AC96+AC97</f>
        <v>7750.5999999999995</v>
      </c>
      <c r="AD94" s="123">
        <f>AD95+AD96+AD97</f>
        <v>0</v>
      </c>
      <c r="AE94" s="123">
        <f>AD94/AC94*100</f>
        <v>0</v>
      </c>
      <c r="AF94" s="123">
        <f>AF95+AF96+AF97</f>
        <v>7824</v>
      </c>
      <c r="AG94" s="123">
        <f>AG95+AG96+AG97</f>
        <v>0</v>
      </c>
      <c r="AH94" s="123">
        <f>AG94/AF94*100</f>
        <v>0</v>
      </c>
      <c r="AI94" s="123">
        <f>AI95+AI96+AI97</f>
        <v>8550.6999999999989</v>
      </c>
      <c r="AJ94" s="123">
        <f>AJ95+AJ96+AJ97</f>
        <v>0</v>
      </c>
      <c r="AK94" s="123">
        <f>AJ94/AI94*100</f>
        <v>0</v>
      </c>
      <c r="AL94" s="123">
        <f>AL95+AL96+AL97</f>
        <v>8331</v>
      </c>
      <c r="AM94" s="123">
        <f>AM95+AM96+AM97</f>
        <v>0</v>
      </c>
      <c r="AN94" s="123">
        <f>AM94/AL94*100</f>
        <v>0</v>
      </c>
      <c r="AO94" s="123">
        <f>AO95+AO96+AO97</f>
        <v>12281.6</v>
      </c>
      <c r="AP94" s="123">
        <f>AP95+AP96+AP97</f>
        <v>0</v>
      </c>
      <c r="AQ94" s="123">
        <f>AP94/AO94*100</f>
        <v>0</v>
      </c>
      <c r="AR94" s="457"/>
      <c r="AS94" s="458"/>
      <c r="AT94" s="227"/>
      <c r="AU94" s="227"/>
      <c r="AV94" s="228"/>
    </row>
    <row r="95" spans="1:48" s="229" customFormat="1" ht="48">
      <c r="A95" s="451"/>
      <c r="B95" s="452"/>
      <c r="C95" s="453"/>
      <c r="D95" s="219" t="s">
        <v>441</v>
      </c>
      <c r="E95" s="123">
        <f>H95+K95+N95+Q95+T95+W95+Z95+AC95+AF95+AI95+AL95+AO95</f>
        <v>2778.3</v>
      </c>
      <c r="F95" s="123">
        <f>I95+L95+O95+R95+U95+X95+AA95+AD95+AG95+AJ95+AM95+AP95</f>
        <v>189.7</v>
      </c>
      <c r="G95" s="123">
        <f>F95/E95*100</f>
        <v>6.8279163517258752</v>
      </c>
      <c r="H95" s="123">
        <v>0</v>
      </c>
      <c r="I95" s="123">
        <f>I24</f>
        <v>0</v>
      </c>
      <c r="J95" s="123">
        <v>0</v>
      </c>
      <c r="K95" s="123">
        <v>72.099999999999994</v>
      </c>
      <c r="L95" s="123">
        <v>72.099999999999994</v>
      </c>
      <c r="M95" s="123">
        <f>L95/K95*100</f>
        <v>100</v>
      </c>
      <c r="N95" s="123">
        <v>154</v>
      </c>
      <c r="O95" s="123">
        <v>117.6</v>
      </c>
      <c r="P95" s="123">
        <f>O95/N95*100</f>
        <v>76.36363636363636</v>
      </c>
      <c r="Q95" s="123">
        <v>214.1</v>
      </c>
      <c r="R95" s="123">
        <v>0</v>
      </c>
      <c r="S95" s="123">
        <f>R95/Q95*100</f>
        <v>0</v>
      </c>
      <c r="T95" s="123">
        <v>209.2</v>
      </c>
      <c r="U95" s="123">
        <v>0</v>
      </c>
      <c r="V95" s="123">
        <f>U95/T95*100</f>
        <v>0</v>
      </c>
      <c r="W95" s="123">
        <v>304.3</v>
      </c>
      <c r="X95" s="123">
        <v>0</v>
      </c>
      <c r="Y95" s="123">
        <f>X95/W95*100</f>
        <v>0</v>
      </c>
      <c r="Z95" s="123">
        <v>295.2</v>
      </c>
      <c r="AA95" s="123">
        <v>0</v>
      </c>
      <c r="AB95" s="123">
        <f t="shared" ref="AB95:AB96" si="174">AA95/Z95*100</f>
        <v>0</v>
      </c>
      <c r="AC95" s="123">
        <v>295.39999999999998</v>
      </c>
      <c r="AD95" s="123">
        <v>0</v>
      </c>
      <c r="AE95" s="123">
        <f t="shared" ref="AE95:AE96" si="175">AD95/AC95*100</f>
        <v>0</v>
      </c>
      <c r="AF95" s="123">
        <v>295.39999999999998</v>
      </c>
      <c r="AG95" s="123">
        <v>0</v>
      </c>
      <c r="AH95" s="123">
        <f t="shared" ref="AH95:AH96" si="176">AG95/AF95*100</f>
        <v>0</v>
      </c>
      <c r="AI95" s="123">
        <v>305.3</v>
      </c>
      <c r="AJ95" s="123">
        <v>0</v>
      </c>
      <c r="AK95" s="123">
        <f t="shared" ref="AK95:AK96" si="177">AJ95/AI95*100</f>
        <v>0</v>
      </c>
      <c r="AL95" s="123">
        <v>502.2</v>
      </c>
      <c r="AM95" s="123">
        <v>0</v>
      </c>
      <c r="AN95" s="123">
        <f t="shared" ref="AN95:AN96" si="178">AM95/AL95*100</f>
        <v>0</v>
      </c>
      <c r="AO95" s="123">
        <v>131.1</v>
      </c>
      <c r="AP95" s="123">
        <v>0</v>
      </c>
      <c r="AQ95" s="123">
        <f t="shared" ref="AQ95:AQ96" si="179">AP95/AO95*100</f>
        <v>0</v>
      </c>
      <c r="AR95" s="457"/>
      <c r="AS95" s="458"/>
      <c r="AT95" s="227"/>
      <c r="AU95" s="227"/>
      <c r="AV95" s="228"/>
    </row>
    <row r="96" spans="1:48" s="229" customFormat="1" ht="12.75" customHeight="1">
      <c r="A96" s="451"/>
      <c r="B96" s="452"/>
      <c r="C96" s="453"/>
      <c r="D96" s="219" t="s">
        <v>454</v>
      </c>
      <c r="E96" s="123">
        <f>H96+K96+N96+Q96+T96+W96+Z96+AC96+AF96+AI96+AL96+AO96</f>
        <v>104126.3</v>
      </c>
      <c r="F96" s="123">
        <f t="shared" ref="E96:F97" si="180">I96+L96+O96+R96+U96+X96+AA96+AD96+AG96+AJ96+AM96+AP96</f>
        <v>20032.900000000001</v>
      </c>
      <c r="G96" s="123">
        <f>F96/E96*100</f>
        <v>19.239039512591923</v>
      </c>
      <c r="H96" s="123">
        <f>1752.7-400</f>
        <v>1352.7</v>
      </c>
      <c r="I96" s="123">
        <v>1317.4</v>
      </c>
      <c r="J96" s="123">
        <f t="shared" ref="J96" si="181">I96/H96*100</f>
        <v>97.390404376432329</v>
      </c>
      <c r="K96" s="123">
        <f>7931.5+1858</f>
        <v>9789.5</v>
      </c>
      <c r="L96" s="123">
        <v>9131.1</v>
      </c>
      <c r="M96" s="123">
        <f t="shared" ref="M96" si="182">L96/K96*100</f>
        <v>93.27442668164872</v>
      </c>
      <c r="N96" s="123">
        <f>10144.7+400</f>
        <v>10544.7</v>
      </c>
      <c r="O96" s="123">
        <v>9584.4</v>
      </c>
      <c r="P96" s="123">
        <f t="shared" ref="P96" si="183">O96/N96*100</f>
        <v>90.893055278955288</v>
      </c>
      <c r="Q96" s="123">
        <v>8564.4</v>
      </c>
      <c r="R96" s="123">
        <v>0</v>
      </c>
      <c r="S96" s="123">
        <f t="shared" ref="S96" si="184">R96/Q96*100</f>
        <v>0</v>
      </c>
      <c r="T96" s="123">
        <f>8218.7+1040.4</f>
        <v>9259.1</v>
      </c>
      <c r="U96" s="123">
        <v>0</v>
      </c>
      <c r="V96" s="123">
        <f t="shared" ref="V96" si="185">U96/T96*100</f>
        <v>0</v>
      </c>
      <c r="W96" s="123">
        <v>10547.1</v>
      </c>
      <c r="X96" s="123">
        <v>0</v>
      </c>
      <c r="Y96" s="123">
        <f t="shared" ref="Y96" si="186">X96/W96*100</f>
        <v>0</v>
      </c>
      <c r="Z96" s="123">
        <f>11148.7-288.4</f>
        <v>10860.300000000001</v>
      </c>
      <c r="AA96" s="123">
        <v>0</v>
      </c>
      <c r="AB96" s="123">
        <f t="shared" si="174"/>
        <v>0</v>
      </c>
      <c r="AC96" s="123">
        <v>7455.2</v>
      </c>
      <c r="AD96" s="123">
        <v>0</v>
      </c>
      <c r="AE96" s="123">
        <f t="shared" si="175"/>
        <v>0</v>
      </c>
      <c r="AF96" s="123">
        <v>7528.6</v>
      </c>
      <c r="AG96" s="123">
        <v>0</v>
      </c>
      <c r="AH96" s="123">
        <f t="shared" si="176"/>
        <v>0</v>
      </c>
      <c r="AI96" s="123">
        <v>8245.4</v>
      </c>
      <c r="AJ96" s="123">
        <v>0</v>
      </c>
      <c r="AK96" s="123">
        <f t="shared" si="177"/>
        <v>0</v>
      </c>
      <c r="AL96" s="123">
        <v>7828.8</v>
      </c>
      <c r="AM96" s="123">
        <v>0</v>
      </c>
      <c r="AN96" s="123">
        <f t="shared" si="178"/>
        <v>0</v>
      </c>
      <c r="AO96" s="123">
        <f>13065.8-915.3</f>
        <v>12150.5</v>
      </c>
      <c r="AP96" s="123">
        <v>0</v>
      </c>
      <c r="AQ96" s="123">
        <f t="shared" si="179"/>
        <v>0</v>
      </c>
      <c r="AR96" s="457"/>
      <c r="AS96" s="458"/>
      <c r="AT96" s="227"/>
      <c r="AU96" s="227"/>
      <c r="AV96" s="228"/>
    </row>
    <row r="97" spans="1:48" s="229" customFormat="1" ht="12.75" customHeight="1">
      <c r="A97" s="451"/>
      <c r="B97" s="452"/>
      <c r="C97" s="453"/>
      <c r="D97" s="143" t="s">
        <v>257</v>
      </c>
      <c r="E97" s="123">
        <f t="shared" si="180"/>
        <v>0</v>
      </c>
      <c r="F97" s="123">
        <f t="shared" si="180"/>
        <v>0</v>
      </c>
      <c r="G97" s="123">
        <v>0</v>
      </c>
      <c r="H97" s="123">
        <f t="shared" ref="H97:I97" si="187">H26</f>
        <v>0</v>
      </c>
      <c r="I97" s="123">
        <f t="shared" si="187"/>
        <v>0</v>
      </c>
      <c r="J97" s="123">
        <v>0</v>
      </c>
      <c r="K97" s="123">
        <f t="shared" ref="K97:L97" si="188">K26</f>
        <v>0</v>
      </c>
      <c r="L97" s="123">
        <f t="shared" si="188"/>
        <v>0</v>
      </c>
      <c r="M97" s="123">
        <v>0</v>
      </c>
      <c r="N97" s="123">
        <f t="shared" ref="N97:O97" si="189">N26</f>
        <v>0</v>
      </c>
      <c r="O97" s="123">
        <f t="shared" si="189"/>
        <v>0</v>
      </c>
      <c r="P97" s="123">
        <v>0</v>
      </c>
      <c r="Q97" s="123">
        <f t="shared" ref="Q97:R97" si="190">Q26</f>
        <v>0</v>
      </c>
      <c r="R97" s="123">
        <f t="shared" si="190"/>
        <v>0</v>
      </c>
      <c r="S97" s="123">
        <v>0</v>
      </c>
      <c r="T97" s="123">
        <f t="shared" ref="T97:U97" si="191">T26</f>
        <v>0</v>
      </c>
      <c r="U97" s="123">
        <f t="shared" si="191"/>
        <v>0</v>
      </c>
      <c r="V97" s="123">
        <v>0</v>
      </c>
      <c r="W97" s="123">
        <f t="shared" ref="W97:X97" si="192">W26</f>
        <v>0</v>
      </c>
      <c r="X97" s="123">
        <f t="shared" si="192"/>
        <v>0</v>
      </c>
      <c r="Y97" s="123">
        <v>0</v>
      </c>
      <c r="Z97" s="123">
        <f t="shared" ref="Z97:AA97" si="193">Z26</f>
        <v>0</v>
      </c>
      <c r="AA97" s="123">
        <f t="shared" si="193"/>
        <v>0</v>
      </c>
      <c r="AB97" s="123">
        <v>0</v>
      </c>
      <c r="AC97" s="123">
        <f t="shared" ref="AC97:AD97" si="194">AC26</f>
        <v>0</v>
      </c>
      <c r="AD97" s="123">
        <f t="shared" si="194"/>
        <v>0</v>
      </c>
      <c r="AE97" s="123">
        <v>0</v>
      </c>
      <c r="AF97" s="123">
        <f t="shared" ref="AF97:AG97" si="195">AF26</f>
        <v>0</v>
      </c>
      <c r="AG97" s="123">
        <f t="shared" si="195"/>
        <v>0</v>
      </c>
      <c r="AH97" s="123">
        <v>0</v>
      </c>
      <c r="AI97" s="123">
        <f t="shared" ref="AI97:AJ97" si="196">AI26</f>
        <v>0</v>
      </c>
      <c r="AJ97" s="123">
        <f t="shared" si="196"/>
        <v>0</v>
      </c>
      <c r="AK97" s="123">
        <v>0</v>
      </c>
      <c r="AL97" s="123">
        <f t="shared" ref="AL97:AM97" si="197">AL26</f>
        <v>0</v>
      </c>
      <c r="AM97" s="123">
        <f t="shared" si="197"/>
        <v>0</v>
      </c>
      <c r="AN97" s="123">
        <v>0</v>
      </c>
      <c r="AO97" s="123">
        <f t="shared" ref="AO97:AP97" si="198">AO26</f>
        <v>0</v>
      </c>
      <c r="AP97" s="123">
        <f t="shared" si="198"/>
        <v>0</v>
      </c>
      <c r="AQ97" s="123">
        <v>0</v>
      </c>
      <c r="AR97" s="457"/>
      <c r="AS97" s="458"/>
      <c r="AT97" s="227"/>
      <c r="AU97" s="227"/>
      <c r="AV97" s="228"/>
    </row>
    <row r="98" spans="1:48" s="229" customFormat="1" ht="24">
      <c r="A98" s="454"/>
      <c r="B98" s="455"/>
      <c r="C98" s="456"/>
      <c r="D98" s="143" t="s">
        <v>459</v>
      </c>
      <c r="E98" s="123">
        <f>H98+K98+N98+Q98+T98+W98+Z98+AC98+AF98+AI98+AL98+AO98</f>
        <v>0</v>
      </c>
      <c r="F98" s="123">
        <f>I98+L98+O98+R98+U98+X98+AA98+AD98+AG98+AJ98+AM98+AP98</f>
        <v>0</v>
      </c>
      <c r="G98" s="123">
        <v>0</v>
      </c>
      <c r="H98" s="123">
        <v>0</v>
      </c>
      <c r="I98" s="123">
        <v>0</v>
      </c>
      <c r="J98" s="123">
        <v>0</v>
      </c>
      <c r="K98" s="132">
        <v>0</v>
      </c>
      <c r="L98" s="123">
        <v>0</v>
      </c>
      <c r="M98" s="123">
        <v>0</v>
      </c>
      <c r="N98" s="123">
        <v>0</v>
      </c>
      <c r="O98" s="123">
        <v>0</v>
      </c>
      <c r="P98" s="123">
        <v>0</v>
      </c>
      <c r="Q98" s="123">
        <v>0</v>
      </c>
      <c r="R98" s="123">
        <v>0</v>
      </c>
      <c r="S98" s="123">
        <v>0</v>
      </c>
      <c r="T98" s="117">
        <v>0</v>
      </c>
      <c r="U98" s="117">
        <v>0</v>
      </c>
      <c r="V98" s="123">
        <v>0</v>
      </c>
      <c r="W98" s="117">
        <v>0</v>
      </c>
      <c r="X98" s="117">
        <v>0</v>
      </c>
      <c r="Y98" s="117">
        <v>0</v>
      </c>
      <c r="Z98" s="117">
        <v>0</v>
      </c>
      <c r="AA98" s="117">
        <v>0</v>
      </c>
      <c r="AB98" s="117">
        <v>0</v>
      </c>
      <c r="AC98" s="117">
        <v>0</v>
      </c>
      <c r="AD98" s="117">
        <v>0</v>
      </c>
      <c r="AE98" s="117">
        <v>0</v>
      </c>
      <c r="AF98" s="117">
        <v>0</v>
      </c>
      <c r="AG98" s="117">
        <v>0</v>
      </c>
      <c r="AH98" s="123">
        <v>0</v>
      </c>
      <c r="AI98" s="123">
        <v>0</v>
      </c>
      <c r="AJ98" s="123">
        <v>0</v>
      </c>
      <c r="AK98" s="123">
        <v>0</v>
      </c>
      <c r="AL98" s="117">
        <v>0</v>
      </c>
      <c r="AM98" s="117">
        <v>0</v>
      </c>
      <c r="AN98" s="123">
        <v>0</v>
      </c>
      <c r="AO98" s="123">
        <v>0</v>
      </c>
      <c r="AP98" s="123">
        <v>0</v>
      </c>
      <c r="AQ98" s="123">
        <v>0</v>
      </c>
      <c r="AR98" s="457"/>
      <c r="AS98" s="458"/>
      <c r="AT98" s="227"/>
      <c r="AU98" s="227"/>
      <c r="AV98" s="228"/>
    </row>
    <row r="99" spans="1:48" s="229" customFormat="1" ht="27" customHeight="1">
      <c r="A99" s="448" t="s">
        <v>493</v>
      </c>
      <c r="B99" s="449"/>
      <c r="C99" s="450"/>
      <c r="D99" s="143" t="s">
        <v>443</v>
      </c>
      <c r="E99" s="123">
        <f>E100+E101</f>
        <v>12781.400000000001</v>
      </c>
      <c r="F99" s="123">
        <f>F100+F101</f>
        <v>751.09999999999991</v>
      </c>
      <c r="G99" s="123">
        <f>F99/E99*100</f>
        <v>5.8765080507612613</v>
      </c>
      <c r="H99" s="123">
        <f>H100+H101</f>
        <v>94.5</v>
      </c>
      <c r="I99" s="123">
        <f>I100+I101</f>
        <v>94.5</v>
      </c>
      <c r="J99" s="123">
        <f t="shared" ref="J99" si="199">I99/H99*100</f>
        <v>100</v>
      </c>
      <c r="K99" s="123">
        <f>K100+K101</f>
        <v>265.2</v>
      </c>
      <c r="L99" s="123">
        <f>L100+L101</f>
        <v>149.6</v>
      </c>
      <c r="M99" s="123">
        <f>L99/K99*100</f>
        <v>56.410256410256409</v>
      </c>
      <c r="N99" s="123">
        <f>N100+N101</f>
        <v>556.5</v>
      </c>
      <c r="O99" s="123">
        <f>O100+O101</f>
        <v>506.99999999999994</v>
      </c>
      <c r="P99" s="123">
        <f>O99/N99*100</f>
        <v>91.105121293800522</v>
      </c>
      <c r="Q99" s="123">
        <f>Q100+Q101</f>
        <v>1906</v>
      </c>
      <c r="R99" s="123">
        <f>R100+R101</f>
        <v>0</v>
      </c>
      <c r="S99" s="123">
        <f>R99/Q99*100</f>
        <v>0</v>
      </c>
      <c r="T99" s="123">
        <f>T100+T101</f>
        <v>2206</v>
      </c>
      <c r="U99" s="123">
        <f>U100+U101</f>
        <v>0</v>
      </c>
      <c r="V99" s="123">
        <f>U99/T99*100</f>
        <v>0</v>
      </c>
      <c r="W99" s="123">
        <f>W100+W101</f>
        <v>3738.8</v>
      </c>
      <c r="X99" s="123">
        <f>X100+X101</f>
        <v>0</v>
      </c>
      <c r="Y99" s="123">
        <f>X99/W99*100</f>
        <v>0</v>
      </c>
      <c r="Z99" s="123">
        <f>Z100+Z101</f>
        <v>1062.0999999999999</v>
      </c>
      <c r="AA99" s="123">
        <f t="shared" ref="AA99:AO99" si="200">AA100+AA101</f>
        <v>0</v>
      </c>
      <c r="AB99" s="123">
        <f>AA99/Z99*100</f>
        <v>0</v>
      </c>
      <c r="AC99" s="123">
        <f t="shared" si="200"/>
        <v>872</v>
      </c>
      <c r="AD99" s="123">
        <f t="shared" si="200"/>
        <v>0</v>
      </c>
      <c r="AE99" s="123">
        <f>AD99/AC99*100</f>
        <v>0</v>
      </c>
      <c r="AF99" s="123">
        <f t="shared" si="200"/>
        <v>870.4</v>
      </c>
      <c r="AG99" s="123">
        <f t="shared" si="200"/>
        <v>0</v>
      </c>
      <c r="AH99" s="123">
        <f>AG99/AF99*100</f>
        <v>0</v>
      </c>
      <c r="AI99" s="123">
        <f t="shared" si="200"/>
        <v>598.70000000000005</v>
      </c>
      <c r="AJ99" s="123">
        <f t="shared" si="200"/>
        <v>0</v>
      </c>
      <c r="AK99" s="123">
        <f>AJ99/AI99*100</f>
        <v>0</v>
      </c>
      <c r="AL99" s="123">
        <f t="shared" si="200"/>
        <v>328.5</v>
      </c>
      <c r="AM99" s="123">
        <f t="shared" si="200"/>
        <v>0</v>
      </c>
      <c r="AN99" s="123">
        <f>AM99/AL99*100</f>
        <v>0</v>
      </c>
      <c r="AO99" s="123">
        <f t="shared" si="200"/>
        <v>282.7</v>
      </c>
      <c r="AP99" s="123">
        <f>AP100+AP101</f>
        <v>0</v>
      </c>
      <c r="AQ99" s="123">
        <f>AP99/AO99*100</f>
        <v>0</v>
      </c>
      <c r="AR99" s="457"/>
      <c r="AS99" s="458"/>
      <c r="AT99" s="227"/>
      <c r="AU99" s="227"/>
      <c r="AV99" s="228"/>
    </row>
    <row r="100" spans="1:48" s="229" customFormat="1" ht="50.25" customHeight="1">
      <c r="A100" s="451"/>
      <c r="B100" s="452"/>
      <c r="C100" s="453"/>
      <c r="D100" s="219" t="s">
        <v>441</v>
      </c>
      <c r="E100" s="123">
        <f>H100+K100+N100+Q100+T100+W100+Z100+AC100+AF100+AI100+AL100+AO100</f>
        <v>0</v>
      </c>
      <c r="F100" s="123">
        <f>I100+L100+O100+R100+U100+X100+AA100+AD100+AG100+AJ100+AM100+AP100</f>
        <v>0</v>
      </c>
      <c r="G100" s="123">
        <v>0</v>
      </c>
      <c r="H100" s="123">
        <v>0</v>
      </c>
      <c r="I100" s="123">
        <f>I39+I57+I68</f>
        <v>0</v>
      </c>
      <c r="J100" s="123">
        <v>0</v>
      </c>
      <c r="K100" s="123">
        <v>0</v>
      </c>
      <c r="L100" s="123">
        <v>0</v>
      </c>
      <c r="M100" s="123">
        <v>0</v>
      </c>
      <c r="N100" s="123">
        <v>0</v>
      </c>
      <c r="O100" s="123">
        <v>0</v>
      </c>
      <c r="P100" s="123">
        <v>0</v>
      </c>
      <c r="Q100" s="123">
        <v>0</v>
      </c>
      <c r="R100" s="123">
        <v>0</v>
      </c>
      <c r="S100" s="123" t="e">
        <f t="shared" ref="S100:S101" si="201">R100/Q100*100</f>
        <v>#DIV/0!</v>
      </c>
      <c r="T100" s="123">
        <v>0</v>
      </c>
      <c r="U100" s="123">
        <v>0</v>
      </c>
      <c r="V100" s="123" t="e">
        <f t="shared" ref="V100:V101" si="202">U100/T100*100</f>
        <v>#DIV/0!</v>
      </c>
      <c r="W100" s="123">
        <v>0</v>
      </c>
      <c r="X100" s="123">
        <v>0</v>
      </c>
      <c r="Y100" s="123" t="e">
        <f t="shared" ref="Y100:Y101" si="203">X100/W100*100</f>
        <v>#DIV/0!</v>
      </c>
      <c r="Z100" s="123">
        <v>0</v>
      </c>
      <c r="AA100" s="123">
        <v>0</v>
      </c>
      <c r="AB100" s="123" t="e">
        <f t="shared" ref="AB100:AB101" si="204">AA100/Z100*100</f>
        <v>#DIV/0!</v>
      </c>
      <c r="AC100" s="123">
        <v>0</v>
      </c>
      <c r="AD100" s="123">
        <v>0</v>
      </c>
      <c r="AE100" s="123" t="e">
        <f t="shared" ref="AE100:AE101" si="205">AD100/AC100*100</f>
        <v>#DIV/0!</v>
      </c>
      <c r="AF100" s="123">
        <v>0</v>
      </c>
      <c r="AG100" s="123">
        <v>0</v>
      </c>
      <c r="AH100" s="123" t="e">
        <f t="shared" ref="AH100:AH101" si="206">AG100/AF100*100</f>
        <v>#DIV/0!</v>
      </c>
      <c r="AI100" s="123">
        <v>0</v>
      </c>
      <c r="AJ100" s="123">
        <v>0</v>
      </c>
      <c r="AK100" s="123" t="e">
        <f t="shared" ref="AK100:AK101" si="207">AJ100/AI100*100</f>
        <v>#DIV/0!</v>
      </c>
      <c r="AL100" s="123">
        <v>0</v>
      </c>
      <c r="AM100" s="123">
        <v>0</v>
      </c>
      <c r="AN100" s="123" t="e">
        <f t="shared" ref="AN100:AN101" si="208">AM100/AL100*100</f>
        <v>#DIV/0!</v>
      </c>
      <c r="AO100" s="123">
        <v>0</v>
      </c>
      <c r="AP100" s="123">
        <v>0</v>
      </c>
      <c r="AQ100" s="123" t="e">
        <f t="shared" ref="AQ100:AQ101" si="209">AP100/AO100*100</f>
        <v>#DIV/0!</v>
      </c>
      <c r="AR100" s="457"/>
      <c r="AS100" s="458"/>
      <c r="AT100" s="227"/>
      <c r="AU100" s="227"/>
      <c r="AV100" s="228"/>
    </row>
    <row r="101" spans="1:48" s="229" customFormat="1" ht="33" customHeight="1">
      <c r="A101" s="451"/>
      <c r="B101" s="452"/>
      <c r="C101" s="453"/>
      <c r="D101" s="219" t="s">
        <v>454</v>
      </c>
      <c r="E101" s="123">
        <f t="shared" ref="E101" si="210">H101+K101+N101+Q101+T101+W101+Z101+AC101+AF101+AI101+AL101+AO101</f>
        <v>12781.400000000001</v>
      </c>
      <c r="F101" s="123">
        <f>I101+L101+O101+R101+U101+X101+AA101+AD101+AG101+AJ101+AM101+AP101</f>
        <v>751.09999999999991</v>
      </c>
      <c r="G101" s="123">
        <f>F101/E101*100</f>
        <v>5.8765080507612613</v>
      </c>
      <c r="H101" s="123">
        <f>H69+H40-H120</f>
        <v>94.5</v>
      </c>
      <c r="I101" s="123">
        <f>I69+I40-I120</f>
        <v>94.5</v>
      </c>
      <c r="J101" s="123">
        <f t="shared" ref="J101" si="211">I101/H101*100</f>
        <v>100</v>
      </c>
      <c r="K101" s="123">
        <f>K69+K40-K120</f>
        <v>265.2</v>
      </c>
      <c r="L101" s="123">
        <f>L69+L40-L120</f>
        <v>149.6</v>
      </c>
      <c r="M101" s="123">
        <f t="shared" ref="M101" si="212">L101/K101*100</f>
        <v>56.410256410256409</v>
      </c>
      <c r="N101" s="123">
        <f>N69+N40-N120</f>
        <v>556.5</v>
      </c>
      <c r="O101" s="123">
        <f>O69+O40-O120</f>
        <v>506.99999999999994</v>
      </c>
      <c r="P101" s="123">
        <f t="shared" ref="P101" si="213">O101/N101*100</f>
        <v>91.105121293800522</v>
      </c>
      <c r="Q101" s="123">
        <f>Q69+Q40-Q120</f>
        <v>1906</v>
      </c>
      <c r="R101" s="123">
        <v>0</v>
      </c>
      <c r="S101" s="123">
        <f t="shared" si="201"/>
        <v>0</v>
      </c>
      <c r="T101" s="123">
        <f>T69+T40-T120</f>
        <v>2206</v>
      </c>
      <c r="U101" s="123">
        <v>0</v>
      </c>
      <c r="V101" s="123">
        <f t="shared" si="202"/>
        <v>0</v>
      </c>
      <c r="W101" s="123">
        <f>W69+W40-W120</f>
        <v>3738.8</v>
      </c>
      <c r="X101" s="123">
        <v>0</v>
      </c>
      <c r="Y101" s="123">
        <f t="shared" si="203"/>
        <v>0</v>
      </c>
      <c r="Z101" s="123">
        <f>Z69+Z40-Z120</f>
        <v>1062.0999999999999</v>
      </c>
      <c r="AA101" s="123">
        <v>0</v>
      </c>
      <c r="AB101" s="123">
        <f t="shared" si="204"/>
        <v>0</v>
      </c>
      <c r="AC101" s="123">
        <f>AC69+AC40-AC120</f>
        <v>872</v>
      </c>
      <c r="AD101" s="123">
        <v>0</v>
      </c>
      <c r="AE101" s="123">
        <f t="shared" si="205"/>
        <v>0</v>
      </c>
      <c r="AF101" s="123">
        <f>AF69+AF40-AF120</f>
        <v>870.4</v>
      </c>
      <c r="AG101" s="123">
        <v>0</v>
      </c>
      <c r="AH101" s="123">
        <f t="shared" si="206"/>
        <v>0</v>
      </c>
      <c r="AI101" s="123">
        <f>AI69+AI40-AI120</f>
        <v>598.70000000000005</v>
      </c>
      <c r="AJ101" s="123">
        <v>0</v>
      </c>
      <c r="AK101" s="123">
        <f t="shared" si="207"/>
        <v>0</v>
      </c>
      <c r="AL101" s="123">
        <f>AL69+AL40-AL120</f>
        <v>328.5</v>
      </c>
      <c r="AM101" s="123">
        <v>0</v>
      </c>
      <c r="AN101" s="123">
        <f t="shared" si="208"/>
        <v>0</v>
      </c>
      <c r="AO101" s="123">
        <f>AO69+AO40-AO120</f>
        <v>282.7</v>
      </c>
      <c r="AP101" s="123">
        <v>0</v>
      </c>
      <c r="AQ101" s="123">
        <f t="shared" si="209"/>
        <v>0</v>
      </c>
      <c r="AR101" s="457"/>
      <c r="AS101" s="458"/>
      <c r="AT101" s="227"/>
      <c r="AU101" s="227"/>
      <c r="AV101" s="228"/>
    </row>
    <row r="102" spans="1:48" s="229" customFormat="1" ht="69" customHeight="1">
      <c r="A102" s="454"/>
      <c r="B102" s="455"/>
      <c r="C102" s="456"/>
      <c r="D102" s="143" t="s">
        <v>459</v>
      </c>
      <c r="E102" s="123">
        <f>H102+K102+N102+Q102+T102+W102+Z102+AC102+AF102+AI102+AL102+AO102</f>
        <v>0</v>
      </c>
      <c r="F102" s="123">
        <f>I102+L102+O102+R102+U102+X102+AA102+AD102+AG102+AJ102+AM102+AP102</f>
        <v>0</v>
      </c>
      <c r="G102" s="123">
        <v>0</v>
      </c>
      <c r="H102" s="123">
        <v>0</v>
      </c>
      <c r="I102" s="123">
        <v>0</v>
      </c>
      <c r="J102" s="123">
        <v>0</v>
      </c>
      <c r="K102" s="132">
        <v>0</v>
      </c>
      <c r="L102" s="123">
        <v>0</v>
      </c>
      <c r="M102" s="123">
        <v>0</v>
      </c>
      <c r="N102" s="123">
        <v>0</v>
      </c>
      <c r="O102" s="123">
        <v>0</v>
      </c>
      <c r="P102" s="123">
        <v>0</v>
      </c>
      <c r="Q102" s="123">
        <v>0</v>
      </c>
      <c r="R102" s="123">
        <v>0</v>
      </c>
      <c r="S102" s="123">
        <v>0</v>
      </c>
      <c r="T102" s="117">
        <v>0</v>
      </c>
      <c r="U102" s="117">
        <v>0</v>
      </c>
      <c r="V102" s="123">
        <v>0</v>
      </c>
      <c r="W102" s="117">
        <v>0</v>
      </c>
      <c r="X102" s="117">
        <v>0</v>
      </c>
      <c r="Y102" s="117">
        <v>0</v>
      </c>
      <c r="Z102" s="117">
        <v>0</v>
      </c>
      <c r="AA102" s="117">
        <v>0</v>
      </c>
      <c r="AB102" s="117">
        <v>0</v>
      </c>
      <c r="AC102" s="117">
        <v>0</v>
      </c>
      <c r="AD102" s="117">
        <v>0</v>
      </c>
      <c r="AE102" s="117">
        <v>0</v>
      </c>
      <c r="AF102" s="117">
        <v>0</v>
      </c>
      <c r="AG102" s="117">
        <v>0</v>
      </c>
      <c r="AH102" s="117">
        <v>0</v>
      </c>
      <c r="AI102" s="123">
        <v>0</v>
      </c>
      <c r="AJ102" s="123">
        <v>0</v>
      </c>
      <c r="AK102" s="117">
        <v>0</v>
      </c>
      <c r="AL102" s="123">
        <v>0</v>
      </c>
      <c r="AM102" s="123">
        <v>0</v>
      </c>
      <c r="AN102" s="117">
        <v>0</v>
      </c>
      <c r="AO102" s="123">
        <v>0</v>
      </c>
      <c r="AP102" s="123">
        <v>0</v>
      </c>
      <c r="AQ102" s="117">
        <v>0</v>
      </c>
      <c r="AR102" s="457"/>
      <c r="AS102" s="458"/>
      <c r="AT102" s="227"/>
      <c r="AU102" s="227"/>
      <c r="AV102" s="228"/>
    </row>
    <row r="103" spans="1:48" s="229" customFormat="1" ht="12.75" customHeight="1">
      <c r="A103" s="448" t="s">
        <v>497</v>
      </c>
      <c r="B103" s="449"/>
      <c r="C103" s="450"/>
      <c r="D103" s="143" t="s">
        <v>443</v>
      </c>
      <c r="E103" s="123">
        <f>E104+E105+E106</f>
        <v>2999.9999999999995</v>
      </c>
      <c r="F103" s="123">
        <f>F104+F105+F106</f>
        <v>0</v>
      </c>
      <c r="G103" s="123">
        <f>F103/E103*100</f>
        <v>0</v>
      </c>
      <c r="H103" s="123">
        <f t="shared" ref="H103:I103" si="214">H104+H105+H106</f>
        <v>0</v>
      </c>
      <c r="I103" s="123">
        <f t="shared" si="214"/>
        <v>0</v>
      </c>
      <c r="J103" s="123">
        <v>0</v>
      </c>
      <c r="K103" s="123">
        <f t="shared" ref="K103:L103" si="215">K104+K105+K106</f>
        <v>0</v>
      </c>
      <c r="L103" s="123">
        <f t="shared" si="215"/>
        <v>0</v>
      </c>
      <c r="M103" s="123">
        <v>0</v>
      </c>
      <c r="N103" s="123">
        <f t="shared" ref="N103:O103" si="216">N104+N105+N106</f>
        <v>0</v>
      </c>
      <c r="O103" s="123">
        <f t="shared" si="216"/>
        <v>0</v>
      </c>
      <c r="P103" s="123">
        <v>0</v>
      </c>
      <c r="Q103" s="123">
        <f t="shared" ref="Q103:R103" si="217">Q104+Q105+Q106</f>
        <v>452</v>
      </c>
      <c r="R103" s="123">
        <f t="shared" si="217"/>
        <v>0</v>
      </c>
      <c r="S103" s="123">
        <f t="shared" ref="S103" si="218">R103/Q103*100</f>
        <v>0</v>
      </c>
      <c r="T103" s="123">
        <f t="shared" ref="T103:U103" si="219">T104+T105+T106</f>
        <v>327</v>
      </c>
      <c r="U103" s="123">
        <f t="shared" si="219"/>
        <v>0</v>
      </c>
      <c r="V103" s="123">
        <f>U103/T103*100</f>
        <v>0</v>
      </c>
      <c r="W103" s="123">
        <f t="shared" ref="W103:X103" si="220">W104+W105+W106</f>
        <v>328.3</v>
      </c>
      <c r="X103" s="123">
        <f t="shared" si="220"/>
        <v>0</v>
      </c>
      <c r="Y103" s="123">
        <f>X103/W103*100</f>
        <v>0</v>
      </c>
      <c r="Z103" s="123">
        <f t="shared" ref="Z103:AA103" si="221">Z104+Z105+Z106</f>
        <v>450.2</v>
      </c>
      <c r="AA103" s="123">
        <f t="shared" si="221"/>
        <v>0</v>
      </c>
      <c r="AB103" s="123">
        <f>AA103/Z103*100</f>
        <v>0</v>
      </c>
      <c r="AC103" s="123">
        <f t="shared" ref="AC103:AD103" si="222">AC104+AC105+AC106</f>
        <v>471</v>
      </c>
      <c r="AD103" s="123">
        <f t="shared" si="222"/>
        <v>0</v>
      </c>
      <c r="AE103" s="123">
        <f>AD103/AC103*100</f>
        <v>0</v>
      </c>
      <c r="AF103" s="123">
        <f t="shared" ref="AF103:AG103" si="223">AF104+AF105+AF106</f>
        <v>450.2</v>
      </c>
      <c r="AG103" s="123">
        <f t="shared" si="223"/>
        <v>0</v>
      </c>
      <c r="AH103" s="123">
        <f>AG103/AF103*100</f>
        <v>0</v>
      </c>
      <c r="AI103" s="123">
        <f t="shared" ref="AI103:AJ103" si="224">AI104+AI105+AI106</f>
        <v>173.7</v>
      </c>
      <c r="AJ103" s="123">
        <f t="shared" si="224"/>
        <v>0</v>
      </c>
      <c r="AK103" s="123">
        <f>AJ103/AI103*100</f>
        <v>0</v>
      </c>
      <c r="AL103" s="123">
        <f t="shared" ref="AL103:AM103" si="225">AL104+AL105+AL106</f>
        <v>173.7</v>
      </c>
      <c r="AM103" s="123">
        <f t="shared" si="225"/>
        <v>0</v>
      </c>
      <c r="AN103" s="123">
        <f>AM103/AL103*100</f>
        <v>0</v>
      </c>
      <c r="AO103" s="123">
        <f t="shared" ref="AO103:AP103" si="226">AO104+AO105+AO106</f>
        <v>173.9</v>
      </c>
      <c r="AP103" s="123">
        <f t="shared" si="226"/>
        <v>0</v>
      </c>
      <c r="AQ103" s="123">
        <f>AP103/AO103*100</f>
        <v>0</v>
      </c>
      <c r="AR103" s="457"/>
      <c r="AS103" s="458"/>
      <c r="AT103" s="227"/>
      <c r="AU103" s="227"/>
      <c r="AV103" s="228"/>
    </row>
    <row r="104" spans="1:48" s="229" customFormat="1" ht="54.75" customHeight="1">
      <c r="A104" s="451"/>
      <c r="B104" s="452"/>
      <c r="C104" s="453"/>
      <c r="D104" s="219" t="s">
        <v>441</v>
      </c>
      <c r="E104" s="123">
        <f>H104+K104+N104+Q104+T104+W104+Z104+AC104+AF104+AI104+AL104+AO104</f>
        <v>2999.9999999999995</v>
      </c>
      <c r="F104" s="123">
        <f>I104+L104+O104+R104+U104+X104+AA104+AD104+AG104+AJ104+AM104+AP104</f>
        <v>0</v>
      </c>
      <c r="G104" s="123">
        <f>F104/E104*100</f>
        <v>0</v>
      </c>
      <c r="H104" s="123">
        <v>0</v>
      </c>
      <c r="I104" s="123">
        <v>0</v>
      </c>
      <c r="J104" s="123">
        <v>0</v>
      </c>
      <c r="K104" s="123">
        <v>0</v>
      </c>
      <c r="L104" s="123">
        <v>0</v>
      </c>
      <c r="M104" s="123">
        <v>0</v>
      </c>
      <c r="N104" s="123">
        <v>0</v>
      </c>
      <c r="O104" s="123">
        <v>0</v>
      </c>
      <c r="P104" s="123">
        <v>0</v>
      </c>
      <c r="Q104" s="123">
        <f>327+145.8-20.8</f>
        <v>452</v>
      </c>
      <c r="R104" s="123">
        <v>0</v>
      </c>
      <c r="S104" s="123">
        <v>0</v>
      </c>
      <c r="T104" s="123">
        <v>327</v>
      </c>
      <c r="U104" s="123">
        <v>0</v>
      </c>
      <c r="V104" s="123">
        <v>0</v>
      </c>
      <c r="W104" s="123">
        <v>328.3</v>
      </c>
      <c r="X104" s="123">
        <v>0</v>
      </c>
      <c r="Y104" s="123">
        <v>0</v>
      </c>
      <c r="Z104" s="123">
        <v>450.2</v>
      </c>
      <c r="AA104" s="123">
        <v>0</v>
      </c>
      <c r="AB104" s="123">
        <v>0</v>
      </c>
      <c r="AC104" s="123">
        <f>450.2+20.8</f>
        <v>471</v>
      </c>
      <c r="AD104" s="123">
        <v>0</v>
      </c>
      <c r="AE104" s="123">
        <v>0</v>
      </c>
      <c r="AF104" s="123">
        <v>450.2</v>
      </c>
      <c r="AG104" s="123">
        <v>0</v>
      </c>
      <c r="AH104" s="123">
        <v>0</v>
      </c>
      <c r="AI104" s="123">
        <v>173.7</v>
      </c>
      <c r="AJ104" s="123">
        <v>0</v>
      </c>
      <c r="AK104" s="123">
        <v>0</v>
      </c>
      <c r="AL104" s="123">
        <v>173.7</v>
      </c>
      <c r="AM104" s="123">
        <v>0</v>
      </c>
      <c r="AN104" s="123">
        <v>0</v>
      </c>
      <c r="AO104" s="123">
        <v>173.9</v>
      </c>
      <c r="AP104" s="123">
        <v>0</v>
      </c>
      <c r="AQ104" s="123">
        <f>AP104/AO104*100</f>
        <v>0</v>
      </c>
      <c r="AR104" s="457"/>
      <c r="AS104" s="458"/>
      <c r="AT104" s="227"/>
      <c r="AU104" s="227"/>
      <c r="AV104" s="228"/>
    </row>
    <row r="105" spans="1:48" s="229" customFormat="1" ht="12.75" customHeight="1">
      <c r="A105" s="451"/>
      <c r="B105" s="452"/>
      <c r="C105" s="453"/>
      <c r="D105" s="219" t="s">
        <v>454</v>
      </c>
      <c r="E105" s="123">
        <f t="shared" ref="E105:F106" si="227">H105+K105+N105+Q105+T105+W105+Z105+AC105+AF105+AI105+AL105+AO105</f>
        <v>0</v>
      </c>
      <c r="F105" s="123">
        <f>I105+L105+O105+R105+U105+X105+AA105+AD105+AG105+AJ105+AM105+AP105</f>
        <v>0</v>
      </c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3">
        <v>0</v>
      </c>
      <c r="O105" s="123">
        <v>0</v>
      </c>
      <c r="P105" s="123">
        <v>0</v>
      </c>
      <c r="Q105" s="123"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3">
        <v>0</v>
      </c>
      <c r="AB105" s="123">
        <v>0</v>
      </c>
      <c r="AC105" s="123">
        <v>0</v>
      </c>
      <c r="AD105" s="123">
        <v>0</v>
      </c>
      <c r="AE105" s="123">
        <v>0</v>
      </c>
      <c r="AF105" s="123">
        <v>0</v>
      </c>
      <c r="AG105" s="123">
        <v>0</v>
      </c>
      <c r="AH105" s="123">
        <v>0</v>
      </c>
      <c r="AI105" s="123">
        <v>0</v>
      </c>
      <c r="AJ105" s="123">
        <v>0</v>
      </c>
      <c r="AK105" s="123">
        <v>0</v>
      </c>
      <c r="AL105" s="123">
        <v>0</v>
      </c>
      <c r="AM105" s="123">
        <v>0</v>
      </c>
      <c r="AN105" s="123">
        <v>0</v>
      </c>
      <c r="AO105" s="123">
        <v>0</v>
      </c>
      <c r="AP105" s="123">
        <v>0</v>
      </c>
      <c r="AQ105" s="123">
        <v>0</v>
      </c>
      <c r="AR105" s="457"/>
      <c r="AS105" s="458"/>
      <c r="AT105" s="227"/>
      <c r="AU105" s="227"/>
      <c r="AV105" s="228"/>
    </row>
    <row r="106" spans="1:48" s="229" customFormat="1" ht="24">
      <c r="A106" s="451"/>
      <c r="B106" s="452"/>
      <c r="C106" s="453"/>
      <c r="D106" s="143" t="s">
        <v>257</v>
      </c>
      <c r="E106" s="123">
        <f t="shared" si="227"/>
        <v>0</v>
      </c>
      <c r="F106" s="123">
        <f t="shared" si="227"/>
        <v>0</v>
      </c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3">
        <v>0</v>
      </c>
      <c r="O106" s="123">
        <v>0</v>
      </c>
      <c r="P106" s="123">
        <v>0</v>
      </c>
      <c r="Q106" s="123"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3">
        <v>0</v>
      </c>
      <c r="AB106" s="123">
        <v>0</v>
      </c>
      <c r="AC106" s="123">
        <v>0</v>
      </c>
      <c r="AD106" s="123">
        <v>0</v>
      </c>
      <c r="AE106" s="123">
        <v>0</v>
      </c>
      <c r="AF106" s="123">
        <v>0</v>
      </c>
      <c r="AG106" s="123">
        <v>0</v>
      </c>
      <c r="AH106" s="123">
        <v>0</v>
      </c>
      <c r="AI106" s="123">
        <v>0</v>
      </c>
      <c r="AJ106" s="123">
        <v>0</v>
      </c>
      <c r="AK106" s="123">
        <v>0</v>
      </c>
      <c r="AL106" s="123">
        <v>0</v>
      </c>
      <c r="AM106" s="123">
        <v>0</v>
      </c>
      <c r="AN106" s="123">
        <v>0</v>
      </c>
      <c r="AO106" s="123">
        <v>0</v>
      </c>
      <c r="AP106" s="123">
        <v>0</v>
      </c>
      <c r="AQ106" s="123">
        <v>0</v>
      </c>
      <c r="AR106" s="457"/>
      <c r="AS106" s="458"/>
      <c r="AT106" s="227"/>
      <c r="AU106" s="227"/>
      <c r="AV106" s="228"/>
    </row>
    <row r="107" spans="1:48" s="229" customFormat="1" ht="24">
      <c r="A107" s="454"/>
      <c r="B107" s="455"/>
      <c r="C107" s="456"/>
      <c r="D107" s="143" t="s">
        <v>459</v>
      </c>
      <c r="E107" s="123">
        <f>H107+K107+N107+Q107+T107+W107+Z107+AC107+AF107+AI107+AL107+AO107</f>
        <v>0</v>
      </c>
      <c r="F107" s="123">
        <f>I107+L107+O107+R107+U107+X107+AA107+AD107+AG107+AJ107+AM107+AP107</f>
        <v>0</v>
      </c>
      <c r="G107" s="123">
        <v>0</v>
      </c>
      <c r="H107" s="123">
        <v>0</v>
      </c>
      <c r="I107" s="123">
        <v>0</v>
      </c>
      <c r="J107" s="123">
        <v>0</v>
      </c>
      <c r="K107" s="132">
        <v>0</v>
      </c>
      <c r="L107" s="123">
        <v>0</v>
      </c>
      <c r="M107" s="123">
        <v>0</v>
      </c>
      <c r="N107" s="123">
        <v>0</v>
      </c>
      <c r="O107" s="123">
        <v>0</v>
      </c>
      <c r="P107" s="123">
        <v>0</v>
      </c>
      <c r="Q107" s="123">
        <v>0</v>
      </c>
      <c r="R107" s="123">
        <v>0</v>
      </c>
      <c r="S107" s="123">
        <v>0</v>
      </c>
      <c r="T107" s="117">
        <v>0</v>
      </c>
      <c r="U107" s="117">
        <v>0</v>
      </c>
      <c r="V107" s="123">
        <v>0</v>
      </c>
      <c r="W107" s="117">
        <v>0</v>
      </c>
      <c r="X107" s="117">
        <v>0</v>
      </c>
      <c r="Y107" s="117">
        <v>0</v>
      </c>
      <c r="Z107" s="117">
        <v>0</v>
      </c>
      <c r="AA107" s="117">
        <v>0</v>
      </c>
      <c r="AB107" s="117">
        <v>0</v>
      </c>
      <c r="AC107" s="117">
        <v>0</v>
      </c>
      <c r="AD107" s="117">
        <v>0</v>
      </c>
      <c r="AE107" s="117">
        <v>0</v>
      </c>
      <c r="AF107" s="117">
        <v>0</v>
      </c>
      <c r="AG107" s="117">
        <v>0</v>
      </c>
      <c r="AH107" s="117">
        <v>0</v>
      </c>
      <c r="AI107" s="123">
        <v>0</v>
      </c>
      <c r="AJ107" s="123">
        <v>0</v>
      </c>
      <c r="AK107" s="117">
        <v>0</v>
      </c>
      <c r="AL107" s="117">
        <v>0</v>
      </c>
      <c r="AM107" s="117">
        <v>0</v>
      </c>
      <c r="AN107" s="117">
        <v>0</v>
      </c>
      <c r="AO107" s="123">
        <v>0</v>
      </c>
      <c r="AP107" s="123">
        <v>0</v>
      </c>
      <c r="AQ107" s="117">
        <v>0</v>
      </c>
      <c r="AR107" s="457"/>
      <c r="AS107" s="458"/>
      <c r="AT107" s="227"/>
      <c r="AU107" s="227"/>
      <c r="AV107" s="228"/>
    </row>
    <row r="108" spans="1:48" s="229" customFormat="1" ht="12.75" customHeight="1">
      <c r="A108" s="448" t="s">
        <v>474</v>
      </c>
      <c r="B108" s="449"/>
      <c r="C108" s="450"/>
      <c r="D108" s="143" t="s">
        <v>443</v>
      </c>
      <c r="E108" s="123">
        <f>E109+E110+E111</f>
        <v>0</v>
      </c>
      <c r="F108" s="123">
        <f>F109+F110+F111</f>
        <v>0</v>
      </c>
      <c r="G108" s="123">
        <v>0</v>
      </c>
      <c r="H108" s="123">
        <f t="shared" ref="H108:I108" si="228">H109+H110+H111</f>
        <v>0</v>
      </c>
      <c r="I108" s="123">
        <f t="shared" si="228"/>
        <v>0</v>
      </c>
      <c r="J108" s="123">
        <v>0</v>
      </c>
      <c r="K108" s="123">
        <f t="shared" ref="K108:L108" si="229">K109+K110+K111</f>
        <v>0</v>
      </c>
      <c r="L108" s="123">
        <f t="shared" si="229"/>
        <v>0</v>
      </c>
      <c r="M108" s="123">
        <v>0</v>
      </c>
      <c r="N108" s="123">
        <f t="shared" ref="N108:O108" si="230">N109+N110+N111</f>
        <v>0</v>
      </c>
      <c r="O108" s="123">
        <f t="shared" si="230"/>
        <v>0</v>
      </c>
      <c r="P108" s="123">
        <v>0</v>
      </c>
      <c r="Q108" s="123">
        <f t="shared" ref="Q108:R108" si="231">Q109+Q110+Q111</f>
        <v>0</v>
      </c>
      <c r="R108" s="123">
        <f t="shared" si="231"/>
        <v>0</v>
      </c>
      <c r="S108" s="123" t="e">
        <f t="shared" ref="S108:S110" si="232">R108/Q108*100</f>
        <v>#DIV/0!</v>
      </c>
      <c r="T108" s="123">
        <f t="shared" ref="T108:U108" si="233">T109+T110+T111</f>
        <v>0</v>
      </c>
      <c r="U108" s="123">
        <f t="shared" si="233"/>
        <v>0</v>
      </c>
      <c r="V108" s="123" t="e">
        <f t="shared" ref="V108:V110" si="234">U108/T108*100</f>
        <v>#DIV/0!</v>
      </c>
      <c r="W108" s="123">
        <f t="shared" ref="W108:X108" si="235">W109+W110+W111</f>
        <v>0</v>
      </c>
      <c r="X108" s="123">
        <f t="shared" si="235"/>
        <v>0</v>
      </c>
      <c r="Y108" s="123" t="e">
        <f>X108/W108*100</f>
        <v>#DIV/0!</v>
      </c>
      <c r="Z108" s="123">
        <f t="shared" ref="Z108:AA108" si="236">Z109+Z110+Z111</f>
        <v>0</v>
      </c>
      <c r="AA108" s="123">
        <f t="shared" si="236"/>
        <v>0</v>
      </c>
      <c r="AB108" s="123" t="e">
        <f>AA108/Z108*100</f>
        <v>#DIV/0!</v>
      </c>
      <c r="AC108" s="123">
        <f t="shared" ref="AC108:AD108" si="237">AC109+AC110+AC111</f>
        <v>0</v>
      </c>
      <c r="AD108" s="123">
        <f t="shared" si="237"/>
        <v>0</v>
      </c>
      <c r="AE108" s="123" t="e">
        <f>AD108/AC108*100</f>
        <v>#DIV/0!</v>
      </c>
      <c r="AF108" s="123">
        <f t="shared" ref="AF108:AG108" si="238">AF109+AF110+AF111</f>
        <v>0</v>
      </c>
      <c r="AG108" s="123">
        <f t="shared" si="238"/>
        <v>0</v>
      </c>
      <c r="AH108" s="123" t="e">
        <f>AG108/AF108*100</f>
        <v>#DIV/0!</v>
      </c>
      <c r="AI108" s="123">
        <f t="shared" ref="AI108:AJ108" si="239">AI109+AI110+AI111</f>
        <v>0</v>
      </c>
      <c r="AJ108" s="123">
        <f t="shared" si="239"/>
        <v>0</v>
      </c>
      <c r="AK108" s="123" t="e">
        <f>AJ108/AI108*100</f>
        <v>#DIV/0!</v>
      </c>
      <c r="AL108" s="123">
        <f t="shared" ref="AL108:AM108" si="240">AL109+AL110+AL111</f>
        <v>0</v>
      </c>
      <c r="AM108" s="123">
        <f t="shared" si="240"/>
        <v>0</v>
      </c>
      <c r="AN108" s="123" t="e">
        <f>AM108/AL108*100</f>
        <v>#DIV/0!</v>
      </c>
      <c r="AO108" s="123">
        <f t="shared" ref="AO108:AQ108" si="241">AO109+AO110+AO111</f>
        <v>0</v>
      </c>
      <c r="AP108" s="123">
        <f t="shared" si="241"/>
        <v>0</v>
      </c>
      <c r="AQ108" s="123">
        <f t="shared" si="241"/>
        <v>0</v>
      </c>
      <c r="AR108" s="457"/>
      <c r="AS108" s="458"/>
      <c r="AT108" s="227"/>
      <c r="AU108" s="227"/>
      <c r="AV108" s="228"/>
    </row>
    <row r="109" spans="1:48" s="229" customFormat="1" ht="49.5" customHeight="1">
      <c r="A109" s="451"/>
      <c r="B109" s="452"/>
      <c r="C109" s="453"/>
      <c r="D109" s="219" t="s">
        <v>441</v>
      </c>
      <c r="E109" s="123">
        <f>H109+K109+N109+Q109+T109+W109+Z109+AC109+AF109+AI109+AL109+AO109</f>
        <v>0</v>
      </c>
      <c r="F109" s="123">
        <f>I109+L109+O109+R109+U109+X109+AA109+AD109+AG109+AJ109+AM109+AP109</f>
        <v>0</v>
      </c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0</v>
      </c>
      <c r="O109" s="123">
        <v>0</v>
      </c>
      <c r="P109" s="123">
        <v>0</v>
      </c>
      <c r="Q109" s="123">
        <v>0</v>
      </c>
      <c r="R109" s="123">
        <v>0</v>
      </c>
      <c r="S109" s="123" t="e">
        <f t="shared" si="232"/>
        <v>#DIV/0!</v>
      </c>
      <c r="T109" s="123">
        <v>0</v>
      </c>
      <c r="U109" s="123">
        <v>0</v>
      </c>
      <c r="V109" s="123" t="e">
        <f t="shared" si="234"/>
        <v>#DIV/0!</v>
      </c>
      <c r="W109" s="123">
        <v>0</v>
      </c>
      <c r="X109" s="123">
        <v>0</v>
      </c>
      <c r="Y109" s="123" t="e">
        <f>X109/W109*100</f>
        <v>#DIV/0!</v>
      </c>
      <c r="Z109" s="123">
        <v>0</v>
      </c>
      <c r="AA109" s="123">
        <v>0</v>
      </c>
      <c r="AB109" s="123" t="e">
        <f>AA109/Z109*100</f>
        <v>#DIV/0!</v>
      </c>
      <c r="AC109" s="123">
        <v>0</v>
      </c>
      <c r="AD109" s="123">
        <v>0</v>
      </c>
      <c r="AE109" s="123" t="e">
        <f>AD109/AC109*100</f>
        <v>#DIV/0!</v>
      </c>
      <c r="AF109" s="123">
        <v>0</v>
      </c>
      <c r="AG109" s="123">
        <v>0</v>
      </c>
      <c r="AH109" s="123" t="e">
        <f>AG109/AF109*100</f>
        <v>#DIV/0!</v>
      </c>
      <c r="AI109" s="123">
        <v>0</v>
      </c>
      <c r="AJ109" s="123">
        <v>0</v>
      </c>
      <c r="AK109" s="123" t="e">
        <f>AJ109/AI109*100</f>
        <v>#DIV/0!</v>
      </c>
      <c r="AL109" s="123">
        <v>0</v>
      </c>
      <c r="AM109" s="123">
        <v>0</v>
      </c>
      <c r="AN109" s="123" t="e">
        <f>AM109/AL109*100</f>
        <v>#DIV/0!</v>
      </c>
      <c r="AO109" s="123">
        <v>0</v>
      </c>
      <c r="AP109" s="123">
        <v>0</v>
      </c>
      <c r="AQ109" s="123">
        <v>0</v>
      </c>
      <c r="AR109" s="457"/>
      <c r="AS109" s="458"/>
      <c r="AT109" s="227"/>
      <c r="AU109" s="227"/>
      <c r="AV109" s="228"/>
    </row>
    <row r="110" spans="1:48" s="229" customFormat="1" ht="18" customHeight="1">
      <c r="A110" s="451"/>
      <c r="B110" s="452"/>
      <c r="C110" s="453"/>
      <c r="D110" s="219" t="s">
        <v>454</v>
      </c>
      <c r="E110" s="123">
        <f t="shared" ref="E110:F111" si="242">H110+K110+N110+Q110+T110+W110+Z110+AC110+AF110+AI110+AL110+AO110</f>
        <v>0</v>
      </c>
      <c r="F110" s="123">
        <f>I110+L110+O110+R110+U110+X110+AA110+AD110+AG110+AJ110+AM110+AP110</f>
        <v>0</v>
      </c>
      <c r="G110" s="123">
        <v>0</v>
      </c>
      <c r="H110" s="123">
        <v>0</v>
      </c>
      <c r="I110" s="123">
        <v>0</v>
      </c>
      <c r="J110" s="123">
        <v>0</v>
      </c>
      <c r="K110" s="123">
        <v>0</v>
      </c>
      <c r="L110" s="123">
        <v>0</v>
      </c>
      <c r="M110" s="123">
        <v>0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 t="e">
        <f t="shared" si="232"/>
        <v>#DIV/0!</v>
      </c>
      <c r="T110" s="123">
        <v>0</v>
      </c>
      <c r="U110" s="123">
        <v>0</v>
      </c>
      <c r="V110" s="123" t="e">
        <f t="shared" si="234"/>
        <v>#DIV/0!</v>
      </c>
      <c r="W110" s="123">
        <v>0</v>
      </c>
      <c r="X110" s="123">
        <v>0</v>
      </c>
      <c r="Y110" s="123" t="e">
        <f>X110/W110*100</f>
        <v>#DIV/0!</v>
      </c>
      <c r="Z110" s="123">
        <v>0</v>
      </c>
      <c r="AA110" s="123">
        <v>0</v>
      </c>
      <c r="AB110" s="123">
        <v>0</v>
      </c>
      <c r="AC110" s="123">
        <v>0</v>
      </c>
      <c r="AD110" s="123">
        <v>0</v>
      </c>
      <c r="AE110" s="123" t="e">
        <f>AD110/AC110*100</f>
        <v>#DIV/0!</v>
      </c>
      <c r="AF110" s="123">
        <v>0</v>
      </c>
      <c r="AG110" s="123">
        <v>0</v>
      </c>
      <c r="AH110" s="123" t="e">
        <f>AG110/AF110*100</f>
        <v>#DIV/0!</v>
      </c>
      <c r="AI110" s="123">
        <v>0</v>
      </c>
      <c r="AJ110" s="123">
        <v>0</v>
      </c>
      <c r="AK110" s="123" t="e">
        <f>AJ110/AI110*100</f>
        <v>#DIV/0!</v>
      </c>
      <c r="AL110" s="123">
        <v>0</v>
      </c>
      <c r="AM110" s="123">
        <v>0</v>
      </c>
      <c r="AN110" s="123">
        <v>0</v>
      </c>
      <c r="AO110" s="123">
        <v>0</v>
      </c>
      <c r="AP110" s="123">
        <v>0</v>
      </c>
      <c r="AQ110" s="123">
        <v>0</v>
      </c>
      <c r="AR110" s="457"/>
      <c r="AS110" s="458"/>
      <c r="AT110" s="227"/>
      <c r="AU110" s="227"/>
      <c r="AV110" s="228"/>
    </row>
    <row r="111" spans="1:48" s="229" customFormat="1" ht="30" customHeight="1">
      <c r="A111" s="451"/>
      <c r="B111" s="452"/>
      <c r="C111" s="453"/>
      <c r="D111" s="143" t="s">
        <v>257</v>
      </c>
      <c r="E111" s="123">
        <f t="shared" si="242"/>
        <v>0</v>
      </c>
      <c r="F111" s="123">
        <f t="shared" si="242"/>
        <v>0</v>
      </c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3">
        <v>0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3">
        <v>0</v>
      </c>
      <c r="AB111" s="123">
        <v>0</v>
      </c>
      <c r="AC111" s="123">
        <v>0</v>
      </c>
      <c r="AD111" s="123">
        <v>0</v>
      </c>
      <c r="AE111" s="123">
        <v>0</v>
      </c>
      <c r="AF111" s="123">
        <v>0</v>
      </c>
      <c r="AG111" s="123">
        <v>0</v>
      </c>
      <c r="AH111" s="123">
        <v>0</v>
      </c>
      <c r="AI111" s="123">
        <v>0</v>
      </c>
      <c r="AJ111" s="123">
        <v>0</v>
      </c>
      <c r="AK111" s="123">
        <v>0</v>
      </c>
      <c r="AL111" s="123">
        <v>0</v>
      </c>
      <c r="AM111" s="123">
        <v>0</v>
      </c>
      <c r="AN111" s="123">
        <v>0</v>
      </c>
      <c r="AO111" s="123">
        <v>0</v>
      </c>
      <c r="AP111" s="123">
        <v>0</v>
      </c>
      <c r="AQ111" s="226">
        <v>0</v>
      </c>
      <c r="AR111" s="457"/>
      <c r="AS111" s="458"/>
      <c r="AT111" s="227"/>
      <c r="AU111" s="227"/>
      <c r="AV111" s="228"/>
    </row>
    <row r="112" spans="1:48" s="229" customFormat="1" ht="24">
      <c r="A112" s="454"/>
      <c r="B112" s="455"/>
      <c r="C112" s="456"/>
      <c r="D112" s="143" t="s">
        <v>459</v>
      </c>
      <c r="E112" s="123">
        <f>H112+K112+N112+Q112+T112+W112+Z112+AC112+AF112+AI112+AL112+AO112</f>
        <v>0</v>
      </c>
      <c r="F112" s="123">
        <f>I112+L112+O112+R112+U112+X112+AA112+AD112+AG112+AJ112+AM112+AP112</f>
        <v>0</v>
      </c>
      <c r="G112" s="123">
        <v>0</v>
      </c>
      <c r="H112" s="123">
        <v>0</v>
      </c>
      <c r="I112" s="123">
        <v>0</v>
      </c>
      <c r="J112" s="123">
        <v>0</v>
      </c>
      <c r="K112" s="132">
        <v>0</v>
      </c>
      <c r="L112" s="123">
        <v>0</v>
      </c>
      <c r="M112" s="123">
        <v>0</v>
      </c>
      <c r="N112" s="123">
        <v>0</v>
      </c>
      <c r="O112" s="123">
        <v>0</v>
      </c>
      <c r="P112" s="123">
        <v>0</v>
      </c>
      <c r="Q112" s="123">
        <v>0</v>
      </c>
      <c r="R112" s="123">
        <v>0</v>
      </c>
      <c r="S112" s="123">
        <v>0</v>
      </c>
      <c r="T112" s="117">
        <v>0</v>
      </c>
      <c r="U112" s="117">
        <v>0</v>
      </c>
      <c r="V112" s="123">
        <v>0</v>
      </c>
      <c r="W112" s="117">
        <v>0</v>
      </c>
      <c r="X112" s="117">
        <v>0</v>
      </c>
      <c r="Y112" s="117">
        <v>0</v>
      </c>
      <c r="Z112" s="117">
        <v>0</v>
      </c>
      <c r="AA112" s="117">
        <v>0</v>
      </c>
      <c r="AB112" s="117">
        <v>0</v>
      </c>
      <c r="AC112" s="117">
        <v>0</v>
      </c>
      <c r="AD112" s="117">
        <v>0</v>
      </c>
      <c r="AE112" s="117">
        <v>0</v>
      </c>
      <c r="AF112" s="117">
        <v>0</v>
      </c>
      <c r="AG112" s="117">
        <v>0</v>
      </c>
      <c r="AH112" s="123">
        <v>0</v>
      </c>
      <c r="AI112" s="123">
        <v>0</v>
      </c>
      <c r="AJ112" s="123">
        <v>0</v>
      </c>
      <c r="AK112" s="123">
        <v>0</v>
      </c>
      <c r="AL112" s="117">
        <v>0</v>
      </c>
      <c r="AM112" s="117">
        <v>0</v>
      </c>
      <c r="AN112" s="117">
        <v>0</v>
      </c>
      <c r="AO112" s="123">
        <v>0</v>
      </c>
      <c r="AP112" s="123">
        <v>0</v>
      </c>
      <c r="AQ112" s="123">
        <v>0</v>
      </c>
      <c r="AR112" s="457"/>
      <c r="AS112" s="458"/>
      <c r="AT112" s="227"/>
      <c r="AU112" s="227"/>
      <c r="AV112" s="228"/>
    </row>
    <row r="113" spans="1:48" s="229" customFormat="1" ht="12.75" customHeight="1">
      <c r="A113" s="448" t="s">
        <v>475</v>
      </c>
      <c r="B113" s="449"/>
      <c r="C113" s="450"/>
      <c r="D113" s="143" t="s">
        <v>443</v>
      </c>
      <c r="E113" s="123">
        <f>E114+E115+E116</f>
        <v>0</v>
      </c>
      <c r="F113" s="123">
        <f>F114+F115+F116</f>
        <v>0</v>
      </c>
      <c r="G113" s="123">
        <v>0</v>
      </c>
      <c r="H113" s="123">
        <f t="shared" ref="H113:I113" si="243">H114+H115+H116</f>
        <v>0</v>
      </c>
      <c r="I113" s="123">
        <f t="shared" si="243"/>
        <v>0</v>
      </c>
      <c r="J113" s="123">
        <v>0</v>
      </c>
      <c r="K113" s="123">
        <f t="shared" ref="K113:L113" si="244">K114+K115+K116</f>
        <v>0</v>
      </c>
      <c r="L113" s="123">
        <f t="shared" si="244"/>
        <v>0</v>
      </c>
      <c r="M113" s="123">
        <v>0</v>
      </c>
      <c r="N113" s="123">
        <f t="shared" ref="N113:O113" si="245">N114+N115+N116</f>
        <v>0</v>
      </c>
      <c r="O113" s="123">
        <f t="shared" si="245"/>
        <v>0</v>
      </c>
      <c r="P113" s="123">
        <v>0</v>
      </c>
      <c r="Q113" s="123">
        <f t="shared" ref="Q113:R113" si="246">Q114+Q115+Q116</f>
        <v>0</v>
      </c>
      <c r="R113" s="123">
        <f t="shared" si="246"/>
        <v>0</v>
      </c>
      <c r="S113" s="123" t="e">
        <f t="shared" ref="S113:S115" si="247">R113/Q113*100</f>
        <v>#DIV/0!</v>
      </c>
      <c r="T113" s="123">
        <f t="shared" ref="T113:U113" si="248">T114+T115+T116</f>
        <v>0</v>
      </c>
      <c r="U113" s="123">
        <f t="shared" si="248"/>
        <v>0</v>
      </c>
      <c r="V113" s="123" t="e">
        <f t="shared" ref="V113:V115" si="249">U113/T113*100</f>
        <v>#DIV/0!</v>
      </c>
      <c r="W113" s="123">
        <f t="shared" ref="W113:X113" si="250">W114+W115+W116</f>
        <v>0</v>
      </c>
      <c r="X113" s="123">
        <f t="shared" si="250"/>
        <v>0</v>
      </c>
      <c r="Y113" s="123" t="e">
        <f>X113/W113*100</f>
        <v>#DIV/0!</v>
      </c>
      <c r="Z113" s="123">
        <f t="shared" ref="Z113:AA113" si="251">Z114+Z115+Z116</f>
        <v>0</v>
      </c>
      <c r="AA113" s="123">
        <f t="shared" si="251"/>
        <v>0</v>
      </c>
      <c r="AB113" s="123" t="e">
        <f>AA113/Z113*100</f>
        <v>#DIV/0!</v>
      </c>
      <c r="AC113" s="123">
        <f t="shared" ref="AC113:AD113" si="252">AC114+AC115+AC116</f>
        <v>0</v>
      </c>
      <c r="AD113" s="123">
        <f t="shared" si="252"/>
        <v>0</v>
      </c>
      <c r="AE113" s="123" t="e">
        <f>AD113/AC113*100</f>
        <v>#DIV/0!</v>
      </c>
      <c r="AF113" s="123">
        <f t="shared" ref="AF113:AG113" si="253">AF114+AF115+AF116</f>
        <v>0</v>
      </c>
      <c r="AG113" s="123">
        <f t="shared" si="253"/>
        <v>0</v>
      </c>
      <c r="AH113" s="123" t="e">
        <f>AG113/AF113*100</f>
        <v>#DIV/0!</v>
      </c>
      <c r="AI113" s="123">
        <f t="shared" ref="AI113:AJ113" si="254">AI114+AI115+AI116</f>
        <v>0</v>
      </c>
      <c r="AJ113" s="123">
        <f t="shared" si="254"/>
        <v>0</v>
      </c>
      <c r="AK113" s="123">
        <v>0</v>
      </c>
      <c r="AL113" s="123">
        <f t="shared" ref="AL113:AM113" si="255">AL114+AL115+AL116</f>
        <v>0</v>
      </c>
      <c r="AM113" s="123">
        <f t="shared" si="255"/>
        <v>0</v>
      </c>
      <c r="AN113" s="123">
        <v>0</v>
      </c>
      <c r="AO113" s="123">
        <f t="shared" ref="AO113" si="256">AO114+AO115+AO116</f>
        <v>0</v>
      </c>
      <c r="AP113" s="123">
        <v>0</v>
      </c>
      <c r="AQ113" s="226">
        <v>0</v>
      </c>
      <c r="AR113" s="457"/>
      <c r="AS113" s="458"/>
      <c r="AT113" s="227"/>
      <c r="AU113" s="227"/>
      <c r="AV113" s="228"/>
    </row>
    <row r="114" spans="1:48" s="229" customFormat="1" ht="48">
      <c r="A114" s="451"/>
      <c r="B114" s="452"/>
      <c r="C114" s="453"/>
      <c r="D114" s="219" t="s">
        <v>441</v>
      </c>
      <c r="E114" s="123">
        <f>H114+K114+N114+Q114+T114+W114+Z114+AC114+AF114+AI114+AL114+AO114</f>
        <v>0</v>
      </c>
      <c r="F114" s="123">
        <f>I114+L114+O114+R114+U114+X114+AA114+AD114+AG114+AJ114+AM114+AP114</f>
        <v>0</v>
      </c>
      <c r="G114" s="123">
        <v>0</v>
      </c>
      <c r="H114" s="123">
        <v>0</v>
      </c>
      <c r="I114" s="123">
        <v>0</v>
      </c>
      <c r="J114" s="123">
        <v>0</v>
      </c>
      <c r="K114" s="123">
        <v>0</v>
      </c>
      <c r="L114" s="123">
        <v>0</v>
      </c>
      <c r="M114" s="123">
        <v>0</v>
      </c>
      <c r="N114" s="123"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  <c r="U114" s="123">
        <v>0</v>
      </c>
      <c r="V114" s="123" t="e">
        <f t="shared" si="249"/>
        <v>#DIV/0!</v>
      </c>
      <c r="W114" s="123">
        <v>0</v>
      </c>
      <c r="X114" s="123">
        <v>0</v>
      </c>
      <c r="Y114" s="123" t="e">
        <f>X114/W114*100</f>
        <v>#DIV/0!</v>
      </c>
      <c r="Z114" s="123">
        <v>0</v>
      </c>
      <c r="AA114" s="123">
        <v>0</v>
      </c>
      <c r="AB114" s="123" t="e">
        <f>AA114/Z114*100</f>
        <v>#DIV/0!</v>
      </c>
      <c r="AC114" s="123">
        <v>0</v>
      </c>
      <c r="AD114" s="123">
        <v>0</v>
      </c>
      <c r="AE114" s="123" t="e">
        <f>AD114/AC114*100</f>
        <v>#DIV/0!</v>
      </c>
      <c r="AF114" s="123">
        <v>0</v>
      </c>
      <c r="AG114" s="123">
        <v>0</v>
      </c>
      <c r="AH114" s="123" t="e">
        <f>AG114/AF114*100</f>
        <v>#DIV/0!</v>
      </c>
      <c r="AI114" s="123">
        <v>0</v>
      </c>
      <c r="AJ114" s="123">
        <v>0</v>
      </c>
      <c r="AK114" s="123">
        <v>0</v>
      </c>
      <c r="AL114" s="123">
        <v>0</v>
      </c>
      <c r="AM114" s="123">
        <v>0</v>
      </c>
      <c r="AN114" s="123">
        <v>0</v>
      </c>
      <c r="AO114" s="123">
        <v>0</v>
      </c>
      <c r="AP114" s="123">
        <v>0</v>
      </c>
      <c r="AQ114" s="226">
        <v>0</v>
      </c>
      <c r="AR114" s="457"/>
      <c r="AS114" s="458"/>
      <c r="AT114" s="227"/>
      <c r="AU114" s="227"/>
      <c r="AV114" s="228"/>
    </row>
    <row r="115" spans="1:48" s="229" customFormat="1" ht="12.75" customHeight="1">
      <c r="A115" s="451"/>
      <c r="B115" s="452"/>
      <c r="C115" s="453"/>
      <c r="D115" s="219" t="s">
        <v>454</v>
      </c>
      <c r="E115" s="123">
        <f>H115+K115+N115+Q115+T115+W115+Z115+AC115+AF115+AI115+AL115+AO115</f>
        <v>0</v>
      </c>
      <c r="F115" s="123">
        <f>I115+L115+O115+R115+U115+X115+AA115+AD115+AG115+AJ115+AM115+AP115</f>
        <v>0</v>
      </c>
      <c r="G115" s="123">
        <v>0</v>
      </c>
      <c r="H115" s="123">
        <v>0</v>
      </c>
      <c r="I115" s="123">
        <v>0</v>
      </c>
      <c r="J115" s="123">
        <v>0</v>
      </c>
      <c r="K115" s="123">
        <v>0</v>
      </c>
      <c r="L115" s="123">
        <v>0</v>
      </c>
      <c r="M115" s="123">
        <v>0</v>
      </c>
      <c r="N115" s="123">
        <v>0</v>
      </c>
      <c r="O115" s="123">
        <v>0</v>
      </c>
      <c r="P115" s="123">
        <v>0</v>
      </c>
      <c r="Q115" s="123">
        <v>0</v>
      </c>
      <c r="R115" s="123">
        <v>0</v>
      </c>
      <c r="S115" s="123" t="e">
        <f t="shared" si="247"/>
        <v>#DIV/0!</v>
      </c>
      <c r="T115" s="123">
        <v>0</v>
      </c>
      <c r="U115" s="123">
        <v>0</v>
      </c>
      <c r="V115" s="123" t="e">
        <f t="shared" si="249"/>
        <v>#DIV/0!</v>
      </c>
      <c r="W115" s="123">
        <v>0</v>
      </c>
      <c r="X115" s="123">
        <v>0</v>
      </c>
      <c r="Y115" s="123" t="e">
        <f>X115/W115*100</f>
        <v>#DIV/0!</v>
      </c>
      <c r="Z115" s="123">
        <v>0</v>
      </c>
      <c r="AA115" s="123">
        <v>0</v>
      </c>
      <c r="AB115" s="123" t="e">
        <f>AA115/Z115*100</f>
        <v>#DIV/0!</v>
      </c>
      <c r="AC115" s="123">
        <v>0</v>
      </c>
      <c r="AD115" s="123">
        <v>0</v>
      </c>
      <c r="AE115" s="123" t="e">
        <f>AD115/AC115*100</f>
        <v>#DIV/0!</v>
      </c>
      <c r="AF115" s="123">
        <v>0</v>
      </c>
      <c r="AG115" s="123">
        <v>0</v>
      </c>
      <c r="AH115" s="123">
        <v>0</v>
      </c>
      <c r="AI115" s="123">
        <v>0</v>
      </c>
      <c r="AJ115" s="123">
        <v>0</v>
      </c>
      <c r="AK115" s="123">
        <v>0</v>
      </c>
      <c r="AL115" s="123">
        <v>0</v>
      </c>
      <c r="AM115" s="123">
        <v>0</v>
      </c>
      <c r="AN115" s="123">
        <v>0</v>
      </c>
      <c r="AO115" s="123">
        <v>0</v>
      </c>
      <c r="AP115" s="123">
        <v>0</v>
      </c>
      <c r="AQ115" s="226">
        <v>0</v>
      </c>
      <c r="AR115" s="457"/>
      <c r="AS115" s="458"/>
      <c r="AT115" s="227"/>
      <c r="AU115" s="227"/>
      <c r="AV115" s="228"/>
    </row>
    <row r="116" spans="1:48" s="229" customFormat="1" ht="24">
      <c r="A116" s="451"/>
      <c r="B116" s="452"/>
      <c r="C116" s="453"/>
      <c r="D116" s="143" t="s">
        <v>257</v>
      </c>
      <c r="E116" s="123">
        <f t="shared" ref="E116:F116" si="257">H116+K116+N116+Q116+T116+W116+Z116+AC116+AF116+AI116+AL116+AO116</f>
        <v>0</v>
      </c>
      <c r="F116" s="123">
        <f t="shared" si="257"/>
        <v>0</v>
      </c>
      <c r="G116" s="123">
        <v>0</v>
      </c>
      <c r="H116" s="123">
        <v>0</v>
      </c>
      <c r="I116" s="123">
        <v>0</v>
      </c>
      <c r="J116" s="123">
        <v>0</v>
      </c>
      <c r="K116" s="123">
        <v>0</v>
      </c>
      <c r="L116" s="123">
        <v>0</v>
      </c>
      <c r="M116" s="123">
        <v>0</v>
      </c>
      <c r="N116" s="123">
        <v>0</v>
      </c>
      <c r="O116" s="123">
        <v>0</v>
      </c>
      <c r="P116" s="123">
        <v>0</v>
      </c>
      <c r="Q116" s="123">
        <v>0</v>
      </c>
      <c r="R116" s="123">
        <v>0</v>
      </c>
      <c r="S116" s="123">
        <v>0</v>
      </c>
      <c r="T116" s="123">
        <v>0</v>
      </c>
      <c r="U116" s="123">
        <v>0</v>
      </c>
      <c r="V116" s="123">
        <v>0</v>
      </c>
      <c r="W116" s="123">
        <v>0</v>
      </c>
      <c r="X116" s="123">
        <v>0</v>
      </c>
      <c r="Y116" s="123">
        <v>0</v>
      </c>
      <c r="Z116" s="123">
        <v>0</v>
      </c>
      <c r="AA116" s="123">
        <v>0</v>
      </c>
      <c r="AB116" s="123">
        <v>0</v>
      </c>
      <c r="AC116" s="123">
        <v>0</v>
      </c>
      <c r="AD116" s="123">
        <v>0</v>
      </c>
      <c r="AE116" s="123">
        <v>0</v>
      </c>
      <c r="AF116" s="123">
        <v>0</v>
      </c>
      <c r="AG116" s="123">
        <v>0</v>
      </c>
      <c r="AH116" s="123">
        <v>0</v>
      </c>
      <c r="AI116" s="123">
        <v>0</v>
      </c>
      <c r="AJ116" s="123">
        <v>0</v>
      </c>
      <c r="AK116" s="123">
        <v>0</v>
      </c>
      <c r="AL116" s="123">
        <v>0</v>
      </c>
      <c r="AM116" s="123">
        <v>0</v>
      </c>
      <c r="AN116" s="123">
        <v>0</v>
      </c>
      <c r="AO116" s="123">
        <v>0</v>
      </c>
      <c r="AP116" s="123">
        <v>0</v>
      </c>
      <c r="AQ116" s="226">
        <v>0</v>
      </c>
      <c r="AR116" s="457"/>
      <c r="AS116" s="458"/>
      <c r="AT116" s="227"/>
      <c r="AU116" s="227"/>
      <c r="AV116" s="228"/>
    </row>
    <row r="117" spans="1:48" s="229" customFormat="1" ht="12.75" customHeight="1">
      <c r="A117" s="454"/>
      <c r="B117" s="455"/>
      <c r="C117" s="456"/>
      <c r="D117" s="143" t="s">
        <v>459</v>
      </c>
      <c r="E117" s="123">
        <f>H117+K117+N117+Q117+T117+W117+Z117+AC117+AF117+AI117+AL117+AO117</f>
        <v>0</v>
      </c>
      <c r="F117" s="123">
        <f>I117+L117+O117+R117+U117+X117+AA117+AD117+AG117+AJ117+AM117+AP117</f>
        <v>0</v>
      </c>
      <c r="G117" s="123">
        <v>0</v>
      </c>
      <c r="H117" s="123">
        <v>0</v>
      </c>
      <c r="I117" s="123">
        <v>0</v>
      </c>
      <c r="J117" s="123">
        <v>0</v>
      </c>
      <c r="K117" s="132">
        <v>0</v>
      </c>
      <c r="L117" s="123">
        <v>0</v>
      </c>
      <c r="M117" s="123">
        <v>0</v>
      </c>
      <c r="N117" s="123">
        <v>0</v>
      </c>
      <c r="O117" s="123">
        <v>0</v>
      </c>
      <c r="P117" s="123">
        <v>0</v>
      </c>
      <c r="Q117" s="123">
        <v>0</v>
      </c>
      <c r="R117" s="123">
        <v>0</v>
      </c>
      <c r="S117" s="123">
        <v>0</v>
      </c>
      <c r="T117" s="117">
        <v>0</v>
      </c>
      <c r="U117" s="117">
        <v>0</v>
      </c>
      <c r="V117" s="123">
        <v>0</v>
      </c>
      <c r="W117" s="117">
        <v>0</v>
      </c>
      <c r="X117" s="117">
        <v>0</v>
      </c>
      <c r="Y117" s="117">
        <v>0</v>
      </c>
      <c r="Z117" s="117">
        <v>0</v>
      </c>
      <c r="AA117" s="117">
        <v>0</v>
      </c>
      <c r="AB117" s="117">
        <v>0</v>
      </c>
      <c r="AC117" s="117">
        <v>0</v>
      </c>
      <c r="AD117" s="117">
        <v>0</v>
      </c>
      <c r="AE117" s="117">
        <v>0</v>
      </c>
      <c r="AF117" s="117">
        <v>0</v>
      </c>
      <c r="AG117" s="117">
        <v>0</v>
      </c>
      <c r="AH117" s="123">
        <v>0</v>
      </c>
      <c r="AI117" s="123">
        <v>0</v>
      </c>
      <c r="AJ117" s="123">
        <v>0</v>
      </c>
      <c r="AK117" s="123">
        <v>0</v>
      </c>
      <c r="AL117" s="117">
        <v>0</v>
      </c>
      <c r="AM117" s="117">
        <v>0</v>
      </c>
      <c r="AN117" s="117">
        <v>0</v>
      </c>
      <c r="AO117" s="123">
        <v>0</v>
      </c>
      <c r="AP117" s="123">
        <v>0</v>
      </c>
      <c r="AQ117" s="123">
        <v>0</v>
      </c>
      <c r="AR117" s="457"/>
      <c r="AS117" s="458"/>
      <c r="AT117" s="227"/>
      <c r="AU117" s="227"/>
      <c r="AV117" s="228"/>
    </row>
    <row r="118" spans="1:48" s="229" customFormat="1" ht="12.75" customHeight="1">
      <c r="A118" s="448" t="s">
        <v>476</v>
      </c>
      <c r="B118" s="449"/>
      <c r="C118" s="450"/>
      <c r="D118" s="143" t="s">
        <v>443</v>
      </c>
      <c r="E118" s="123">
        <f>E119+E120+E121</f>
        <v>371.29999999999995</v>
      </c>
      <c r="F118" s="123">
        <f>F119+F120+F121</f>
        <v>47.1</v>
      </c>
      <c r="G118" s="123">
        <f>F118/E118*100</f>
        <v>12.685160247778079</v>
      </c>
      <c r="H118" s="123">
        <f t="shared" ref="H118:I118" si="258">H119+H120+H121</f>
        <v>0</v>
      </c>
      <c r="I118" s="123">
        <f t="shared" si="258"/>
        <v>0</v>
      </c>
      <c r="J118" s="123">
        <v>0</v>
      </c>
      <c r="K118" s="123">
        <f t="shared" ref="K118:L118" si="259">K119+K120+K121</f>
        <v>26.6</v>
      </c>
      <c r="L118" s="123">
        <f t="shared" si="259"/>
        <v>25.3</v>
      </c>
      <c r="M118" s="123">
        <f>L118/K118*100</f>
        <v>95.112781954887211</v>
      </c>
      <c r="N118" s="123">
        <f t="shared" ref="N118:O118" si="260">N119+N120+N121</f>
        <v>21</v>
      </c>
      <c r="O118" s="123">
        <f t="shared" si="260"/>
        <v>21.8</v>
      </c>
      <c r="P118" s="123">
        <f>O118/N118*100</f>
        <v>103.80952380952382</v>
      </c>
      <c r="Q118" s="123">
        <f t="shared" ref="Q118:R118" si="261">Q119+Q120+Q121</f>
        <v>119.1</v>
      </c>
      <c r="R118" s="123">
        <f t="shared" si="261"/>
        <v>0</v>
      </c>
      <c r="S118" s="123">
        <f>R118/Q118*100</f>
        <v>0</v>
      </c>
      <c r="T118" s="123">
        <f>T119+T120+T121</f>
        <v>16</v>
      </c>
      <c r="U118" s="123">
        <f t="shared" ref="U118" si="262">U119+U120+U121</f>
        <v>0</v>
      </c>
      <c r="V118" s="123">
        <f>U118/T118*100</f>
        <v>0</v>
      </c>
      <c r="W118" s="123">
        <f t="shared" ref="W118:X118" si="263">W119+W120+W121</f>
        <v>16.5</v>
      </c>
      <c r="X118" s="123">
        <f t="shared" si="263"/>
        <v>0</v>
      </c>
      <c r="Y118" s="123">
        <f>X118/W118*100</f>
        <v>0</v>
      </c>
      <c r="Z118" s="123">
        <f t="shared" ref="Z118:AA118" si="264">Z119+Z120+Z121</f>
        <v>9</v>
      </c>
      <c r="AA118" s="123">
        <f t="shared" si="264"/>
        <v>0</v>
      </c>
      <c r="AB118" s="123">
        <f>AA118/Z118*100</f>
        <v>0</v>
      </c>
      <c r="AC118" s="123">
        <f t="shared" ref="AC118:AD118" si="265">AC119+AC120+AC121</f>
        <v>9</v>
      </c>
      <c r="AD118" s="123">
        <f t="shared" si="265"/>
        <v>0</v>
      </c>
      <c r="AE118" s="123">
        <f>AD118/AC118*100</f>
        <v>0</v>
      </c>
      <c r="AF118" s="123">
        <f t="shared" ref="AF118:AG118" si="266">AF119+AF120+AF121</f>
        <v>10.5</v>
      </c>
      <c r="AG118" s="123">
        <f t="shared" si="266"/>
        <v>0</v>
      </c>
      <c r="AH118" s="123">
        <f>AG118/AF118*100</f>
        <v>0</v>
      </c>
      <c r="AI118" s="123">
        <f t="shared" ref="AI118:AJ118" si="267">AI119+AI120+AI121</f>
        <v>9</v>
      </c>
      <c r="AJ118" s="123">
        <f t="shared" si="267"/>
        <v>0</v>
      </c>
      <c r="AK118" s="123">
        <f>AJ118/AI118*100</f>
        <v>0</v>
      </c>
      <c r="AL118" s="123">
        <f t="shared" ref="AL118:AM118" si="268">AL119+AL120+AL121</f>
        <v>20</v>
      </c>
      <c r="AM118" s="123">
        <f t="shared" si="268"/>
        <v>0</v>
      </c>
      <c r="AN118" s="123">
        <f>AM118/AL118*100</f>
        <v>0</v>
      </c>
      <c r="AO118" s="123">
        <f t="shared" ref="AO118:AP118" si="269">AO119+AO120+AO121</f>
        <v>114.60000000000001</v>
      </c>
      <c r="AP118" s="123">
        <f t="shared" si="269"/>
        <v>0</v>
      </c>
      <c r="AQ118" s="123">
        <f>AP118/AO118*100</f>
        <v>0</v>
      </c>
      <c r="AR118" s="457"/>
      <c r="AS118" s="458"/>
      <c r="AT118" s="227"/>
      <c r="AU118" s="227"/>
      <c r="AV118" s="228"/>
    </row>
    <row r="119" spans="1:48" s="229" customFormat="1" ht="48">
      <c r="A119" s="451"/>
      <c r="B119" s="452"/>
      <c r="C119" s="453"/>
      <c r="D119" s="219" t="s">
        <v>441</v>
      </c>
      <c r="E119" s="123">
        <f>H119+K119+N119+Q119+T119+W119+Z119+AC119+AF119+AI119+AL119+AO119</f>
        <v>103.1</v>
      </c>
      <c r="F119" s="123">
        <f>I119+L119+O119+R119+U119+X119+AA119+AD119+AG119+AJ119+AM119+AP119</f>
        <v>0</v>
      </c>
      <c r="G119" s="123">
        <f>F119/E119*100</f>
        <v>0</v>
      </c>
      <c r="H119" s="123">
        <v>0</v>
      </c>
      <c r="I119" s="123">
        <v>0</v>
      </c>
      <c r="J119" s="123">
        <v>0</v>
      </c>
      <c r="K119" s="123">
        <v>0</v>
      </c>
      <c r="L119" s="123">
        <v>0</v>
      </c>
      <c r="M119" s="123">
        <v>0</v>
      </c>
      <c r="N119" s="123">
        <v>0</v>
      </c>
      <c r="O119" s="123">
        <v>0</v>
      </c>
      <c r="P119" s="123">
        <v>0</v>
      </c>
      <c r="Q119" s="123">
        <v>103.1</v>
      </c>
      <c r="R119" s="123">
        <v>0</v>
      </c>
      <c r="S119" s="123">
        <v>0</v>
      </c>
      <c r="T119" s="123">
        <v>0</v>
      </c>
      <c r="U119" s="123">
        <v>0</v>
      </c>
      <c r="V119" s="123">
        <v>0</v>
      </c>
      <c r="W119" s="123">
        <v>0</v>
      </c>
      <c r="X119" s="123">
        <v>0</v>
      </c>
      <c r="Y119" s="123" t="e">
        <f t="shared" ref="Y119:Y120" si="270">X119/W119*100</f>
        <v>#DIV/0!</v>
      </c>
      <c r="Z119" s="123">
        <v>0</v>
      </c>
      <c r="AA119" s="123">
        <v>0</v>
      </c>
      <c r="AB119" s="123" t="e">
        <f t="shared" ref="AB119:AB120" si="271">AA119/Z119*100</f>
        <v>#DIV/0!</v>
      </c>
      <c r="AC119" s="123">
        <v>0</v>
      </c>
      <c r="AD119" s="123">
        <v>0</v>
      </c>
      <c r="AE119" s="123" t="e">
        <f t="shared" ref="AE119:AE120" si="272">AD119/AC119*100</f>
        <v>#DIV/0!</v>
      </c>
      <c r="AF119" s="123">
        <v>0</v>
      </c>
      <c r="AG119" s="123">
        <v>0</v>
      </c>
      <c r="AH119" s="123" t="e">
        <f t="shared" ref="AH119:AH120" si="273">AG119/AF119*100</f>
        <v>#DIV/0!</v>
      </c>
      <c r="AI119" s="123">
        <v>0</v>
      </c>
      <c r="AJ119" s="123">
        <v>0</v>
      </c>
      <c r="AK119" s="123" t="e">
        <f t="shared" ref="AK119:AK120" si="274">AJ119/AI119*100</f>
        <v>#DIV/0!</v>
      </c>
      <c r="AL119" s="123">
        <v>0</v>
      </c>
      <c r="AM119" s="123">
        <v>0</v>
      </c>
      <c r="AN119" s="123">
        <v>0</v>
      </c>
      <c r="AO119" s="123">
        <v>0</v>
      </c>
      <c r="AP119" s="123">
        <v>0</v>
      </c>
      <c r="AQ119" s="123">
        <v>0</v>
      </c>
      <c r="AR119" s="457"/>
      <c r="AS119" s="458"/>
      <c r="AT119" s="227"/>
      <c r="AU119" s="227"/>
      <c r="AV119" s="228"/>
    </row>
    <row r="120" spans="1:48" s="229" customFormat="1" ht="24.75" customHeight="1">
      <c r="A120" s="451"/>
      <c r="B120" s="452"/>
      <c r="C120" s="453"/>
      <c r="D120" s="219" t="s">
        <v>454</v>
      </c>
      <c r="E120" s="123">
        <f>H120+K120+N120+Q120+T120+W120+Z120+AC120+AF120+AI120+AL120+AO120</f>
        <v>268.2</v>
      </c>
      <c r="F120" s="123">
        <f t="shared" ref="E120:F122" si="275">I120+L120+O120+R120+U120+X120+AA120+AD120+AG120+AJ120+AM120+AP120</f>
        <v>47.1</v>
      </c>
      <c r="G120" s="123">
        <f>F120/E120*100</f>
        <v>17.561521252796421</v>
      </c>
      <c r="H120" s="123">
        <v>0</v>
      </c>
      <c r="I120" s="123">
        <v>0</v>
      </c>
      <c r="J120" s="123">
        <v>0</v>
      </c>
      <c r="K120" s="123">
        <f>18+3.6+5</f>
        <v>26.6</v>
      </c>
      <c r="L120" s="123">
        <v>25.3</v>
      </c>
      <c r="M120" s="123">
        <f t="shared" ref="M120" si="276">L120/K120*100</f>
        <v>95.112781954887211</v>
      </c>
      <c r="N120" s="123">
        <f>26-5</f>
        <v>21</v>
      </c>
      <c r="O120" s="123">
        <v>21.8</v>
      </c>
      <c r="P120" s="123">
        <f t="shared" ref="P120" si="277">O120/N120*100</f>
        <v>103.80952380952382</v>
      </c>
      <c r="Q120" s="123">
        <v>16</v>
      </c>
      <c r="R120" s="123">
        <v>0</v>
      </c>
      <c r="S120" s="123">
        <f t="shared" ref="S120" si="278">R120/Q120*100</f>
        <v>0</v>
      </c>
      <c r="T120" s="123">
        <v>16</v>
      </c>
      <c r="U120" s="123">
        <v>0</v>
      </c>
      <c r="V120" s="123">
        <f t="shared" ref="V120" si="279">U120/T120*100</f>
        <v>0</v>
      </c>
      <c r="W120" s="123">
        <f>15+1.5</f>
        <v>16.5</v>
      </c>
      <c r="X120" s="123">
        <v>0</v>
      </c>
      <c r="Y120" s="123">
        <f t="shared" si="270"/>
        <v>0</v>
      </c>
      <c r="Z120" s="123">
        <v>9</v>
      </c>
      <c r="AA120" s="123">
        <v>0</v>
      </c>
      <c r="AB120" s="123">
        <f t="shared" si="271"/>
        <v>0</v>
      </c>
      <c r="AC120" s="123">
        <v>9</v>
      </c>
      <c r="AD120" s="123">
        <v>0</v>
      </c>
      <c r="AE120" s="123">
        <f t="shared" si="272"/>
        <v>0</v>
      </c>
      <c r="AF120" s="123">
        <f>9+1.5</f>
        <v>10.5</v>
      </c>
      <c r="AG120" s="123">
        <v>0</v>
      </c>
      <c r="AH120" s="123">
        <f t="shared" si="273"/>
        <v>0</v>
      </c>
      <c r="AI120" s="123">
        <v>9</v>
      </c>
      <c r="AJ120" s="123">
        <v>0</v>
      </c>
      <c r="AK120" s="123">
        <f t="shared" si="274"/>
        <v>0</v>
      </c>
      <c r="AL120" s="123">
        <v>20</v>
      </c>
      <c r="AM120" s="123">
        <v>0</v>
      </c>
      <c r="AN120" s="123">
        <f t="shared" ref="AN120" si="280">AM120/AL120*100</f>
        <v>0</v>
      </c>
      <c r="AO120" s="123">
        <f>121.2-6.6</f>
        <v>114.60000000000001</v>
      </c>
      <c r="AP120" s="123">
        <v>0</v>
      </c>
      <c r="AQ120" s="123">
        <f t="shared" ref="AQ120" si="281">AP120/AO120*100</f>
        <v>0</v>
      </c>
      <c r="AR120" s="457"/>
      <c r="AS120" s="458"/>
      <c r="AT120" s="227"/>
      <c r="AU120" s="227"/>
      <c r="AV120" s="228"/>
    </row>
    <row r="121" spans="1:48" s="229" customFormat="1" ht="24">
      <c r="A121" s="451"/>
      <c r="B121" s="452"/>
      <c r="C121" s="453"/>
      <c r="D121" s="143" t="s">
        <v>257</v>
      </c>
      <c r="E121" s="123">
        <f t="shared" si="275"/>
        <v>0</v>
      </c>
      <c r="F121" s="123">
        <f t="shared" si="275"/>
        <v>0</v>
      </c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3">
        <v>0</v>
      </c>
      <c r="O121" s="123">
        <v>0</v>
      </c>
      <c r="P121" s="123">
        <v>0</v>
      </c>
      <c r="Q121" s="123"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3">
        <v>0</v>
      </c>
      <c r="AB121" s="123">
        <v>0</v>
      </c>
      <c r="AC121" s="123">
        <v>0</v>
      </c>
      <c r="AD121" s="123">
        <v>0</v>
      </c>
      <c r="AE121" s="123">
        <v>0</v>
      </c>
      <c r="AF121" s="123">
        <v>0</v>
      </c>
      <c r="AG121" s="123">
        <v>0</v>
      </c>
      <c r="AH121" s="123">
        <v>0</v>
      </c>
      <c r="AI121" s="123">
        <v>0</v>
      </c>
      <c r="AJ121" s="123">
        <v>0</v>
      </c>
      <c r="AK121" s="123">
        <v>0</v>
      </c>
      <c r="AL121" s="123">
        <v>0</v>
      </c>
      <c r="AM121" s="123">
        <v>0</v>
      </c>
      <c r="AN121" s="123">
        <v>0</v>
      </c>
      <c r="AO121" s="123">
        <v>0</v>
      </c>
      <c r="AP121" s="123">
        <v>0</v>
      </c>
      <c r="AQ121" s="226">
        <v>0</v>
      </c>
      <c r="AR121" s="457"/>
      <c r="AS121" s="458"/>
      <c r="AT121" s="227"/>
      <c r="AU121" s="227"/>
      <c r="AV121" s="228"/>
    </row>
    <row r="122" spans="1:48" s="229" customFormat="1" ht="28.5" customHeight="1">
      <c r="A122" s="454"/>
      <c r="B122" s="455"/>
      <c r="C122" s="456"/>
      <c r="D122" s="143" t="s">
        <v>459</v>
      </c>
      <c r="E122" s="123">
        <f t="shared" si="275"/>
        <v>0</v>
      </c>
      <c r="F122" s="123">
        <f t="shared" si="275"/>
        <v>0</v>
      </c>
      <c r="G122" s="123">
        <v>0</v>
      </c>
      <c r="H122" s="123">
        <v>0</v>
      </c>
      <c r="I122" s="123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0</v>
      </c>
      <c r="O122" s="123">
        <v>0</v>
      </c>
      <c r="P122" s="123">
        <v>0</v>
      </c>
      <c r="Q122" s="123">
        <v>0</v>
      </c>
      <c r="R122" s="123">
        <v>0</v>
      </c>
      <c r="S122" s="123">
        <v>0</v>
      </c>
      <c r="T122" s="123">
        <v>0</v>
      </c>
      <c r="U122" s="123">
        <v>0</v>
      </c>
      <c r="V122" s="123">
        <v>0</v>
      </c>
      <c r="W122" s="123">
        <v>0</v>
      </c>
      <c r="X122" s="123">
        <v>0</v>
      </c>
      <c r="Y122" s="123">
        <v>0</v>
      </c>
      <c r="Z122" s="123">
        <v>0</v>
      </c>
      <c r="AA122" s="123">
        <v>0</v>
      </c>
      <c r="AB122" s="123">
        <v>0</v>
      </c>
      <c r="AC122" s="123">
        <v>0</v>
      </c>
      <c r="AD122" s="123">
        <v>0</v>
      </c>
      <c r="AE122" s="123">
        <v>0</v>
      </c>
      <c r="AF122" s="123">
        <v>0</v>
      </c>
      <c r="AG122" s="123">
        <v>0</v>
      </c>
      <c r="AH122" s="123">
        <v>0</v>
      </c>
      <c r="AI122" s="123">
        <v>0</v>
      </c>
      <c r="AJ122" s="123">
        <v>0</v>
      </c>
      <c r="AK122" s="123">
        <v>0</v>
      </c>
      <c r="AL122" s="123">
        <v>0</v>
      </c>
      <c r="AM122" s="123">
        <v>0</v>
      </c>
      <c r="AN122" s="123">
        <v>0</v>
      </c>
      <c r="AO122" s="123">
        <v>0</v>
      </c>
      <c r="AP122" s="123">
        <v>0</v>
      </c>
      <c r="AQ122" s="226">
        <v>0</v>
      </c>
      <c r="AR122" s="457"/>
      <c r="AS122" s="458"/>
      <c r="AT122" s="227"/>
      <c r="AU122" s="227"/>
      <c r="AV122" s="228"/>
    </row>
    <row r="123" spans="1:48" s="229" customFormat="1" ht="15.75" customHeight="1">
      <c r="A123" s="448" t="s">
        <v>479</v>
      </c>
      <c r="B123" s="449"/>
      <c r="C123" s="450"/>
      <c r="D123" s="143" t="s">
        <v>443</v>
      </c>
      <c r="E123" s="123">
        <f>E124+E125+E126</f>
        <v>42062.2</v>
      </c>
      <c r="F123" s="123">
        <f>F124+F125+F126</f>
        <v>7364.5999999999995</v>
      </c>
      <c r="G123" s="123">
        <f>F123/E123*100</f>
        <v>17.508832158089685</v>
      </c>
      <c r="H123" s="123">
        <f t="shared" ref="H123:I123" si="282">H124+H125+H126</f>
        <v>865.5</v>
      </c>
      <c r="I123" s="123">
        <f t="shared" si="282"/>
        <v>865.5</v>
      </c>
      <c r="J123" s="123">
        <f>I123/H123*100</f>
        <v>100</v>
      </c>
      <c r="K123" s="123">
        <f t="shared" ref="K123:L123" si="283">K124+K125+K126</f>
        <v>3651.9</v>
      </c>
      <c r="L123" s="123">
        <f t="shared" si="283"/>
        <v>3390.9</v>
      </c>
      <c r="M123" s="123">
        <f>L123/K123*100</f>
        <v>92.853035406226894</v>
      </c>
      <c r="N123" s="123">
        <f t="shared" ref="N123:O123" si="284">N124+N125+N126</f>
        <v>3126.3</v>
      </c>
      <c r="O123" s="123">
        <f t="shared" si="284"/>
        <v>3108.2</v>
      </c>
      <c r="P123" s="123">
        <f>O123/N123*100</f>
        <v>99.421040847007632</v>
      </c>
      <c r="Q123" s="123">
        <f t="shared" ref="Q123:R123" si="285">Q124+Q125+Q126</f>
        <v>3030.4</v>
      </c>
      <c r="R123" s="123">
        <f t="shared" si="285"/>
        <v>0</v>
      </c>
      <c r="S123" s="123">
        <f t="shared" ref="S123" si="286">R123/Q123*100</f>
        <v>0</v>
      </c>
      <c r="T123" s="123">
        <f>T124+T125+T126</f>
        <v>3443.2</v>
      </c>
      <c r="U123" s="123">
        <f t="shared" ref="U123" si="287">U124+U125+U126</f>
        <v>0</v>
      </c>
      <c r="V123" s="123">
        <f t="shared" ref="V123:V125" si="288">U123/T123*100</f>
        <v>0</v>
      </c>
      <c r="W123" s="123">
        <f t="shared" ref="W123:AD123" si="289">W124+W125+W126</f>
        <v>3146.3</v>
      </c>
      <c r="X123" s="123">
        <f t="shared" si="289"/>
        <v>0</v>
      </c>
      <c r="Y123" s="123">
        <f t="shared" ref="Y123:Y125" si="290">X123/W123*100</f>
        <v>0</v>
      </c>
      <c r="Z123" s="123">
        <f t="shared" si="289"/>
        <v>4195.3</v>
      </c>
      <c r="AA123" s="123">
        <f t="shared" si="289"/>
        <v>0</v>
      </c>
      <c r="AB123" s="123">
        <f t="shared" ref="AB123:AB125" si="291">AA123/Z123*100</f>
        <v>0</v>
      </c>
      <c r="AC123" s="123">
        <f t="shared" si="289"/>
        <v>3664.3</v>
      </c>
      <c r="AD123" s="123">
        <f t="shared" si="289"/>
        <v>0</v>
      </c>
      <c r="AE123" s="123">
        <f t="shared" ref="AE123:AE125" si="292">AD123/AC123*100</f>
        <v>0</v>
      </c>
      <c r="AF123" s="123">
        <f t="shared" ref="AF123:AG123" si="293">AF124+AF125+AF126</f>
        <v>3240.6</v>
      </c>
      <c r="AG123" s="123">
        <f t="shared" si="293"/>
        <v>0</v>
      </c>
      <c r="AH123" s="123">
        <f t="shared" ref="AH123:AH125" si="294">AG123/AF123*100</f>
        <v>0</v>
      </c>
      <c r="AI123" s="123">
        <f t="shared" ref="AI123:AJ123" si="295">AI124+AI125+AI126</f>
        <v>3487.1</v>
      </c>
      <c r="AJ123" s="123">
        <f t="shared" si="295"/>
        <v>0</v>
      </c>
      <c r="AK123" s="123">
        <f t="shared" ref="AK123:AK125" si="296">AJ123/AI123*100</f>
        <v>0</v>
      </c>
      <c r="AL123" s="123">
        <f t="shared" ref="AL123:AM123" si="297">AL124+AL125+AL126</f>
        <v>3594.1</v>
      </c>
      <c r="AM123" s="123">
        <f t="shared" si="297"/>
        <v>0</v>
      </c>
      <c r="AN123" s="123">
        <f t="shared" ref="AN123:AN125" si="298">AM123/AL123*100</f>
        <v>0</v>
      </c>
      <c r="AO123" s="123">
        <f t="shared" ref="AO123:AP123" si="299">AO124+AO125+AO126</f>
        <v>6617.2000000000007</v>
      </c>
      <c r="AP123" s="123">
        <f t="shared" si="299"/>
        <v>0</v>
      </c>
      <c r="AQ123" s="123">
        <f t="shared" ref="AQ123:AQ125" si="300">AP123/AO123*100</f>
        <v>0</v>
      </c>
      <c r="AR123" s="457"/>
      <c r="AS123" s="458"/>
      <c r="AT123" s="227"/>
      <c r="AU123" s="227"/>
      <c r="AV123" s="228"/>
    </row>
    <row r="124" spans="1:48" s="229" customFormat="1" ht="35.25" customHeight="1">
      <c r="A124" s="451"/>
      <c r="B124" s="452"/>
      <c r="C124" s="453"/>
      <c r="D124" s="219" t="s">
        <v>441</v>
      </c>
      <c r="E124" s="123">
        <f>H124+K124+N124+Q124+T124+W124+Z124+AC124+AF124+AI124+AL124+AO124</f>
        <v>160</v>
      </c>
      <c r="F124" s="123">
        <f>I124+L124+O124+R124+U124+X124+AA124+AD124+AG124+AJ124+AM124+AP124</f>
        <v>0</v>
      </c>
      <c r="G124" s="123">
        <f>F124/E124*100</f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0</v>
      </c>
      <c r="O124" s="123">
        <v>0</v>
      </c>
      <c r="P124" s="123">
        <v>0</v>
      </c>
      <c r="Q124" s="123">
        <v>0</v>
      </c>
      <c r="R124" s="123">
        <v>0</v>
      </c>
      <c r="S124" s="123">
        <v>0</v>
      </c>
      <c r="T124" s="123">
        <v>0</v>
      </c>
      <c r="U124" s="123">
        <v>0</v>
      </c>
      <c r="V124" s="123" t="e">
        <f t="shared" si="288"/>
        <v>#DIV/0!</v>
      </c>
      <c r="W124" s="123">
        <v>20</v>
      </c>
      <c r="X124" s="123">
        <v>0</v>
      </c>
      <c r="Y124" s="123">
        <f t="shared" si="290"/>
        <v>0</v>
      </c>
      <c r="Z124" s="123">
        <v>13</v>
      </c>
      <c r="AA124" s="123">
        <v>0</v>
      </c>
      <c r="AB124" s="123">
        <f t="shared" si="291"/>
        <v>0</v>
      </c>
      <c r="AC124" s="123">
        <v>27</v>
      </c>
      <c r="AD124" s="123">
        <v>0</v>
      </c>
      <c r="AE124" s="123">
        <f t="shared" si="292"/>
        <v>0</v>
      </c>
      <c r="AF124" s="123">
        <v>0</v>
      </c>
      <c r="AG124" s="123">
        <v>0</v>
      </c>
      <c r="AH124" s="123" t="e">
        <f t="shared" si="294"/>
        <v>#DIV/0!</v>
      </c>
      <c r="AI124" s="123">
        <v>80</v>
      </c>
      <c r="AJ124" s="123">
        <v>0</v>
      </c>
      <c r="AK124" s="123">
        <f t="shared" si="296"/>
        <v>0</v>
      </c>
      <c r="AL124" s="123">
        <v>20</v>
      </c>
      <c r="AM124" s="123">
        <v>0</v>
      </c>
      <c r="AN124" s="123">
        <f t="shared" si="298"/>
        <v>0</v>
      </c>
      <c r="AO124" s="123">
        <v>0</v>
      </c>
      <c r="AP124" s="123">
        <v>0</v>
      </c>
      <c r="AQ124" s="123">
        <v>0</v>
      </c>
      <c r="AR124" s="457"/>
      <c r="AS124" s="458"/>
      <c r="AT124" s="227"/>
      <c r="AU124" s="227"/>
      <c r="AV124" s="228"/>
    </row>
    <row r="125" spans="1:48" s="229" customFormat="1" ht="12.75" customHeight="1">
      <c r="A125" s="451"/>
      <c r="B125" s="452"/>
      <c r="C125" s="453"/>
      <c r="D125" s="219" t="s">
        <v>454</v>
      </c>
      <c r="E125" s="123">
        <f>H125+K125+N125+Q125+T125+W125+Z125+AC125+AF125+AI125+AL125+AO125</f>
        <v>41902.199999999997</v>
      </c>
      <c r="F125" s="123">
        <f t="shared" ref="F125:F127" si="301">I125+L125+O125+R125+U125+X125+AA125+AD125+AG125+AJ125+AM125+AP125</f>
        <v>7364.5999999999995</v>
      </c>
      <c r="G125" s="123">
        <f>F125/E125*100</f>
        <v>17.575688150025538</v>
      </c>
      <c r="H125" s="123">
        <f>940.1-74.6</f>
        <v>865.5</v>
      </c>
      <c r="I125" s="123">
        <v>865.5</v>
      </c>
      <c r="J125" s="123">
        <f>I125/H125*100</f>
        <v>100</v>
      </c>
      <c r="K125" s="123">
        <f>3347.9+189.5+39.9+74.6</f>
        <v>3651.9</v>
      </c>
      <c r="L125" s="123">
        <v>3390.9</v>
      </c>
      <c r="M125" s="123">
        <f>L125/K125*100</f>
        <v>92.853035406226894</v>
      </c>
      <c r="N125" s="123">
        <v>3126.3</v>
      </c>
      <c r="O125" s="123">
        <v>3108.2</v>
      </c>
      <c r="P125" s="123">
        <f>O125/N125*100</f>
        <v>99.421040847007632</v>
      </c>
      <c r="Q125" s="123">
        <f>3030.4</f>
        <v>3030.4</v>
      </c>
      <c r="R125" s="123">
        <v>0</v>
      </c>
      <c r="S125" s="123">
        <f t="shared" ref="S125" si="302">R125/Q125*100</f>
        <v>0</v>
      </c>
      <c r="T125" s="123">
        <v>3443.2</v>
      </c>
      <c r="U125" s="123">
        <v>0</v>
      </c>
      <c r="V125" s="123">
        <f t="shared" si="288"/>
        <v>0</v>
      </c>
      <c r="W125" s="123">
        <v>3126.3</v>
      </c>
      <c r="X125" s="123">
        <v>0</v>
      </c>
      <c r="Y125" s="123">
        <f t="shared" si="290"/>
        <v>0</v>
      </c>
      <c r="Z125" s="123">
        <v>4182.3</v>
      </c>
      <c r="AA125" s="123">
        <v>0</v>
      </c>
      <c r="AB125" s="123">
        <f t="shared" si="291"/>
        <v>0</v>
      </c>
      <c r="AC125" s="123">
        <f>3637.3</f>
        <v>3637.3</v>
      </c>
      <c r="AD125" s="123">
        <v>0</v>
      </c>
      <c r="AE125" s="123">
        <f t="shared" si="292"/>
        <v>0</v>
      </c>
      <c r="AF125" s="123">
        <v>3240.6</v>
      </c>
      <c r="AG125" s="123">
        <v>0</v>
      </c>
      <c r="AH125" s="123">
        <f t="shared" si="294"/>
        <v>0</v>
      </c>
      <c r="AI125" s="123">
        <v>3407.1</v>
      </c>
      <c r="AJ125" s="123">
        <v>0</v>
      </c>
      <c r="AK125" s="123">
        <f t="shared" si="296"/>
        <v>0</v>
      </c>
      <c r="AL125" s="123">
        <v>3574.1</v>
      </c>
      <c r="AM125" s="123">
        <v>0</v>
      </c>
      <c r="AN125" s="123">
        <f t="shared" si="298"/>
        <v>0</v>
      </c>
      <c r="AO125" s="123">
        <f>6846.6-229.4</f>
        <v>6617.2000000000007</v>
      </c>
      <c r="AP125" s="123">
        <v>0</v>
      </c>
      <c r="AQ125" s="123">
        <f t="shared" si="300"/>
        <v>0</v>
      </c>
      <c r="AR125" s="457"/>
      <c r="AS125" s="458"/>
      <c r="AT125" s="227"/>
      <c r="AU125" s="227"/>
      <c r="AV125" s="228"/>
    </row>
    <row r="126" spans="1:48" s="229" customFormat="1" ht="24">
      <c r="A126" s="451"/>
      <c r="B126" s="452"/>
      <c r="C126" s="453"/>
      <c r="D126" s="143" t="s">
        <v>257</v>
      </c>
      <c r="E126" s="123">
        <f t="shared" ref="E126:E127" si="303">H126+K126+N126+Q126+T126+W126+Z126+AC126+AF126+AI126+AL126+AO126</f>
        <v>0</v>
      </c>
      <c r="F126" s="123">
        <f t="shared" si="301"/>
        <v>0</v>
      </c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3">
        <v>0</v>
      </c>
      <c r="O126" s="123">
        <v>0</v>
      </c>
      <c r="P126" s="123">
        <v>0</v>
      </c>
      <c r="Q126" s="123"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3">
        <v>0</v>
      </c>
      <c r="AB126" s="123">
        <v>0</v>
      </c>
      <c r="AC126" s="123">
        <v>0</v>
      </c>
      <c r="AD126" s="123">
        <v>0</v>
      </c>
      <c r="AE126" s="123">
        <v>0</v>
      </c>
      <c r="AF126" s="123">
        <v>0</v>
      </c>
      <c r="AG126" s="123">
        <v>0</v>
      </c>
      <c r="AH126" s="123">
        <v>0</v>
      </c>
      <c r="AI126" s="123">
        <v>0</v>
      </c>
      <c r="AJ126" s="123">
        <v>0</v>
      </c>
      <c r="AK126" s="123">
        <v>0</v>
      </c>
      <c r="AL126" s="123">
        <v>0</v>
      </c>
      <c r="AM126" s="123">
        <v>0</v>
      </c>
      <c r="AN126" s="123">
        <v>0</v>
      </c>
      <c r="AO126" s="123">
        <v>0</v>
      </c>
      <c r="AP126" s="123">
        <v>0</v>
      </c>
      <c r="AQ126" s="123">
        <v>0</v>
      </c>
      <c r="AR126" s="457"/>
      <c r="AS126" s="458"/>
      <c r="AT126" s="227"/>
      <c r="AU126" s="227"/>
      <c r="AV126" s="228"/>
    </row>
    <row r="127" spans="1:48" s="229" customFormat="1" ht="12.75" customHeight="1">
      <c r="A127" s="454"/>
      <c r="B127" s="455"/>
      <c r="C127" s="456"/>
      <c r="D127" s="143" t="s">
        <v>459</v>
      </c>
      <c r="E127" s="123">
        <f t="shared" si="303"/>
        <v>0</v>
      </c>
      <c r="F127" s="123">
        <f t="shared" si="301"/>
        <v>0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123">
        <v>0</v>
      </c>
      <c r="Q127" s="123"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0</v>
      </c>
      <c r="X127" s="123">
        <v>0</v>
      </c>
      <c r="Y127" s="123">
        <v>0</v>
      </c>
      <c r="Z127" s="123">
        <v>0</v>
      </c>
      <c r="AA127" s="123">
        <v>0</v>
      </c>
      <c r="AB127" s="123">
        <v>0</v>
      </c>
      <c r="AC127" s="123">
        <v>0</v>
      </c>
      <c r="AD127" s="123">
        <v>0</v>
      </c>
      <c r="AE127" s="123">
        <v>0</v>
      </c>
      <c r="AF127" s="123">
        <v>0</v>
      </c>
      <c r="AG127" s="123">
        <v>0</v>
      </c>
      <c r="AH127" s="123">
        <v>0</v>
      </c>
      <c r="AI127" s="123">
        <v>0</v>
      </c>
      <c r="AJ127" s="123">
        <v>0</v>
      </c>
      <c r="AK127" s="123">
        <v>0</v>
      </c>
      <c r="AL127" s="123">
        <v>0</v>
      </c>
      <c r="AM127" s="123">
        <v>0</v>
      </c>
      <c r="AN127" s="123">
        <v>0</v>
      </c>
      <c r="AO127" s="123">
        <v>0</v>
      </c>
      <c r="AP127" s="123">
        <v>0</v>
      </c>
      <c r="AQ127" s="123">
        <v>0</v>
      </c>
      <c r="AR127" s="457"/>
      <c r="AS127" s="458"/>
      <c r="AT127" s="227"/>
      <c r="AU127" s="227"/>
      <c r="AV127" s="228"/>
    </row>
    <row r="128" spans="1:48" s="229" customFormat="1" ht="12.75">
      <c r="A128" s="448" t="s">
        <v>494</v>
      </c>
      <c r="B128" s="449"/>
      <c r="C128" s="450"/>
      <c r="D128" s="143" t="s">
        <v>443</v>
      </c>
      <c r="E128" s="123">
        <f>E129+E130+E131</f>
        <v>0</v>
      </c>
      <c r="F128" s="123">
        <f>F129+F130+F131</f>
        <v>0</v>
      </c>
      <c r="G128" s="123">
        <v>0</v>
      </c>
      <c r="H128" s="123">
        <f t="shared" ref="H128:I128" si="304">H129+H130+H131</f>
        <v>0</v>
      </c>
      <c r="I128" s="123">
        <f t="shared" si="304"/>
        <v>0</v>
      </c>
      <c r="J128" s="123">
        <v>0</v>
      </c>
      <c r="K128" s="123">
        <f t="shared" ref="K128:L128" si="305">K129+K130+K131</f>
        <v>0</v>
      </c>
      <c r="L128" s="123">
        <f t="shared" si="305"/>
        <v>0</v>
      </c>
      <c r="M128" s="123">
        <v>0</v>
      </c>
      <c r="N128" s="123">
        <f t="shared" ref="N128:O128" si="306">N129+N130+N131</f>
        <v>0</v>
      </c>
      <c r="O128" s="123">
        <f t="shared" si="306"/>
        <v>0</v>
      </c>
      <c r="P128" s="123">
        <v>0</v>
      </c>
      <c r="Q128" s="123">
        <f t="shared" ref="Q128:R128" si="307">Q129+Q130+Q131</f>
        <v>0</v>
      </c>
      <c r="R128" s="123">
        <f t="shared" si="307"/>
        <v>0</v>
      </c>
      <c r="S128" s="123" t="e">
        <f t="shared" ref="S128" si="308">R128/Q128*100</f>
        <v>#DIV/0!</v>
      </c>
      <c r="T128" s="123">
        <f>T129+T130+T131</f>
        <v>0</v>
      </c>
      <c r="U128" s="123">
        <f t="shared" ref="U128" si="309">U129+U130+U131</f>
        <v>0</v>
      </c>
      <c r="V128" s="123" t="e">
        <f t="shared" ref="V128:V130" si="310">U128/T128*100</f>
        <v>#DIV/0!</v>
      </c>
      <c r="W128" s="123">
        <f t="shared" ref="W128:X128" si="311">W129+W130+W131</f>
        <v>0</v>
      </c>
      <c r="X128" s="123">
        <f t="shared" si="311"/>
        <v>0</v>
      </c>
      <c r="Y128" s="123" t="e">
        <f t="shared" ref="Y128:Y130" si="312">X128/W128*100</f>
        <v>#DIV/0!</v>
      </c>
      <c r="Z128" s="123">
        <f t="shared" ref="Z128:AA128" si="313">Z129+Z130+Z131</f>
        <v>0</v>
      </c>
      <c r="AA128" s="123">
        <f t="shared" si="313"/>
        <v>0</v>
      </c>
      <c r="AB128" s="123" t="e">
        <f>AA128/Z128*100</f>
        <v>#DIV/0!</v>
      </c>
      <c r="AC128" s="123">
        <f t="shared" ref="AC128:AD128" si="314">AC129+AC130+AC131</f>
        <v>0</v>
      </c>
      <c r="AD128" s="123">
        <f t="shared" si="314"/>
        <v>0</v>
      </c>
      <c r="AE128" s="123" t="e">
        <f t="shared" ref="AE128:AE130" si="315">AD128/AC128*100</f>
        <v>#DIV/0!</v>
      </c>
      <c r="AF128" s="123">
        <f t="shared" ref="AF128:AG128" si="316">AF129+AF130+AF131</f>
        <v>0</v>
      </c>
      <c r="AG128" s="123">
        <f t="shared" si="316"/>
        <v>0</v>
      </c>
      <c r="AH128" s="123" t="e">
        <f t="shared" ref="AH128:AH129" si="317">AG128/AF128*100</f>
        <v>#DIV/0!</v>
      </c>
      <c r="AI128" s="123">
        <v>0</v>
      </c>
      <c r="AJ128" s="123">
        <f t="shared" ref="AJ128" si="318">AJ129+AJ130+AJ131</f>
        <v>0</v>
      </c>
      <c r="AK128" s="123">
        <v>0</v>
      </c>
      <c r="AL128" s="123">
        <f t="shared" ref="AL128:AM128" si="319">AL129+AL130+AL131</f>
        <v>0</v>
      </c>
      <c r="AM128" s="123">
        <f t="shared" si="319"/>
        <v>0</v>
      </c>
      <c r="AN128" s="123">
        <v>0</v>
      </c>
      <c r="AO128" s="123">
        <f t="shared" ref="AO128:AP128" si="320">AO129+AO130+AO131</f>
        <v>0</v>
      </c>
      <c r="AP128" s="123">
        <f t="shared" si="320"/>
        <v>0</v>
      </c>
      <c r="AQ128" s="226">
        <v>0</v>
      </c>
      <c r="AR128" s="457"/>
      <c r="AS128" s="458"/>
      <c r="AT128" s="227"/>
      <c r="AU128" s="227"/>
      <c r="AV128" s="228"/>
    </row>
    <row r="129" spans="1:64" s="229" customFormat="1" ht="48">
      <c r="A129" s="451"/>
      <c r="B129" s="452"/>
      <c r="C129" s="453"/>
      <c r="D129" s="219" t="s">
        <v>441</v>
      </c>
      <c r="E129" s="123">
        <f>H129+K129+N129+Q129+T129+W129+Z129+AC129+AF129+AI129+AL129+AO129</f>
        <v>0</v>
      </c>
      <c r="F129" s="123">
        <f>I129+L129+O129+R129+U129+X129+AA129+AD129+AG129+AJ129+AM129+AP129</f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123">
        <v>0</v>
      </c>
      <c r="Q129" s="123">
        <v>0</v>
      </c>
      <c r="R129" s="123">
        <v>0</v>
      </c>
      <c r="S129" s="123">
        <v>0</v>
      </c>
      <c r="T129" s="123">
        <v>0</v>
      </c>
      <c r="U129" s="123">
        <v>0</v>
      </c>
      <c r="V129" s="123" t="e">
        <f t="shared" si="310"/>
        <v>#DIV/0!</v>
      </c>
      <c r="W129" s="123">
        <v>0</v>
      </c>
      <c r="X129" s="123">
        <v>0</v>
      </c>
      <c r="Y129" s="123" t="e">
        <f t="shared" si="312"/>
        <v>#DIV/0!</v>
      </c>
      <c r="Z129" s="123">
        <v>0</v>
      </c>
      <c r="AA129" s="123">
        <v>0</v>
      </c>
      <c r="AB129" s="123" t="e">
        <f t="shared" ref="AB129:AB130" si="321">AA129/Z129*100</f>
        <v>#DIV/0!</v>
      </c>
      <c r="AC129" s="123">
        <v>0</v>
      </c>
      <c r="AD129" s="123">
        <v>0</v>
      </c>
      <c r="AE129" s="123" t="e">
        <f t="shared" si="315"/>
        <v>#DIV/0!</v>
      </c>
      <c r="AF129" s="123">
        <v>0</v>
      </c>
      <c r="AG129" s="123">
        <v>0</v>
      </c>
      <c r="AH129" s="123" t="e">
        <f t="shared" si="317"/>
        <v>#DIV/0!</v>
      </c>
      <c r="AI129" s="123">
        <v>0</v>
      </c>
      <c r="AJ129" s="123">
        <v>0</v>
      </c>
      <c r="AK129" s="123">
        <v>0</v>
      </c>
      <c r="AL129" s="123">
        <v>0</v>
      </c>
      <c r="AM129" s="123">
        <v>0</v>
      </c>
      <c r="AN129" s="123">
        <v>0</v>
      </c>
      <c r="AO129" s="123">
        <v>0</v>
      </c>
      <c r="AP129" s="123">
        <v>0</v>
      </c>
      <c r="AQ129" s="226">
        <v>0</v>
      </c>
      <c r="AR129" s="457"/>
      <c r="AS129" s="458"/>
      <c r="AT129" s="227"/>
      <c r="AU129" s="227"/>
      <c r="AV129" s="228"/>
    </row>
    <row r="130" spans="1:64" s="229" customFormat="1" ht="12.75" customHeight="1">
      <c r="A130" s="451"/>
      <c r="B130" s="452"/>
      <c r="C130" s="453"/>
      <c r="D130" s="219" t="s">
        <v>454</v>
      </c>
      <c r="E130" s="123">
        <f>H130+K130+N130+Q130+T130+W130+Z130+AC130+AF130+AI130+AL130+AO130</f>
        <v>0</v>
      </c>
      <c r="F130" s="123">
        <f t="shared" ref="F130:F132" si="322">I130+L130+O130+R130+U130+X130+AA130+AD130+AG130+AJ130+AM130+AP130</f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123">
        <v>0</v>
      </c>
      <c r="Q130" s="123">
        <v>0</v>
      </c>
      <c r="R130" s="123">
        <v>0</v>
      </c>
      <c r="S130" s="123" t="e">
        <f t="shared" ref="S130" si="323">R130/Q130*100</f>
        <v>#DIV/0!</v>
      </c>
      <c r="T130" s="123">
        <v>0</v>
      </c>
      <c r="U130" s="123">
        <v>0</v>
      </c>
      <c r="V130" s="123" t="e">
        <f t="shared" si="310"/>
        <v>#DIV/0!</v>
      </c>
      <c r="W130" s="123">
        <v>0</v>
      </c>
      <c r="X130" s="123">
        <v>0</v>
      </c>
      <c r="Y130" s="123" t="e">
        <f t="shared" si="312"/>
        <v>#DIV/0!</v>
      </c>
      <c r="Z130" s="123">
        <v>0</v>
      </c>
      <c r="AA130" s="123">
        <v>0</v>
      </c>
      <c r="AB130" s="123" t="e">
        <f t="shared" si="321"/>
        <v>#DIV/0!</v>
      </c>
      <c r="AC130" s="123">
        <v>0</v>
      </c>
      <c r="AD130" s="123">
        <v>0</v>
      </c>
      <c r="AE130" s="123" t="e">
        <f t="shared" si="315"/>
        <v>#DIV/0!</v>
      </c>
      <c r="AF130" s="123">
        <v>0</v>
      </c>
      <c r="AG130" s="123">
        <v>0</v>
      </c>
      <c r="AH130" s="123">
        <v>0</v>
      </c>
      <c r="AI130" s="123">
        <v>0</v>
      </c>
      <c r="AJ130" s="123">
        <v>0</v>
      </c>
      <c r="AK130" s="123">
        <v>0</v>
      </c>
      <c r="AL130" s="123">
        <v>0</v>
      </c>
      <c r="AM130" s="123">
        <v>0</v>
      </c>
      <c r="AN130" s="123">
        <v>0</v>
      </c>
      <c r="AO130" s="123">
        <v>0</v>
      </c>
      <c r="AP130" s="123">
        <v>0</v>
      </c>
      <c r="AQ130" s="226">
        <v>0</v>
      </c>
      <c r="AR130" s="457"/>
      <c r="AS130" s="458"/>
      <c r="AT130" s="227"/>
      <c r="AU130" s="227"/>
      <c r="AV130" s="228"/>
    </row>
    <row r="131" spans="1:64" s="229" customFormat="1" ht="24">
      <c r="A131" s="451"/>
      <c r="B131" s="452"/>
      <c r="C131" s="453"/>
      <c r="D131" s="143" t="s">
        <v>257</v>
      </c>
      <c r="E131" s="123">
        <f t="shared" ref="E131:E132" si="324">H131+K131+N131+Q131+T131+W131+Z131+AC131+AF131+AI131+AL131+AO131</f>
        <v>0</v>
      </c>
      <c r="F131" s="123">
        <f t="shared" si="322"/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  <c r="P131" s="123">
        <v>0</v>
      </c>
      <c r="Q131" s="123">
        <v>0</v>
      </c>
      <c r="R131" s="123">
        <v>0</v>
      </c>
      <c r="S131" s="123">
        <v>0</v>
      </c>
      <c r="T131" s="123">
        <v>0</v>
      </c>
      <c r="U131" s="123">
        <v>0</v>
      </c>
      <c r="V131" s="123">
        <v>0</v>
      </c>
      <c r="W131" s="123">
        <v>0</v>
      </c>
      <c r="X131" s="123">
        <v>0</v>
      </c>
      <c r="Y131" s="123">
        <v>0</v>
      </c>
      <c r="Z131" s="123">
        <v>0</v>
      </c>
      <c r="AA131" s="123">
        <v>0</v>
      </c>
      <c r="AB131" s="123">
        <v>0</v>
      </c>
      <c r="AC131" s="123">
        <v>0</v>
      </c>
      <c r="AD131" s="123">
        <v>0</v>
      </c>
      <c r="AE131" s="123">
        <v>0</v>
      </c>
      <c r="AF131" s="123">
        <v>0</v>
      </c>
      <c r="AG131" s="123">
        <v>0</v>
      </c>
      <c r="AH131" s="123">
        <v>0</v>
      </c>
      <c r="AI131" s="123">
        <v>0</v>
      </c>
      <c r="AJ131" s="123">
        <v>0</v>
      </c>
      <c r="AK131" s="123">
        <v>0</v>
      </c>
      <c r="AL131" s="123">
        <v>0</v>
      </c>
      <c r="AM131" s="123">
        <v>0</v>
      </c>
      <c r="AN131" s="123">
        <v>0</v>
      </c>
      <c r="AO131" s="123">
        <v>0</v>
      </c>
      <c r="AP131" s="123">
        <v>0</v>
      </c>
      <c r="AQ131" s="226">
        <v>0</v>
      </c>
      <c r="AR131" s="457"/>
      <c r="AS131" s="458"/>
      <c r="AT131" s="227"/>
      <c r="AU131" s="227"/>
      <c r="AV131" s="228"/>
    </row>
    <row r="132" spans="1:64" s="229" customFormat="1" ht="24">
      <c r="A132" s="454"/>
      <c r="B132" s="455"/>
      <c r="C132" s="456"/>
      <c r="D132" s="143" t="s">
        <v>459</v>
      </c>
      <c r="E132" s="123">
        <f t="shared" si="324"/>
        <v>0</v>
      </c>
      <c r="F132" s="123">
        <f t="shared" si="322"/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123">
        <v>0</v>
      </c>
      <c r="Q132" s="123">
        <v>0</v>
      </c>
      <c r="R132" s="123">
        <v>0</v>
      </c>
      <c r="S132" s="123">
        <v>0</v>
      </c>
      <c r="T132" s="123">
        <v>0</v>
      </c>
      <c r="U132" s="123">
        <v>0</v>
      </c>
      <c r="V132" s="123">
        <v>0</v>
      </c>
      <c r="W132" s="123">
        <v>0</v>
      </c>
      <c r="X132" s="123">
        <v>0</v>
      </c>
      <c r="Y132" s="123">
        <v>0</v>
      </c>
      <c r="Z132" s="123">
        <v>0</v>
      </c>
      <c r="AA132" s="123">
        <v>0</v>
      </c>
      <c r="AB132" s="123">
        <v>0</v>
      </c>
      <c r="AC132" s="123">
        <v>0</v>
      </c>
      <c r="AD132" s="123">
        <v>0</v>
      </c>
      <c r="AE132" s="123">
        <v>0</v>
      </c>
      <c r="AF132" s="123">
        <v>0</v>
      </c>
      <c r="AG132" s="123">
        <v>0</v>
      </c>
      <c r="AH132" s="123">
        <v>0</v>
      </c>
      <c r="AI132" s="123">
        <v>0</v>
      </c>
      <c r="AJ132" s="123">
        <v>0</v>
      </c>
      <c r="AK132" s="123">
        <v>0</v>
      </c>
      <c r="AL132" s="123">
        <v>0</v>
      </c>
      <c r="AM132" s="123">
        <v>0</v>
      </c>
      <c r="AN132" s="123">
        <v>0</v>
      </c>
      <c r="AO132" s="123">
        <v>0</v>
      </c>
      <c r="AP132" s="123">
        <v>0</v>
      </c>
      <c r="AQ132" s="226">
        <v>0</v>
      </c>
      <c r="AR132" s="457"/>
      <c r="AS132" s="458"/>
      <c r="AT132" s="227"/>
      <c r="AU132" s="227"/>
      <c r="AV132" s="228"/>
    </row>
    <row r="133" spans="1:64" s="229" customFormat="1">
      <c r="A133" s="257"/>
      <c r="B133" s="257"/>
      <c r="C133" s="257"/>
      <c r="D133" s="246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65"/>
      <c r="AS133" s="266"/>
      <c r="AT133" s="227"/>
      <c r="AU133" s="227"/>
      <c r="AV133" s="228"/>
    </row>
    <row r="134" spans="1:64" s="229" customFormat="1">
      <c r="A134" s="257"/>
      <c r="B134" s="257"/>
      <c r="C134" s="257"/>
      <c r="D134" s="246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65"/>
      <c r="AS134" s="266"/>
      <c r="AT134" s="227"/>
      <c r="AU134" s="227"/>
      <c r="AV134" s="228"/>
    </row>
    <row r="135" spans="1:64" s="229" customFormat="1" ht="15" customHeight="1">
      <c r="A135" s="242" t="s">
        <v>436</v>
      </c>
      <c r="B135" s="242"/>
      <c r="C135" s="242"/>
      <c r="D135" s="213"/>
      <c r="E135" s="234"/>
      <c r="F135" s="243"/>
      <c r="G135" s="223" t="s">
        <v>437</v>
      </c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151"/>
      <c r="AS135" s="151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35"/>
      <c r="BI135" s="212"/>
      <c r="BJ135" s="212"/>
      <c r="BK135" s="212"/>
      <c r="BL135" s="212"/>
    </row>
    <row r="136" spans="1:64" s="229" customFormat="1" ht="15" customHeight="1">
      <c r="A136" s="446" t="s">
        <v>438</v>
      </c>
      <c r="B136" s="446"/>
      <c r="C136" s="446"/>
      <c r="D136" s="213"/>
      <c r="E136" s="234"/>
      <c r="F136" s="243"/>
      <c r="G136" s="223" t="s">
        <v>439</v>
      </c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151"/>
      <c r="AS136" s="151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  <c r="BI136" s="212"/>
      <c r="BJ136" s="212"/>
      <c r="BK136" s="212"/>
      <c r="BL136" s="212"/>
    </row>
    <row r="137" spans="1:64" s="229" customFormat="1" ht="24" customHeight="1">
      <c r="A137" s="447" t="s">
        <v>440</v>
      </c>
      <c r="B137" s="447"/>
      <c r="C137" s="447"/>
      <c r="D137" s="447"/>
      <c r="E137" s="447"/>
      <c r="F137" s="243"/>
      <c r="G137" s="223" t="s">
        <v>500</v>
      </c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151"/>
      <c r="AS137" s="151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  <c r="BI137" s="212"/>
      <c r="BJ137" s="212"/>
      <c r="BK137" s="212"/>
      <c r="BL137" s="212"/>
    </row>
    <row r="138" spans="1:64">
      <c r="AO138" s="240"/>
      <c r="AR138" s="42"/>
    </row>
    <row r="139" spans="1:64">
      <c r="AO139" s="240"/>
      <c r="AR139" s="42"/>
    </row>
    <row r="140" spans="1:64">
      <c r="AO140" s="240"/>
      <c r="AR140" s="42"/>
    </row>
    <row r="141" spans="1:64">
      <c r="AO141" s="240"/>
      <c r="AR141" s="42"/>
    </row>
    <row r="142" spans="1:64">
      <c r="AO142" s="240"/>
      <c r="AR142" s="42"/>
    </row>
    <row r="143" spans="1:64">
      <c r="AO143" s="240"/>
      <c r="AR143" s="42"/>
    </row>
    <row r="144" spans="1:64">
      <c r="AO144" s="240"/>
      <c r="AR144" s="42"/>
    </row>
    <row r="145" spans="41:44">
      <c r="AO145" s="240"/>
      <c r="AR145" s="42"/>
    </row>
    <row r="146" spans="41:44">
      <c r="AO146" s="240"/>
      <c r="AR146" s="42"/>
    </row>
    <row r="147" spans="41:44">
      <c r="AO147" s="240"/>
      <c r="AR147" s="42"/>
    </row>
    <row r="148" spans="41:44">
      <c r="AO148" s="240"/>
      <c r="AR148" s="42"/>
    </row>
    <row r="149" spans="41:44">
      <c r="AO149" s="240"/>
      <c r="AR149" s="42"/>
    </row>
    <row r="150" spans="41:44">
      <c r="AO150" s="240"/>
      <c r="AR150" s="42"/>
    </row>
    <row r="151" spans="41:44">
      <c r="AO151" s="240"/>
      <c r="AR151" s="42"/>
    </row>
    <row r="152" spans="41:44">
      <c r="AO152" s="240"/>
      <c r="AR152" s="42"/>
    </row>
    <row r="153" spans="41:44">
      <c r="AO153" s="240"/>
      <c r="AR153" s="42"/>
    </row>
    <row r="154" spans="41:44">
      <c r="AO154" s="240"/>
      <c r="AR154" s="42"/>
    </row>
    <row r="155" spans="41:44">
      <c r="AO155" s="240"/>
      <c r="AR155" s="42"/>
    </row>
    <row r="156" spans="41:44">
      <c r="AO156" s="240"/>
      <c r="AR156" s="42"/>
    </row>
    <row r="157" spans="41:44">
      <c r="AO157" s="240"/>
      <c r="AR157" s="42"/>
    </row>
    <row r="158" spans="41:44">
      <c r="AO158" s="240"/>
      <c r="AR158" s="42"/>
    </row>
    <row r="159" spans="41:44">
      <c r="AO159" s="240"/>
      <c r="AR159" s="42"/>
    </row>
  </sheetData>
  <mergeCells count="113">
    <mergeCell ref="AT26:AT28"/>
    <mergeCell ref="A6:AS6"/>
    <mergeCell ref="A7:AS7"/>
    <mergeCell ref="A9:A10"/>
    <mergeCell ref="B9:B10"/>
    <mergeCell ref="C9:C10"/>
    <mergeCell ref="D9:D10"/>
    <mergeCell ref="E9:G9"/>
    <mergeCell ref="H9:J9"/>
    <mergeCell ref="K9:M9"/>
    <mergeCell ref="N9:P9"/>
    <mergeCell ref="AI9:AK9"/>
    <mergeCell ref="AL9:AN9"/>
    <mergeCell ref="AO9:AQ9"/>
    <mergeCell ref="AR9:AR10"/>
    <mergeCell ref="AS9:AS10"/>
    <mergeCell ref="A11:A16"/>
    <mergeCell ref="B11:C16"/>
    <mergeCell ref="AR11:AR16"/>
    <mergeCell ref="AS11:AS16"/>
    <mergeCell ref="Q9:S9"/>
    <mergeCell ref="T9:V9"/>
    <mergeCell ref="W9:Y9"/>
    <mergeCell ref="Z9:AB9"/>
    <mergeCell ref="AC9:AE9"/>
    <mergeCell ref="AF9:AH9"/>
    <mergeCell ref="A17:A22"/>
    <mergeCell ref="B17:B22"/>
    <mergeCell ref="C17:C22"/>
    <mergeCell ref="AR17:AR22"/>
    <mergeCell ref="AS17:AS22"/>
    <mergeCell ref="A23:A27"/>
    <mergeCell ref="B23:B27"/>
    <mergeCell ref="C23:C27"/>
    <mergeCell ref="AR23:AR27"/>
    <mergeCell ref="AS23:AS27"/>
    <mergeCell ref="A28:A32"/>
    <mergeCell ref="B28:B32"/>
    <mergeCell ref="C28:C32"/>
    <mergeCell ref="AR28:AR32"/>
    <mergeCell ref="AS28:AS32"/>
    <mergeCell ref="A33:A37"/>
    <mergeCell ref="B33:B37"/>
    <mergeCell ref="C33:C37"/>
    <mergeCell ref="AR33:AR37"/>
    <mergeCell ref="AS33:AS37"/>
    <mergeCell ref="A38:A43"/>
    <mergeCell ref="B38:B43"/>
    <mergeCell ref="C38:C43"/>
    <mergeCell ref="AR38:AR43"/>
    <mergeCell ref="AS38:AS43"/>
    <mergeCell ref="A44:A48"/>
    <mergeCell ref="B44:B48"/>
    <mergeCell ref="C44:C48"/>
    <mergeCell ref="AR44:AR48"/>
    <mergeCell ref="AS44:AS48"/>
    <mergeCell ref="A50:A54"/>
    <mergeCell ref="B50:C54"/>
    <mergeCell ref="AR50:AR54"/>
    <mergeCell ref="AS50:AS54"/>
    <mergeCell ref="A56:A60"/>
    <mergeCell ref="B56:B60"/>
    <mergeCell ref="C56:C60"/>
    <mergeCell ref="AR56:AR60"/>
    <mergeCell ref="AS56:AS60"/>
    <mergeCell ref="A61:A65"/>
    <mergeCell ref="B61:C65"/>
    <mergeCell ref="AR61:AR65"/>
    <mergeCell ref="AS61:AS65"/>
    <mergeCell ref="A67:A71"/>
    <mergeCell ref="B67:B71"/>
    <mergeCell ref="C67:C71"/>
    <mergeCell ref="AR67:AR71"/>
    <mergeCell ref="AS67:AS71"/>
    <mergeCell ref="A83:C87"/>
    <mergeCell ref="AR83:AR87"/>
    <mergeCell ref="AS83:AS87"/>
    <mergeCell ref="A88:C88"/>
    <mergeCell ref="A89:C93"/>
    <mergeCell ref="AR89:AR93"/>
    <mergeCell ref="AS89:AS93"/>
    <mergeCell ref="A72:C77"/>
    <mergeCell ref="AR72:AR77"/>
    <mergeCell ref="AS72:AS77"/>
    <mergeCell ref="A78:C82"/>
    <mergeCell ref="AR78:AR82"/>
    <mergeCell ref="AS78:AS82"/>
    <mergeCell ref="A103:C107"/>
    <mergeCell ref="AR103:AR107"/>
    <mergeCell ref="AS103:AS107"/>
    <mergeCell ref="A108:C112"/>
    <mergeCell ref="AR108:AR112"/>
    <mergeCell ref="AS108:AS112"/>
    <mergeCell ref="A94:C98"/>
    <mergeCell ref="AR94:AR98"/>
    <mergeCell ref="AS94:AS98"/>
    <mergeCell ref="A99:C102"/>
    <mergeCell ref="AR99:AR102"/>
    <mergeCell ref="AS99:AS102"/>
    <mergeCell ref="A136:C136"/>
    <mergeCell ref="A137:E137"/>
    <mergeCell ref="A123:C127"/>
    <mergeCell ref="AR123:AR127"/>
    <mergeCell ref="AS123:AS127"/>
    <mergeCell ref="A128:C132"/>
    <mergeCell ref="AR128:AR132"/>
    <mergeCell ref="AS128:AS132"/>
    <mergeCell ref="A113:C117"/>
    <mergeCell ref="AR113:AR117"/>
    <mergeCell ref="AS113:AS117"/>
    <mergeCell ref="A118:C122"/>
    <mergeCell ref="AR118:AR122"/>
    <mergeCell ref="AS118:AS122"/>
  </mergeCells>
  <conditionalFormatting sqref="H106 H117 H112 H123 S70 G75:G78 M75 P75 M67:M69 J69 P69 P67 E15:F15 T52 H34 G50 G45 H22 H15:I15 K15:L15 N15:O15 T49 G47 H41:H53 H32 G38:G39 G36 G56:G73 G41:G42 M41 P41 G20:H20 M20 P20 E14:I14 K14:P14 V41 Y41">
    <cfRule type="cellIs" dxfId="0" priority="26" stopIfTrue="1" operator="notEqual">
      <formula>#REF!</formula>
    </cfRule>
  </conditionalFormatting>
  <pageMargins left="0.39370078740157483" right="0.11811023622047245" top="0.11811023622047245" bottom="0.27559055118110237" header="0.11811023622047245" footer="0.31496062992125984"/>
  <pageSetup paperSize="8" scale="37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на 01.01.2018</vt:lpstr>
      <vt:lpstr>на 01.02.2018</vt:lpstr>
      <vt:lpstr>на 01.04.2018</vt:lpstr>
      <vt:lpstr>на 01.04.2023</vt:lpstr>
      <vt:lpstr>'Выполнение работ'!Заголовки_для_печати</vt:lpstr>
      <vt:lpstr>'на 01.01.2018'!Заголовки_для_печати</vt:lpstr>
      <vt:lpstr>'на 01.04.2023'!Заголовки_для_печати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Назарова</cp:lastModifiedBy>
  <cp:lastPrinted>2023-04-10T09:56:23Z</cp:lastPrinted>
  <dcterms:created xsi:type="dcterms:W3CDTF">2011-05-17T05:04:33Z</dcterms:created>
  <dcterms:modified xsi:type="dcterms:W3CDTF">2023-04-19T05:54:32Z</dcterms:modified>
</cp:coreProperties>
</file>