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40" yWindow="-36" windowWidth="18000" windowHeight="9720"/>
  </bookViews>
  <sheets>
    <sheet name="9 месяцев" sheetId="14" r:id="rId1"/>
  </sheets>
  <definedNames>
    <definedName name="_xlnm.Print_Area" localSheetId="0">'9 месяцев'!$A$1:$AS$326</definedName>
  </definedNames>
  <calcPr calcId="144525" iterate="1"/>
</workbook>
</file>

<file path=xl/calcChain.xml><?xml version="1.0" encoding="utf-8"?>
<calcChain xmlns="http://schemas.openxmlformats.org/spreadsheetml/2006/main">
  <c r="F315" i="14" l="1"/>
  <c r="E315" i="14"/>
  <c r="AQ314" i="14"/>
  <c r="AL314" i="14"/>
  <c r="AI314" i="14"/>
  <c r="Z314" i="14"/>
  <c r="AB314" i="14" s="1"/>
  <c r="W314" i="14"/>
  <c r="Y314" i="14" s="1"/>
  <c r="S314" i="14"/>
  <c r="N314" i="14"/>
  <c r="P314" i="14" s="1"/>
  <c r="F314" i="14"/>
  <c r="AQ313" i="14"/>
  <c r="AL313" i="14"/>
  <c r="AI313" i="14"/>
  <c r="Z313" i="14"/>
  <c r="AB313" i="14" s="1"/>
  <c r="W313" i="14"/>
  <c r="Y313" i="14" s="1"/>
  <c r="S313" i="14"/>
  <c r="F313" i="14"/>
  <c r="E313" i="14"/>
  <c r="G313" i="14" s="1"/>
  <c r="F312" i="14"/>
  <c r="E312" i="14"/>
  <c r="AO311" i="14"/>
  <c r="AQ311" i="14" s="1"/>
  <c r="AM311" i="14"/>
  <c r="AL311" i="14"/>
  <c r="AJ311" i="14"/>
  <c r="AI311" i="14"/>
  <c r="AG311" i="14"/>
  <c r="AF311" i="14"/>
  <c r="AD311" i="14"/>
  <c r="AC311" i="14"/>
  <c r="AA311" i="14"/>
  <c r="Z311" i="14"/>
  <c r="AB311" i="14" s="1"/>
  <c r="X311" i="14"/>
  <c r="W311" i="14"/>
  <c r="U311" i="14"/>
  <c r="T311" i="14"/>
  <c r="R311" i="14"/>
  <c r="Q311" i="14"/>
  <c r="S311" i="14" s="1"/>
  <c r="O311" i="14"/>
  <c r="N311" i="14"/>
  <c r="L311" i="14"/>
  <c r="K311" i="14"/>
  <c r="I311" i="14"/>
  <c r="H311" i="14"/>
  <c r="F311" i="14"/>
  <c r="E311" i="14"/>
  <c r="AG310" i="14"/>
  <c r="AD310" i="14"/>
  <c r="AA310" i="14"/>
  <c r="X310" i="14"/>
  <c r="U310" i="14"/>
  <c r="R310" i="14"/>
  <c r="O310" i="14"/>
  <c r="F310" i="14"/>
  <c r="F309" i="14"/>
  <c r="E309" i="14"/>
  <c r="AP308" i="14"/>
  <c r="AQ308" i="14" s="1"/>
  <c r="AO308" i="14"/>
  <c r="AM308" i="14"/>
  <c r="AL308" i="14"/>
  <c r="AJ308" i="14"/>
  <c r="AI308" i="14"/>
  <c r="AG308" i="14"/>
  <c r="AF308" i="14"/>
  <c r="AD308" i="14"/>
  <c r="AE308" i="14" s="1"/>
  <c r="AC308" i="14"/>
  <c r="AA308" i="14"/>
  <c r="X308" i="14"/>
  <c r="W308" i="14"/>
  <c r="U308" i="14"/>
  <c r="V308" i="14" s="1"/>
  <c r="T308" i="14"/>
  <c r="R308" i="14"/>
  <c r="S308" i="14" s="1"/>
  <c r="Q308" i="14"/>
  <c r="O308" i="14"/>
  <c r="N308" i="14"/>
  <c r="M308" i="14"/>
  <c r="L308" i="14"/>
  <c r="K308" i="14"/>
  <c r="J308" i="14"/>
  <c r="I308" i="14"/>
  <c r="H308" i="14"/>
  <c r="F308" i="14"/>
  <c r="AO307" i="14"/>
  <c r="AQ307" i="14" s="1"/>
  <c r="AM307" i="14"/>
  <c r="AL307" i="14"/>
  <c r="AJ307" i="14"/>
  <c r="AI307" i="14"/>
  <c r="AG307" i="14"/>
  <c r="AF307" i="14"/>
  <c r="AD307" i="14"/>
  <c r="AC307" i="14"/>
  <c r="AA307" i="14"/>
  <c r="X307" i="14"/>
  <c r="Y307" i="14" s="1"/>
  <c r="W307" i="14"/>
  <c r="U307" i="14"/>
  <c r="T307" i="14"/>
  <c r="R307" i="14"/>
  <c r="S307" i="14" s="1"/>
  <c r="Q307" i="14"/>
  <c r="O307" i="14"/>
  <c r="N307" i="14"/>
  <c r="M307" i="14"/>
  <c r="L307" i="14"/>
  <c r="K307" i="14"/>
  <c r="J307" i="14"/>
  <c r="I307" i="14"/>
  <c r="H307" i="14"/>
  <c r="F307" i="14"/>
  <c r="AI306" i="14"/>
  <c r="AF306" i="14"/>
  <c r="AC306" i="14"/>
  <c r="AA306" i="14"/>
  <c r="F306" i="14" s="1"/>
  <c r="X306" i="14"/>
  <c r="W306" i="14"/>
  <c r="Y306" i="14" s="1"/>
  <c r="U306" i="14"/>
  <c r="T306" i="14"/>
  <c r="R306" i="14"/>
  <c r="Q306" i="14"/>
  <c r="S306" i="14" s="1"/>
  <c r="AQ305" i="14"/>
  <c r="AO305" i="14"/>
  <c r="AM305" i="14"/>
  <c r="AL305" i="14"/>
  <c r="AJ305" i="14"/>
  <c r="AI305" i="14"/>
  <c r="AG305" i="14"/>
  <c r="AF305" i="14"/>
  <c r="AD305" i="14"/>
  <c r="AC305" i="14"/>
  <c r="AA305" i="14"/>
  <c r="X305" i="14"/>
  <c r="W305" i="14"/>
  <c r="Y305" i="14" s="1"/>
  <c r="U305" i="14"/>
  <c r="T305" i="14"/>
  <c r="R305" i="14"/>
  <c r="Q305" i="14"/>
  <c r="S305" i="14" s="1"/>
  <c r="O305" i="14"/>
  <c r="N305" i="14"/>
  <c r="L305" i="14"/>
  <c r="K305" i="14"/>
  <c r="I305" i="14"/>
  <c r="H305" i="14"/>
  <c r="F305" i="14"/>
  <c r="AG304" i="14"/>
  <c r="AD304" i="14"/>
  <c r="AA304" i="14"/>
  <c r="X304" i="14"/>
  <c r="U304" i="14"/>
  <c r="R304" i="14"/>
  <c r="O304" i="14"/>
  <c r="AN303" i="14"/>
  <c r="AK303" i="14"/>
  <c r="AH303" i="14"/>
  <c r="AE303" i="14"/>
  <c r="AB303" i="14"/>
  <c r="Y303" i="14"/>
  <c r="V303" i="14"/>
  <c r="S303" i="14"/>
  <c r="P303" i="14"/>
  <c r="M303" i="14"/>
  <c r="J303" i="14"/>
  <c r="I303" i="14"/>
  <c r="AN300" i="14"/>
  <c r="AG297" i="14"/>
  <c r="AD297" i="14"/>
  <c r="AA297" i="14"/>
  <c r="X297" i="14"/>
  <c r="U297" i="14"/>
  <c r="R297" i="14"/>
  <c r="O297" i="14"/>
  <c r="AG291" i="14"/>
  <c r="X291" i="14"/>
  <c r="U291" i="14"/>
  <c r="R291" i="14"/>
  <c r="O291" i="14"/>
  <c r="F291" i="14"/>
  <c r="AP290" i="14"/>
  <c r="AP296" i="14" s="1"/>
  <c r="AM290" i="14"/>
  <c r="AJ290" i="14"/>
  <c r="AG290" i="14"/>
  <c r="AD290" i="14"/>
  <c r="AA290" i="14"/>
  <c r="L290" i="14"/>
  <c r="K290" i="14"/>
  <c r="AP289" i="14"/>
  <c r="AP295" i="14" s="1"/>
  <c r="AM289" i="14"/>
  <c r="AJ289" i="14"/>
  <c r="AD289" i="14"/>
  <c r="AA289" i="14"/>
  <c r="AP288" i="14"/>
  <c r="AP294" i="14" s="1"/>
  <c r="AM288" i="14"/>
  <c r="AJ288" i="14"/>
  <c r="AG288" i="14"/>
  <c r="AD288" i="14"/>
  <c r="AA288" i="14"/>
  <c r="AP287" i="14"/>
  <c r="AP293" i="14" s="1"/>
  <c r="AM287" i="14"/>
  <c r="AJ287" i="14"/>
  <c r="AG287" i="14"/>
  <c r="AD287" i="14"/>
  <c r="AA287" i="14"/>
  <c r="AP286" i="14"/>
  <c r="AM286" i="14"/>
  <c r="AJ286" i="14"/>
  <c r="AD286" i="14"/>
  <c r="AA286" i="14"/>
  <c r="AG285" i="14"/>
  <c r="AD285" i="14"/>
  <c r="AA285" i="14"/>
  <c r="X285" i="14"/>
  <c r="U285" i="14"/>
  <c r="R285" i="14"/>
  <c r="O285" i="14"/>
  <c r="AO279" i="14"/>
  <c r="AM279" i="14"/>
  <c r="AL279" i="14"/>
  <c r="AJ279" i="14"/>
  <c r="AI279" i="14"/>
  <c r="AG279" i="14"/>
  <c r="AF279" i="14"/>
  <c r="AD279" i="14"/>
  <c r="AC279" i="14"/>
  <c r="AA279" i="14"/>
  <c r="Z279" i="14"/>
  <c r="X279" i="14"/>
  <c r="W279" i="14"/>
  <c r="U279" i="14"/>
  <c r="T279" i="14"/>
  <c r="R279" i="14"/>
  <c r="Q279" i="14"/>
  <c r="O279" i="14"/>
  <c r="N279" i="14"/>
  <c r="L279" i="14"/>
  <c r="K279" i="14"/>
  <c r="I279" i="14"/>
  <c r="H279" i="14"/>
  <c r="F279" i="14"/>
  <c r="E279" i="14"/>
  <c r="AM278" i="14"/>
  <c r="AJ278" i="14"/>
  <c r="AG278" i="14"/>
  <c r="AH278" i="14" s="1"/>
  <c r="AF278" i="14"/>
  <c r="AD278" i="14"/>
  <c r="AE278" i="14" s="1"/>
  <c r="AC278" i="14"/>
  <c r="AA278" i="14"/>
  <c r="X278" i="14"/>
  <c r="U278" i="14"/>
  <c r="T278" i="14"/>
  <c r="R278" i="14"/>
  <c r="O278" i="14"/>
  <c r="L278" i="14"/>
  <c r="K278" i="14"/>
  <c r="I278" i="14"/>
  <c r="H278" i="14"/>
  <c r="F278" i="14"/>
  <c r="AM277" i="14"/>
  <c r="AJ277" i="14"/>
  <c r="AI277" i="14"/>
  <c r="AG277" i="14"/>
  <c r="AF277" i="14"/>
  <c r="AD277" i="14"/>
  <c r="AE277" i="14" s="1"/>
  <c r="AC277" i="14"/>
  <c r="AA277" i="14"/>
  <c r="X277" i="14"/>
  <c r="U277" i="14"/>
  <c r="V277" i="14" s="1"/>
  <c r="T277" i="14"/>
  <c r="R277" i="14"/>
  <c r="O277" i="14"/>
  <c r="N277" i="14"/>
  <c r="L277" i="14"/>
  <c r="K277" i="14"/>
  <c r="I277" i="14"/>
  <c r="F277" i="14" s="1"/>
  <c r="H277" i="14"/>
  <c r="AO276" i="14"/>
  <c r="AM276" i="14"/>
  <c r="AL276" i="14"/>
  <c r="AJ276" i="14"/>
  <c r="AI276" i="14"/>
  <c r="AG276" i="14"/>
  <c r="AF276" i="14"/>
  <c r="AD276" i="14"/>
  <c r="AC276" i="14"/>
  <c r="AA276" i="14"/>
  <c r="Z276" i="14"/>
  <c r="X276" i="14"/>
  <c r="W276" i="14"/>
  <c r="U276" i="14"/>
  <c r="T276" i="14"/>
  <c r="R276" i="14"/>
  <c r="Q276" i="14"/>
  <c r="O276" i="14"/>
  <c r="N276" i="14"/>
  <c r="L276" i="14"/>
  <c r="K276" i="14"/>
  <c r="I276" i="14"/>
  <c r="H276" i="14"/>
  <c r="F276" i="14"/>
  <c r="E276" i="14"/>
  <c r="AM275" i="14"/>
  <c r="AJ275" i="14"/>
  <c r="AG275" i="14"/>
  <c r="AH275" i="14" s="1"/>
  <c r="AF275" i="14"/>
  <c r="AD275" i="14"/>
  <c r="AE275" i="14" s="1"/>
  <c r="AC275" i="14"/>
  <c r="AA275" i="14"/>
  <c r="X275" i="14"/>
  <c r="U275" i="14"/>
  <c r="T275" i="14"/>
  <c r="R275" i="14"/>
  <c r="O275" i="14"/>
  <c r="L275" i="14"/>
  <c r="K275" i="14"/>
  <c r="I275" i="14"/>
  <c r="H275" i="14"/>
  <c r="F275" i="14"/>
  <c r="F274" i="14"/>
  <c r="E274" i="14"/>
  <c r="F273" i="14"/>
  <c r="E273" i="14"/>
  <c r="F272" i="14"/>
  <c r="E272" i="14"/>
  <c r="F271" i="14"/>
  <c r="E271" i="14"/>
  <c r="AO270" i="14"/>
  <c r="AL270" i="14"/>
  <c r="AI270" i="14"/>
  <c r="AF270" i="14"/>
  <c r="AC270" i="14"/>
  <c r="Z270" i="14"/>
  <c r="W270" i="14"/>
  <c r="T270" i="14"/>
  <c r="Q270" i="14"/>
  <c r="N270" i="14"/>
  <c r="K270" i="14"/>
  <c r="H270" i="14"/>
  <c r="F270" i="14"/>
  <c r="F269" i="14"/>
  <c r="E269" i="14"/>
  <c r="AQ268" i="14"/>
  <c r="AH268" i="14"/>
  <c r="AE268" i="14"/>
  <c r="Z268" i="14"/>
  <c r="AB268" i="14" s="1"/>
  <c r="Y268" i="14"/>
  <c r="S268" i="14"/>
  <c r="F268" i="14"/>
  <c r="AQ267" i="14"/>
  <c r="AE267" i="14"/>
  <c r="AB267" i="14"/>
  <c r="Y267" i="14"/>
  <c r="V267" i="14"/>
  <c r="F267" i="14"/>
  <c r="G267" i="14" s="1"/>
  <c r="E267" i="14"/>
  <c r="F266" i="14"/>
  <c r="E266" i="14"/>
  <c r="AO265" i="14"/>
  <c r="AQ265" i="14" s="1"/>
  <c r="AM265" i="14"/>
  <c r="AL265" i="14"/>
  <c r="AJ265" i="14"/>
  <c r="AI265" i="14"/>
  <c r="AG265" i="14"/>
  <c r="AF265" i="14"/>
  <c r="AH265" i="14" s="1"/>
  <c r="AD265" i="14"/>
  <c r="AC265" i="14"/>
  <c r="AA265" i="14"/>
  <c r="Z265" i="14"/>
  <c r="AB265" i="14" s="1"/>
  <c r="X265" i="14"/>
  <c r="W265" i="14"/>
  <c r="U265" i="14"/>
  <c r="T265" i="14"/>
  <c r="V265" i="14" s="1"/>
  <c r="R265" i="14"/>
  <c r="Q265" i="14"/>
  <c r="N265" i="14"/>
  <c r="K265" i="14"/>
  <c r="H265" i="14"/>
  <c r="E265" i="14" s="1"/>
  <c r="F265" i="14"/>
  <c r="F264" i="14"/>
  <c r="E264" i="14"/>
  <c r="AO263" i="14"/>
  <c r="AO278" i="14" s="1"/>
  <c r="AQ278" i="14" s="1"/>
  <c r="AL263" i="14"/>
  <c r="AL278" i="14" s="1"/>
  <c r="AI263" i="14"/>
  <c r="AI278" i="14" s="1"/>
  <c r="AI275" i="14" s="1"/>
  <c r="Z263" i="14"/>
  <c r="Z278" i="14" s="1"/>
  <c r="W263" i="14"/>
  <c r="W278" i="14" s="1"/>
  <c r="Q263" i="14"/>
  <c r="Q278" i="14" s="1"/>
  <c r="N263" i="14"/>
  <c r="N278" i="14" s="1"/>
  <c r="F263" i="14"/>
  <c r="E263" i="14"/>
  <c r="G263" i="14" s="1"/>
  <c r="AO262" i="14"/>
  <c r="AO277" i="14" s="1"/>
  <c r="AL262" i="14"/>
  <c r="AL277" i="14" s="1"/>
  <c r="Z262" i="14"/>
  <c r="Z277" i="14" s="1"/>
  <c r="Z275" i="14" s="1"/>
  <c r="W262" i="14"/>
  <c r="W277" i="14" s="1"/>
  <c r="W275" i="14" s="1"/>
  <c r="Q262" i="14"/>
  <c r="Q277" i="14" s="1"/>
  <c r="F262" i="14"/>
  <c r="E262" i="14"/>
  <c r="G262" i="14" s="1"/>
  <c r="F261" i="14"/>
  <c r="E261" i="14"/>
  <c r="AO260" i="14"/>
  <c r="AQ260" i="14" s="1"/>
  <c r="AM260" i="14"/>
  <c r="AN260" i="14" s="1"/>
  <c r="AL260" i="14"/>
  <c r="AJ260" i="14"/>
  <c r="AI260" i="14"/>
  <c r="AG260" i="14"/>
  <c r="AF260" i="14"/>
  <c r="AD260" i="14"/>
  <c r="AC260" i="14"/>
  <c r="AA260" i="14"/>
  <c r="Z260" i="14"/>
  <c r="X260" i="14"/>
  <c r="Y260" i="14" s="1"/>
  <c r="W260" i="14"/>
  <c r="U260" i="14"/>
  <c r="T260" i="14"/>
  <c r="R260" i="14"/>
  <c r="Q260" i="14"/>
  <c r="O260" i="14"/>
  <c r="P260" i="14" s="1"/>
  <c r="N260" i="14"/>
  <c r="L260" i="14"/>
  <c r="F260" i="14" s="1"/>
  <c r="K260" i="14"/>
  <c r="H260" i="14"/>
  <c r="E260" i="14" s="1"/>
  <c r="AO257" i="14"/>
  <c r="AM257" i="14"/>
  <c r="AL257" i="14"/>
  <c r="AI257" i="14"/>
  <c r="AG257" i="14"/>
  <c r="AF257" i="14"/>
  <c r="AD257" i="14"/>
  <c r="AC257" i="14"/>
  <c r="AA257" i="14"/>
  <c r="Z257" i="14"/>
  <c r="X257" i="14"/>
  <c r="W257" i="14"/>
  <c r="U257" i="14"/>
  <c r="T257" i="14"/>
  <c r="R257" i="14"/>
  <c r="Q257" i="14"/>
  <c r="O257" i="14"/>
  <c r="N257" i="14"/>
  <c r="L257" i="14"/>
  <c r="F257" i="14" s="1"/>
  <c r="K257" i="14"/>
  <c r="H257" i="14"/>
  <c r="E257" i="14" s="1"/>
  <c r="AO256" i="14"/>
  <c r="AQ256" i="14" s="1"/>
  <c r="AM256" i="14"/>
  <c r="AL256" i="14"/>
  <c r="AJ256" i="14"/>
  <c r="AI256" i="14"/>
  <c r="AK256" i="14" s="1"/>
  <c r="AG256" i="14"/>
  <c r="AF256" i="14"/>
  <c r="AD256" i="14"/>
  <c r="AC256" i="14"/>
  <c r="AA256" i="14"/>
  <c r="X256" i="14"/>
  <c r="U256" i="14"/>
  <c r="T256" i="14"/>
  <c r="R256" i="14"/>
  <c r="Q256" i="14"/>
  <c r="S256" i="14" s="1"/>
  <c r="O256" i="14"/>
  <c r="L256" i="14"/>
  <c r="F256" i="14" s="1"/>
  <c r="K256" i="14"/>
  <c r="H256" i="14"/>
  <c r="AO255" i="14"/>
  <c r="AM255" i="14"/>
  <c r="AL255" i="14"/>
  <c r="AJ255" i="14"/>
  <c r="AI255" i="14"/>
  <c r="AG255" i="14"/>
  <c r="AF255" i="14"/>
  <c r="AD255" i="14"/>
  <c r="AC255" i="14"/>
  <c r="AA255" i="14"/>
  <c r="Z255" i="14"/>
  <c r="X255" i="14"/>
  <c r="U255" i="14"/>
  <c r="T255" i="14"/>
  <c r="R255" i="14"/>
  <c r="Q255" i="14"/>
  <c r="O255" i="14"/>
  <c r="N255" i="14"/>
  <c r="L255" i="14"/>
  <c r="F255" i="14" s="1"/>
  <c r="K255" i="14"/>
  <c r="H255" i="14"/>
  <c r="AO254" i="14"/>
  <c r="AM254" i="14"/>
  <c r="AL254" i="14"/>
  <c r="AJ254" i="14"/>
  <c r="AI254" i="14"/>
  <c r="AG254" i="14"/>
  <c r="AF254" i="14"/>
  <c r="AD254" i="14"/>
  <c r="AC254" i="14"/>
  <c r="AA254" i="14"/>
  <c r="Z254" i="14"/>
  <c r="X254" i="14"/>
  <c r="W254" i="14"/>
  <c r="U254" i="14"/>
  <c r="T254" i="14"/>
  <c r="R254" i="14"/>
  <c r="Q254" i="14"/>
  <c r="O254" i="14"/>
  <c r="N254" i="14"/>
  <c r="L254" i="14"/>
  <c r="K254" i="14"/>
  <c r="E254" i="14" s="1"/>
  <c r="H254" i="14"/>
  <c r="F254" i="14"/>
  <c r="AO253" i="14"/>
  <c r="AQ253" i="14" s="1"/>
  <c r="AM253" i="14"/>
  <c r="AL253" i="14"/>
  <c r="AJ253" i="14"/>
  <c r="AI253" i="14"/>
  <c r="AK253" i="14" s="1"/>
  <c r="AG253" i="14"/>
  <c r="AF253" i="14"/>
  <c r="AD253" i="14"/>
  <c r="AC253" i="14"/>
  <c r="AA253" i="14"/>
  <c r="X253" i="14"/>
  <c r="U253" i="14"/>
  <c r="T253" i="14"/>
  <c r="V253" i="14" s="1"/>
  <c r="R253" i="14"/>
  <c r="Q253" i="14"/>
  <c r="O253" i="14"/>
  <c r="L253" i="14"/>
  <c r="M253" i="14" s="1"/>
  <c r="K253" i="14"/>
  <c r="H253" i="14"/>
  <c r="F253" i="14"/>
  <c r="F252" i="14"/>
  <c r="F251" i="14"/>
  <c r="E251" i="14"/>
  <c r="AQ250" i="14"/>
  <c r="AN250" i="14"/>
  <c r="AH250" i="14"/>
  <c r="Y250" i="14"/>
  <c r="V250" i="14"/>
  <c r="S250" i="14"/>
  <c r="P250" i="14"/>
  <c r="F250" i="14"/>
  <c r="E250" i="14"/>
  <c r="G250" i="14" s="1"/>
  <c r="AE249" i="14"/>
  <c r="F249" i="14"/>
  <c r="E249" i="14"/>
  <c r="F248" i="14"/>
  <c r="E248" i="14"/>
  <c r="AO247" i="14"/>
  <c r="AQ247" i="14" s="1"/>
  <c r="AM247" i="14"/>
  <c r="AL247" i="14"/>
  <c r="AJ247" i="14"/>
  <c r="AI247" i="14"/>
  <c r="AG247" i="14"/>
  <c r="AF247" i="14"/>
  <c r="AH247" i="14" s="1"/>
  <c r="AD247" i="14"/>
  <c r="AC247" i="14"/>
  <c r="Z247" i="14"/>
  <c r="X247" i="14"/>
  <c r="Y247" i="14" s="1"/>
  <c r="W247" i="14"/>
  <c r="U247" i="14"/>
  <c r="T247" i="14"/>
  <c r="R247" i="14"/>
  <c r="S247" i="14" s="1"/>
  <c r="Q247" i="14"/>
  <c r="O247" i="14"/>
  <c r="N247" i="14"/>
  <c r="L247" i="14"/>
  <c r="F247" i="14" s="1"/>
  <c r="K247" i="14"/>
  <c r="H247" i="14"/>
  <c r="E247" i="14"/>
  <c r="F246" i="14"/>
  <c r="E246" i="14"/>
  <c r="AQ245" i="14"/>
  <c r="AH245" i="14"/>
  <c r="W245" i="14"/>
  <c r="W256" i="14" s="1"/>
  <c r="Y256" i="14" s="1"/>
  <c r="S245" i="14"/>
  <c r="N245" i="14"/>
  <c r="N256" i="14" s="1"/>
  <c r="F245" i="14"/>
  <c r="E245" i="14"/>
  <c r="G245" i="14" s="1"/>
  <c r="F244" i="14"/>
  <c r="E244" i="14"/>
  <c r="F243" i="14"/>
  <c r="E243" i="14"/>
  <c r="AO242" i="14"/>
  <c r="AQ242" i="14" s="1"/>
  <c r="AL242" i="14"/>
  <c r="AJ242" i="14"/>
  <c r="AI242" i="14"/>
  <c r="AG242" i="14"/>
  <c r="AF242" i="14"/>
  <c r="AH242" i="14" s="1"/>
  <c r="AD242" i="14"/>
  <c r="AC242" i="14"/>
  <c r="Z242" i="14"/>
  <c r="W242" i="14"/>
  <c r="T242" i="14"/>
  <c r="R242" i="14"/>
  <c r="Q242" i="14"/>
  <c r="N242" i="14"/>
  <c r="K242" i="14"/>
  <c r="H242" i="14"/>
  <c r="F242" i="14"/>
  <c r="E242" i="14"/>
  <c r="F241" i="14"/>
  <c r="E241" i="14"/>
  <c r="AQ240" i="14"/>
  <c r="AK240" i="14"/>
  <c r="F240" i="14"/>
  <c r="G240" i="14" s="1"/>
  <c r="E240" i="14"/>
  <c r="AK239" i="14"/>
  <c r="W239" i="14"/>
  <c r="F239" i="14"/>
  <c r="E239" i="14"/>
  <c r="F238" i="14"/>
  <c r="E238" i="14"/>
  <c r="AO237" i="14"/>
  <c r="AQ237" i="14" s="1"/>
  <c r="AM237" i="14"/>
  <c r="AL237" i="14"/>
  <c r="AJ237" i="14"/>
  <c r="AI237" i="14"/>
  <c r="AK237" i="14" s="1"/>
  <c r="AG237" i="14"/>
  <c r="AF237" i="14"/>
  <c r="AD237" i="14"/>
  <c r="AC237" i="14"/>
  <c r="AA237" i="14"/>
  <c r="Z237" i="14"/>
  <c r="X237" i="14"/>
  <c r="W237" i="14"/>
  <c r="U237" i="14"/>
  <c r="T237" i="14"/>
  <c r="R237" i="14"/>
  <c r="Q237" i="14"/>
  <c r="N237" i="14"/>
  <c r="L237" i="14"/>
  <c r="F237" i="14" s="1"/>
  <c r="G237" i="14" s="1"/>
  <c r="K237" i="14"/>
  <c r="H237" i="14"/>
  <c r="E237" i="14" s="1"/>
  <c r="F236" i="14"/>
  <c r="E236" i="14"/>
  <c r="AQ235" i="14"/>
  <c r="AN235" i="14"/>
  <c r="AK235" i="14"/>
  <c r="Z235" i="14"/>
  <c r="Z256" i="14" s="1"/>
  <c r="Z253" i="14" s="1"/>
  <c r="Y235" i="14"/>
  <c r="S235" i="14"/>
  <c r="M235" i="14"/>
  <c r="F235" i="14"/>
  <c r="E235" i="14"/>
  <c r="AK234" i="14"/>
  <c r="W234" i="14"/>
  <c r="W255" i="14" s="1"/>
  <c r="F234" i="14"/>
  <c r="E234" i="14"/>
  <c r="G234" i="14" s="1"/>
  <c r="F233" i="14"/>
  <c r="E233" i="14"/>
  <c r="AO232" i="14"/>
  <c r="AQ232" i="14" s="1"/>
  <c r="AM232" i="14"/>
  <c r="AN232" i="14" s="1"/>
  <c r="AL232" i="14"/>
  <c r="AJ232" i="14"/>
  <c r="AI232" i="14"/>
  <c r="AG232" i="14"/>
  <c r="AF232" i="14"/>
  <c r="AD232" i="14"/>
  <c r="AC232" i="14"/>
  <c r="AA232" i="14"/>
  <c r="Z232" i="14"/>
  <c r="X232" i="14"/>
  <c r="Y232" i="14" s="1"/>
  <c r="W232" i="14"/>
  <c r="U232" i="14"/>
  <c r="T232" i="14"/>
  <c r="R232" i="14"/>
  <c r="Q232" i="14"/>
  <c r="N232" i="14"/>
  <c r="L232" i="14"/>
  <c r="K232" i="14"/>
  <c r="M232" i="14" s="1"/>
  <c r="H232" i="14"/>
  <c r="E232" i="14"/>
  <c r="AO230" i="14"/>
  <c r="AL230" i="14"/>
  <c r="AI230" i="14"/>
  <c r="AF230" i="14"/>
  <c r="AD230" i="14"/>
  <c r="AC230" i="14"/>
  <c r="AA230" i="14"/>
  <c r="Z230" i="14"/>
  <c r="X230" i="14"/>
  <c r="W230" i="14"/>
  <c r="U230" i="14"/>
  <c r="T230" i="14"/>
  <c r="R230" i="14"/>
  <c r="Q230" i="14"/>
  <c r="O230" i="14"/>
  <c r="N230" i="14"/>
  <c r="L230" i="14"/>
  <c r="K230" i="14"/>
  <c r="I230" i="14"/>
  <c r="H230" i="14"/>
  <c r="F230" i="14"/>
  <c r="E230" i="14"/>
  <c r="AM229" i="14"/>
  <c r="AJ229" i="14"/>
  <c r="AG229" i="14"/>
  <c r="AF229" i="14"/>
  <c r="AD229" i="14"/>
  <c r="AC229" i="14"/>
  <c r="AA229" i="14"/>
  <c r="Z229" i="14"/>
  <c r="X229" i="14"/>
  <c r="U229" i="14"/>
  <c r="R229" i="14"/>
  <c r="O229" i="14"/>
  <c r="L229" i="14"/>
  <c r="I229" i="14"/>
  <c r="H229" i="14"/>
  <c r="F229" i="14"/>
  <c r="AM228" i="14"/>
  <c r="AL228" i="14"/>
  <c r="AN228" i="14" s="1"/>
  <c r="AJ228" i="14"/>
  <c r="AI228" i="14"/>
  <c r="AG228" i="14"/>
  <c r="AF228" i="14"/>
  <c r="AD228" i="14"/>
  <c r="AC228" i="14"/>
  <c r="AA228" i="14"/>
  <c r="Z228" i="14"/>
  <c r="X228" i="14"/>
  <c r="U228" i="14"/>
  <c r="R228" i="14"/>
  <c r="O228" i="14"/>
  <c r="N228" i="14"/>
  <c r="L228" i="14"/>
  <c r="M228" i="14" s="1"/>
  <c r="K228" i="14"/>
  <c r="I228" i="14"/>
  <c r="J228" i="14" s="1"/>
  <c r="H228" i="14"/>
  <c r="AM227" i="14"/>
  <c r="AN227" i="14" s="1"/>
  <c r="AL227" i="14"/>
  <c r="AJ227" i="14"/>
  <c r="AK227" i="14" s="1"/>
  <c r="AI227" i="14"/>
  <c r="AG227" i="14"/>
  <c r="AF227" i="14"/>
  <c r="AD227" i="14"/>
  <c r="AC227" i="14"/>
  <c r="AA227" i="14"/>
  <c r="Z227" i="14"/>
  <c r="X227" i="14"/>
  <c r="U227" i="14"/>
  <c r="T227" i="14"/>
  <c r="R227" i="14"/>
  <c r="Q227" i="14"/>
  <c r="O227" i="14"/>
  <c r="N227" i="14"/>
  <c r="L227" i="14"/>
  <c r="M227" i="14" s="1"/>
  <c r="K227" i="14"/>
  <c r="I227" i="14"/>
  <c r="H227" i="14"/>
  <c r="F227" i="14"/>
  <c r="AM226" i="14"/>
  <c r="AJ226" i="14"/>
  <c r="AG226" i="14"/>
  <c r="AF226" i="14"/>
  <c r="AD226" i="14"/>
  <c r="AC226" i="14"/>
  <c r="AA226" i="14"/>
  <c r="Z226" i="14"/>
  <c r="X226" i="14"/>
  <c r="U226" i="14"/>
  <c r="R226" i="14"/>
  <c r="O226" i="14"/>
  <c r="L226" i="14"/>
  <c r="I226" i="14"/>
  <c r="J226" i="14" s="1"/>
  <c r="H226" i="14"/>
  <c r="F226" i="14"/>
  <c r="F225" i="14"/>
  <c r="E225" i="14"/>
  <c r="AO224" i="14"/>
  <c r="AK224" i="14"/>
  <c r="W224" i="14"/>
  <c r="Y224" i="14" s="1"/>
  <c r="V224" i="14"/>
  <c r="S224" i="14"/>
  <c r="P224" i="14"/>
  <c r="M224" i="14"/>
  <c r="F224" i="14"/>
  <c r="E224" i="14"/>
  <c r="AO223" i="14"/>
  <c r="AQ223" i="14" s="1"/>
  <c r="AK223" i="14"/>
  <c r="Y223" i="14"/>
  <c r="V223" i="14"/>
  <c r="S223" i="14"/>
  <c r="P223" i="14"/>
  <c r="M223" i="14"/>
  <c r="F223" i="14"/>
  <c r="G223" i="14" s="1"/>
  <c r="E223" i="14"/>
  <c r="AO222" i="14"/>
  <c r="AK222" i="14"/>
  <c r="Y222" i="14"/>
  <c r="W222" i="14"/>
  <c r="V222" i="14"/>
  <c r="S222" i="14"/>
  <c r="P222" i="14"/>
  <c r="M222" i="14"/>
  <c r="F222" i="14"/>
  <c r="G222" i="14" s="1"/>
  <c r="E222" i="14"/>
  <c r="AO221" i="14"/>
  <c r="AQ221" i="14" s="1"/>
  <c r="AM221" i="14"/>
  <c r="AL221" i="14"/>
  <c r="AJ221" i="14"/>
  <c r="AI221" i="14"/>
  <c r="AK221" i="14" s="1"/>
  <c r="AF221" i="14"/>
  <c r="AD221" i="14"/>
  <c r="AC221" i="14"/>
  <c r="AA221" i="14"/>
  <c r="Z221" i="14"/>
  <c r="X221" i="14"/>
  <c r="W221" i="14"/>
  <c r="U221" i="14"/>
  <c r="T221" i="14"/>
  <c r="R221" i="14"/>
  <c r="Q221" i="14"/>
  <c r="O221" i="14"/>
  <c r="P221" i="14" s="1"/>
  <c r="N221" i="14"/>
  <c r="L221" i="14"/>
  <c r="M221" i="14" s="1"/>
  <c r="K221" i="14"/>
  <c r="H221" i="14"/>
  <c r="E221" i="14"/>
  <c r="F220" i="14"/>
  <c r="E220" i="14"/>
  <c r="AO219" i="14"/>
  <c r="AL219" i="14"/>
  <c r="AI219" i="14"/>
  <c r="AI229" i="14" s="1"/>
  <c r="AI226" i="14" s="1"/>
  <c r="W219" i="14"/>
  <c r="W229" i="14" s="1"/>
  <c r="T219" i="14"/>
  <c r="V219" i="14" s="1"/>
  <c r="Q219" i="14"/>
  <c r="Q229" i="14" s="1"/>
  <c r="S229" i="14" s="1"/>
  <c r="P219" i="14"/>
  <c r="M219" i="14"/>
  <c r="F219" i="14"/>
  <c r="E219" i="14"/>
  <c r="AO218" i="14"/>
  <c r="AO228" i="14" s="1"/>
  <c r="AQ228" i="14" s="1"/>
  <c r="AK218" i="14"/>
  <c r="AH218" i="14"/>
  <c r="W218" i="14"/>
  <c r="W228" i="14" s="1"/>
  <c r="Y228" i="14" s="1"/>
  <c r="T218" i="14"/>
  <c r="T228" i="14" s="1"/>
  <c r="Q218" i="14"/>
  <c r="Q228" i="14" s="1"/>
  <c r="P218" i="14"/>
  <c r="M218" i="14"/>
  <c r="J218" i="14"/>
  <c r="F218" i="14"/>
  <c r="AO217" i="14"/>
  <c r="AO227" i="14" s="1"/>
  <c r="AK217" i="14"/>
  <c r="W217" i="14"/>
  <c r="W227" i="14" s="1"/>
  <c r="V217" i="14"/>
  <c r="S217" i="14"/>
  <c r="P217" i="14"/>
  <c r="M217" i="14"/>
  <c r="F217" i="14"/>
  <c r="AM216" i="14"/>
  <c r="AL216" i="14"/>
  <c r="AJ216" i="14"/>
  <c r="AK216" i="14" s="1"/>
  <c r="AI216" i="14"/>
  <c r="AG216" i="14"/>
  <c r="AF216" i="14"/>
  <c r="AD216" i="14"/>
  <c r="AC216" i="14"/>
  <c r="AA216" i="14"/>
  <c r="Z216" i="14"/>
  <c r="X216" i="14"/>
  <c r="Y216" i="14" s="1"/>
  <c r="W216" i="14"/>
  <c r="U216" i="14"/>
  <c r="T216" i="14"/>
  <c r="R216" i="14"/>
  <c r="S216" i="14" s="1"/>
  <c r="Q216" i="14"/>
  <c r="O216" i="14"/>
  <c r="N216" i="14"/>
  <c r="L216" i="14"/>
  <c r="M216" i="14" s="1"/>
  <c r="K216" i="14"/>
  <c r="I216" i="14"/>
  <c r="H216" i="14"/>
  <c r="F216" i="14"/>
  <c r="F215" i="14"/>
  <c r="E215" i="14"/>
  <c r="AO214" i="14"/>
  <c r="AO229" i="14" s="1"/>
  <c r="AQ229" i="14" s="1"/>
  <c r="AL214" i="14"/>
  <c r="AL229" i="14" s="1"/>
  <c r="AL226" i="14" s="1"/>
  <c r="AN226" i="14" s="1"/>
  <c r="N214" i="14"/>
  <c r="N229" i="14" s="1"/>
  <c r="N226" i="14" s="1"/>
  <c r="K214" i="14"/>
  <c r="K229" i="14" s="1"/>
  <c r="F214" i="14"/>
  <c r="F213" i="14"/>
  <c r="E213" i="14"/>
  <c r="F212" i="14"/>
  <c r="E212" i="14"/>
  <c r="AO211" i="14"/>
  <c r="AQ211" i="14" s="1"/>
  <c r="AL211" i="14"/>
  <c r="AI211" i="14"/>
  <c r="AF211" i="14"/>
  <c r="AD211" i="14"/>
  <c r="AC211" i="14"/>
  <c r="Z211" i="14"/>
  <c r="X211" i="14"/>
  <c r="W211" i="14"/>
  <c r="T211" i="14"/>
  <c r="Q211" i="14"/>
  <c r="O211" i="14"/>
  <c r="N211" i="14"/>
  <c r="L211" i="14"/>
  <c r="K211" i="14"/>
  <c r="E211" i="14" s="1"/>
  <c r="H211" i="14"/>
  <c r="F211" i="14"/>
  <c r="F210" i="14"/>
  <c r="E210" i="14"/>
  <c r="F209" i="14"/>
  <c r="E209" i="14"/>
  <c r="F208" i="14"/>
  <c r="E208" i="14"/>
  <c r="F207" i="14"/>
  <c r="E207" i="14"/>
  <c r="AO206" i="14"/>
  <c r="AL206" i="14"/>
  <c r="AI206" i="14"/>
  <c r="AG206" i="14"/>
  <c r="AF206" i="14"/>
  <c r="AD206" i="14"/>
  <c r="AC206" i="14"/>
  <c r="AA206" i="14"/>
  <c r="Z206" i="14"/>
  <c r="W206" i="14"/>
  <c r="U206" i="14"/>
  <c r="T206" i="14"/>
  <c r="R206" i="14"/>
  <c r="Q206" i="14"/>
  <c r="N206" i="14"/>
  <c r="K206" i="14"/>
  <c r="H206" i="14"/>
  <c r="E206" i="14"/>
  <c r="F205" i="14"/>
  <c r="E205" i="14"/>
  <c r="F204" i="14"/>
  <c r="E204" i="14"/>
  <c r="F203" i="14"/>
  <c r="E203" i="14"/>
  <c r="F202" i="14"/>
  <c r="E202" i="14"/>
  <c r="AO201" i="14"/>
  <c r="AL201" i="14"/>
  <c r="AI201" i="14"/>
  <c r="AF201" i="14"/>
  <c r="AC201" i="14"/>
  <c r="Z201" i="14"/>
  <c r="W201" i="14"/>
  <c r="T201" i="14"/>
  <c r="Q201" i="14"/>
  <c r="N201" i="14"/>
  <c r="K201" i="14"/>
  <c r="H201" i="14"/>
  <c r="F201" i="14"/>
  <c r="E201" i="14"/>
  <c r="F200" i="14"/>
  <c r="E200" i="14"/>
  <c r="AQ199" i="14"/>
  <c r="T199" i="14"/>
  <c r="T229" i="14" s="1"/>
  <c r="F199" i="14"/>
  <c r="E199" i="14"/>
  <c r="F198" i="14"/>
  <c r="E198" i="14"/>
  <c r="F197" i="14"/>
  <c r="E197" i="14"/>
  <c r="AO196" i="14"/>
  <c r="AQ196" i="14" s="1"/>
  <c r="AL196" i="14"/>
  <c r="AJ196" i="14"/>
  <c r="AI196" i="14"/>
  <c r="AF196" i="14"/>
  <c r="AC196" i="14"/>
  <c r="Z196" i="14"/>
  <c r="W196" i="14"/>
  <c r="U196" i="14"/>
  <c r="T196" i="14"/>
  <c r="Q196" i="14"/>
  <c r="O196" i="14"/>
  <c r="N196" i="14"/>
  <c r="K196" i="14"/>
  <c r="H196" i="14"/>
  <c r="E196" i="14"/>
  <c r="AO194" i="14"/>
  <c r="AM194" i="14"/>
  <c r="AL194" i="14"/>
  <c r="AI194" i="14"/>
  <c r="AF194" i="14"/>
  <c r="AD194" i="14"/>
  <c r="AC194" i="14"/>
  <c r="Z194" i="14"/>
  <c r="X194" i="14"/>
  <c r="W194" i="14"/>
  <c r="U194" i="14"/>
  <c r="T194" i="14"/>
  <c r="R194" i="14"/>
  <c r="Q194" i="14"/>
  <c r="O194" i="14"/>
  <c r="N194" i="14"/>
  <c r="L194" i="14"/>
  <c r="K194" i="14"/>
  <c r="I194" i="14"/>
  <c r="H194" i="14"/>
  <c r="F194" i="14"/>
  <c r="E194" i="14"/>
  <c r="AM193" i="14"/>
  <c r="AJ193" i="14"/>
  <c r="AG193" i="14"/>
  <c r="AD193" i="14"/>
  <c r="AA193" i="14"/>
  <c r="X193" i="14"/>
  <c r="U193" i="14"/>
  <c r="T193" i="14"/>
  <c r="R193" i="14"/>
  <c r="S193" i="14" s="1"/>
  <c r="Q193" i="14"/>
  <c r="O193" i="14"/>
  <c r="L193" i="14"/>
  <c r="K193" i="14"/>
  <c r="I193" i="14"/>
  <c r="J193" i="14" s="1"/>
  <c r="H193" i="14"/>
  <c r="F193" i="14"/>
  <c r="AO192" i="14"/>
  <c r="AM192" i="14"/>
  <c r="AN192" i="14" s="1"/>
  <c r="AL192" i="14"/>
  <c r="AJ192" i="14"/>
  <c r="AI192" i="14"/>
  <c r="AG192" i="14"/>
  <c r="AF192" i="14"/>
  <c r="AD192" i="14"/>
  <c r="AE192" i="14" s="1"/>
  <c r="AC192" i="14"/>
  <c r="AA192" i="14"/>
  <c r="AB192" i="14" s="1"/>
  <c r="Z192" i="14"/>
  <c r="X192" i="14"/>
  <c r="Y192" i="14" s="1"/>
  <c r="W192" i="14"/>
  <c r="U192" i="14"/>
  <c r="V192" i="14" s="1"/>
  <c r="T192" i="14"/>
  <c r="R192" i="14"/>
  <c r="S192" i="14" s="1"/>
  <c r="Q192" i="14"/>
  <c r="O192" i="14"/>
  <c r="P192" i="14" s="1"/>
  <c r="N192" i="14"/>
  <c r="L192" i="14"/>
  <c r="M192" i="14" s="1"/>
  <c r="K192" i="14"/>
  <c r="I192" i="14"/>
  <c r="J192" i="14" s="1"/>
  <c r="H192" i="14"/>
  <c r="E192" i="14"/>
  <c r="AO191" i="14"/>
  <c r="AM191" i="14"/>
  <c r="AL191" i="14"/>
  <c r="AJ191" i="14"/>
  <c r="AI191" i="14"/>
  <c r="AG191" i="14"/>
  <c r="AF191" i="14"/>
  <c r="AD191" i="14"/>
  <c r="AC191" i="14"/>
  <c r="AA191" i="14"/>
  <c r="Z191" i="14"/>
  <c r="X191" i="14"/>
  <c r="W191" i="14"/>
  <c r="U191" i="14"/>
  <c r="T191" i="14"/>
  <c r="R191" i="14"/>
  <c r="Q191" i="14"/>
  <c r="O191" i="14"/>
  <c r="N191" i="14"/>
  <c r="L191" i="14"/>
  <c r="K191" i="14"/>
  <c r="I191" i="14"/>
  <c r="H191" i="14"/>
  <c r="F191" i="14"/>
  <c r="E191" i="14"/>
  <c r="AM190" i="14"/>
  <c r="AJ190" i="14"/>
  <c r="AG190" i="14"/>
  <c r="AD190" i="14"/>
  <c r="AA190" i="14"/>
  <c r="X190" i="14"/>
  <c r="U190" i="14"/>
  <c r="T190" i="14"/>
  <c r="V190" i="14" s="1"/>
  <c r="R190" i="14"/>
  <c r="Q190" i="14"/>
  <c r="O190" i="14"/>
  <c r="L190" i="14"/>
  <c r="M190" i="14" s="1"/>
  <c r="K190" i="14"/>
  <c r="I190" i="14"/>
  <c r="J190" i="14" s="1"/>
  <c r="H190" i="14"/>
  <c r="F190" i="14"/>
  <c r="F189" i="14"/>
  <c r="E189" i="14"/>
  <c r="F188" i="14"/>
  <c r="E188" i="14"/>
  <c r="F187" i="14"/>
  <c r="E187" i="14"/>
  <c r="F186" i="14"/>
  <c r="E186" i="14"/>
  <c r="AO185" i="14"/>
  <c r="AL185" i="14"/>
  <c r="AI185" i="14"/>
  <c r="AF185" i="14"/>
  <c r="AC185" i="14"/>
  <c r="Z185" i="14"/>
  <c r="W185" i="14"/>
  <c r="T185" i="14"/>
  <c r="Q185" i="14"/>
  <c r="N185" i="14"/>
  <c r="K185" i="14"/>
  <c r="H185" i="14"/>
  <c r="F185" i="14"/>
  <c r="F184" i="14"/>
  <c r="E184" i="14"/>
  <c r="AO183" i="14"/>
  <c r="AQ183" i="14" s="1"/>
  <c r="AF183" i="14"/>
  <c r="AH183" i="14" s="1"/>
  <c r="AE183" i="14"/>
  <c r="AC183" i="14"/>
  <c r="AB183" i="14"/>
  <c r="Z183" i="14"/>
  <c r="Z193" i="14" s="1"/>
  <c r="Z190" i="14" s="1"/>
  <c r="AB190" i="14" s="1"/>
  <c r="W183" i="14"/>
  <c r="W193" i="14" s="1"/>
  <c r="W190" i="14" s="1"/>
  <c r="V183" i="14"/>
  <c r="S183" i="14"/>
  <c r="N183" i="14"/>
  <c r="P183" i="14" s="1"/>
  <c r="M183" i="14"/>
  <c r="J183" i="14"/>
  <c r="F183" i="14"/>
  <c r="E183" i="14"/>
  <c r="G183" i="14" s="1"/>
  <c r="AK182" i="14"/>
  <c r="AH182" i="14"/>
  <c r="AE182" i="14"/>
  <c r="AB182" i="14"/>
  <c r="Y182" i="14"/>
  <c r="V182" i="14"/>
  <c r="S182" i="14"/>
  <c r="P182" i="14"/>
  <c r="M182" i="14"/>
  <c r="J182" i="14"/>
  <c r="F182" i="14"/>
  <c r="E182" i="14"/>
  <c r="F181" i="14"/>
  <c r="E181" i="14"/>
  <c r="AO180" i="14"/>
  <c r="AQ180" i="14" s="1"/>
  <c r="AM180" i="14"/>
  <c r="AL180" i="14"/>
  <c r="AN180" i="14" s="1"/>
  <c r="AJ180" i="14"/>
  <c r="AI180" i="14"/>
  <c r="AG180" i="14"/>
  <c r="AF180" i="14"/>
  <c r="AH180" i="14" s="1"/>
  <c r="AD180" i="14"/>
  <c r="AC180" i="14"/>
  <c r="AA180" i="14"/>
  <c r="Z180" i="14"/>
  <c r="AB180" i="14" s="1"/>
  <c r="X180" i="14"/>
  <c r="W180" i="14"/>
  <c r="U180" i="14"/>
  <c r="T180" i="14"/>
  <c r="V180" i="14" s="1"/>
  <c r="R180" i="14"/>
  <c r="Q180" i="14"/>
  <c r="O180" i="14"/>
  <c r="N180" i="14"/>
  <c r="P180" i="14" s="1"/>
  <c r="L180" i="14"/>
  <c r="K180" i="14"/>
  <c r="I180" i="14"/>
  <c r="H180" i="14"/>
  <c r="E180" i="14" s="1"/>
  <c r="F180" i="14"/>
  <c r="F179" i="14"/>
  <c r="E179" i="14"/>
  <c r="AQ178" i="14"/>
  <c r="AO178" i="14"/>
  <c r="AO193" i="14" s="1"/>
  <c r="AK178" i="14"/>
  <c r="AF178" i="14"/>
  <c r="AH178" i="14" s="1"/>
  <c r="AC178" i="14"/>
  <c r="AE178" i="14" s="1"/>
  <c r="AB178" i="14"/>
  <c r="Y178" i="14"/>
  <c r="V178" i="14"/>
  <c r="S178" i="14"/>
  <c r="P178" i="14"/>
  <c r="M178" i="14"/>
  <c r="J178" i="14"/>
  <c r="F178" i="14"/>
  <c r="E178" i="14"/>
  <c r="G178" i="14" s="1"/>
  <c r="F177" i="14"/>
  <c r="E177" i="14"/>
  <c r="F176" i="14"/>
  <c r="E176" i="14"/>
  <c r="AO175" i="14"/>
  <c r="AQ175" i="14" s="1"/>
  <c r="AM175" i="14"/>
  <c r="AL175" i="14"/>
  <c r="AJ175" i="14"/>
  <c r="AI175" i="14"/>
  <c r="AK175" i="14" s="1"/>
  <c r="AG175" i="14"/>
  <c r="AF175" i="14"/>
  <c r="AD175" i="14"/>
  <c r="AC175" i="14"/>
  <c r="AE175" i="14" s="1"/>
  <c r="AA175" i="14"/>
  <c r="Z175" i="14"/>
  <c r="X175" i="14"/>
  <c r="W175" i="14"/>
  <c r="Y175" i="14" s="1"/>
  <c r="U175" i="14"/>
  <c r="T175" i="14"/>
  <c r="R175" i="14"/>
  <c r="Q175" i="14"/>
  <c r="O175" i="14"/>
  <c r="N175" i="14"/>
  <c r="P175" i="14" s="1"/>
  <c r="L175" i="14"/>
  <c r="K175" i="14"/>
  <c r="I175" i="14"/>
  <c r="H175" i="14"/>
  <c r="E175" i="14" s="1"/>
  <c r="F175" i="14"/>
  <c r="F174" i="14"/>
  <c r="E174" i="14"/>
  <c r="AQ173" i="14"/>
  <c r="AK173" i="14"/>
  <c r="N173" i="14"/>
  <c r="N193" i="14" s="1"/>
  <c r="F173" i="14"/>
  <c r="F172" i="14"/>
  <c r="E172" i="14"/>
  <c r="F171" i="14"/>
  <c r="E171" i="14"/>
  <c r="AO170" i="14"/>
  <c r="AQ170" i="14" s="1"/>
  <c r="AM170" i="14"/>
  <c r="AL170" i="14"/>
  <c r="AJ170" i="14"/>
  <c r="AI170" i="14"/>
  <c r="AK170" i="14" s="1"/>
  <c r="AG170" i="14"/>
  <c r="AF170" i="14"/>
  <c r="AC170" i="14"/>
  <c r="Z170" i="14"/>
  <c r="X170" i="14"/>
  <c r="W170" i="14"/>
  <c r="U170" i="14"/>
  <c r="T170" i="14"/>
  <c r="Q170" i="14"/>
  <c r="O170" i="14"/>
  <c r="F170" i="14" s="1"/>
  <c r="K170" i="14"/>
  <c r="H170" i="14"/>
  <c r="F169" i="14"/>
  <c r="E169" i="14"/>
  <c r="AH168" i="14"/>
  <c r="AE168" i="14"/>
  <c r="AC168" i="14"/>
  <c r="AC193" i="14" s="1"/>
  <c r="AC190" i="14" s="1"/>
  <c r="F168" i="14"/>
  <c r="E168" i="14"/>
  <c r="F167" i="14"/>
  <c r="E167" i="14"/>
  <c r="F166" i="14"/>
  <c r="E166" i="14"/>
  <c r="AO165" i="14"/>
  <c r="AL165" i="14"/>
  <c r="AJ165" i="14"/>
  <c r="AI165" i="14"/>
  <c r="AG165" i="14"/>
  <c r="AH165" i="14" s="1"/>
  <c r="AF165" i="14"/>
  <c r="AD165" i="14"/>
  <c r="AC165" i="14"/>
  <c r="Z165" i="14"/>
  <c r="W165" i="14"/>
  <c r="T165" i="14"/>
  <c r="Q165" i="14"/>
  <c r="N165" i="14"/>
  <c r="K165" i="14"/>
  <c r="H165" i="14"/>
  <c r="E165" i="14" s="1"/>
  <c r="F164" i="14"/>
  <c r="E164" i="14"/>
  <c r="AL163" i="14"/>
  <c r="AL193" i="14" s="1"/>
  <c r="AL190" i="14" s="1"/>
  <c r="AI163" i="14"/>
  <c r="AI193" i="14" s="1"/>
  <c r="AI190" i="14" s="1"/>
  <c r="F163" i="14"/>
  <c r="E163" i="14"/>
  <c r="F162" i="14"/>
  <c r="E162" i="14"/>
  <c r="F161" i="14"/>
  <c r="E161" i="14"/>
  <c r="AO160" i="14"/>
  <c r="AL160" i="14"/>
  <c r="AJ160" i="14"/>
  <c r="AI160" i="14"/>
  <c r="AG160" i="14"/>
  <c r="AF160" i="14"/>
  <c r="AC160" i="14"/>
  <c r="Z160" i="14"/>
  <c r="W160" i="14"/>
  <c r="T160" i="14"/>
  <c r="Q160" i="14"/>
  <c r="N160" i="14"/>
  <c r="L160" i="14"/>
  <c r="K160" i="14"/>
  <c r="I160" i="14"/>
  <c r="H160" i="14"/>
  <c r="F160" i="14"/>
  <c r="E160" i="14"/>
  <c r="AO158" i="14"/>
  <c r="AM158" i="14"/>
  <c r="AL158" i="14"/>
  <c r="AJ158" i="14"/>
  <c r="AI158" i="14"/>
  <c r="AG158" i="14"/>
  <c r="AF158" i="14"/>
  <c r="AD158" i="14"/>
  <c r="AC158" i="14"/>
  <c r="AA158" i="14"/>
  <c r="Z158" i="14"/>
  <c r="X158" i="14"/>
  <c r="W158" i="14"/>
  <c r="U158" i="14"/>
  <c r="T158" i="14"/>
  <c r="R158" i="14"/>
  <c r="Q158" i="14"/>
  <c r="O158" i="14"/>
  <c r="N158" i="14"/>
  <c r="L158" i="14"/>
  <c r="K158" i="14"/>
  <c r="I158" i="14"/>
  <c r="H158" i="14"/>
  <c r="F158" i="14"/>
  <c r="E158" i="14"/>
  <c r="AM157" i="14"/>
  <c r="AN157" i="14" s="1"/>
  <c r="AL157" i="14"/>
  <c r="AJ157" i="14"/>
  <c r="AG157" i="14"/>
  <c r="AD157" i="14"/>
  <c r="AE157" i="14" s="1"/>
  <c r="AC157" i="14"/>
  <c r="AA157" i="14"/>
  <c r="X157" i="14"/>
  <c r="U157" i="14"/>
  <c r="R157" i="14"/>
  <c r="O157" i="14"/>
  <c r="L157" i="14"/>
  <c r="K157" i="14"/>
  <c r="I157" i="14"/>
  <c r="AM156" i="14"/>
  <c r="AN156" i="14" s="1"/>
  <c r="AL156" i="14"/>
  <c r="AJ156" i="14"/>
  <c r="AK156" i="14" s="1"/>
  <c r="AI156" i="14"/>
  <c r="AG156" i="14"/>
  <c r="AD156" i="14"/>
  <c r="AC156" i="14"/>
  <c r="AA156" i="14"/>
  <c r="Z156" i="14"/>
  <c r="X156" i="14"/>
  <c r="W156" i="14"/>
  <c r="U156" i="14"/>
  <c r="V156" i="14" s="1"/>
  <c r="T156" i="14"/>
  <c r="R156" i="14"/>
  <c r="S156" i="14" s="1"/>
  <c r="Q156" i="14"/>
  <c r="O156" i="14"/>
  <c r="L156" i="14"/>
  <c r="I156" i="14"/>
  <c r="J156" i="14" s="1"/>
  <c r="H156" i="14"/>
  <c r="F156" i="14"/>
  <c r="AM155" i="14"/>
  <c r="AN155" i="14" s="1"/>
  <c r="AL155" i="14"/>
  <c r="AJ155" i="14"/>
  <c r="AK155" i="14" s="1"/>
  <c r="AI155" i="14"/>
  <c r="AG155" i="14"/>
  <c r="AH155" i="14" s="1"/>
  <c r="AF155" i="14"/>
  <c r="AD155" i="14"/>
  <c r="AE155" i="14" s="1"/>
  <c r="AC155" i="14"/>
  <c r="AA155" i="14"/>
  <c r="Z155" i="14"/>
  <c r="X155" i="14"/>
  <c r="U155" i="14"/>
  <c r="T155" i="14"/>
  <c r="R155" i="14"/>
  <c r="Q155" i="14"/>
  <c r="O155" i="14"/>
  <c r="N155" i="14"/>
  <c r="L155" i="14"/>
  <c r="K155" i="14"/>
  <c r="I155" i="14"/>
  <c r="J155" i="14" s="1"/>
  <c r="H155" i="14"/>
  <c r="F155" i="14"/>
  <c r="AM154" i="14"/>
  <c r="AL154" i="14"/>
  <c r="AN154" i="14" s="1"/>
  <c r="AJ154" i="14"/>
  <c r="AG154" i="14"/>
  <c r="AD154" i="14"/>
  <c r="AC154" i="14"/>
  <c r="AA154" i="14"/>
  <c r="X154" i="14"/>
  <c r="U154" i="14"/>
  <c r="R154" i="14"/>
  <c r="O154" i="14"/>
  <c r="L154" i="14"/>
  <c r="I154" i="14"/>
  <c r="F154" i="14"/>
  <c r="F153" i="14"/>
  <c r="E153" i="14"/>
  <c r="T152" i="14"/>
  <c r="F152" i="14"/>
  <c r="E152" i="14"/>
  <c r="AQ151" i="14"/>
  <c r="F151" i="14"/>
  <c r="E151" i="14"/>
  <c r="F150" i="14"/>
  <c r="E150" i="14"/>
  <c r="AO149" i="14"/>
  <c r="AQ149" i="14" s="1"/>
  <c r="AM149" i="14"/>
  <c r="AL149" i="14"/>
  <c r="AJ149" i="14"/>
  <c r="AI149" i="14"/>
  <c r="AG149" i="14"/>
  <c r="AF149" i="14"/>
  <c r="AD149" i="14"/>
  <c r="AC149" i="14"/>
  <c r="AA149" i="14"/>
  <c r="Z149" i="14"/>
  <c r="X149" i="14"/>
  <c r="W149" i="14"/>
  <c r="U149" i="14"/>
  <c r="T149" i="14"/>
  <c r="R149" i="14"/>
  <c r="Q149" i="14"/>
  <c r="O149" i="14"/>
  <c r="N149" i="14"/>
  <c r="L149" i="14"/>
  <c r="K149" i="14"/>
  <c r="H149" i="14"/>
  <c r="F149" i="14"/>
  <c r="E149" i="14"/>
  <c r="F148" i="14"/>
  <c r="E148" i="14"/>
  <c r="F147" i="14"/>
  <c r="E147" i="14"/>
  <c r="AQ146" i="14"/>
  <c r="F146" i="14"/>
  <c r="E146" i="14"/>
  <c r="F145" i="14"/>
  <c r="E145" i="14"/>
  <c r="AO144" i="14"/>
  <c r="AQ144" i="14" s="1"/>
  <c r="AM144" i="14"/>
  <c r="AL144" i="14"/>
  <c r="AJ144" i="14"/>
  <c r="AI144" i="14"/>
  <c r="AF144" i="14"/>
  <c r="AD144" i="14"/>
  <c r="AC144" i="14"/>
  <c r="AA144" i="14"/>
  <c r="Z144" i="14"/>
  <c r="X144" i="14"/>
  <c r="W144" i="14"/>
  <c r="U144" i="14"/>
  <c r="T144" i="14"/>
  <c r="R144" i="14"/>
  <c r="Q144" i="14"/>
  <c r="O144" i="14"/>
  <c r="N144" i="14"/>
  <c r="L144" i="14"/>
  <c r="K144" i="14"/>
  <c r="H144" i="14"/>
  <c r="F144" i="14"/>
  <c r="E144" i="14"/>
  <c r="F143" i="14"/>
  <c r="E143" i="14"/>
  <c r="F142" i="14"/>
  <c r="E142" i="14"/>
  <c r="AQ141" i="14"/>
  <c r="AO141" i="14"/>
  <c r="AN141" i="14"/>
  <c r="AK141" i="14"/>
  <c r="AH141" i="14"/>
  <c r="Y141" i="14"/>
  <c r="V141" i="14"/>
  <c r="S141" i="14"/>
  <c r="P141" i="14"/>
  <c r="N141" i="14"/>
  <c r="N156" i="14" s="1"/>
  <c r="K141" i="14"/>
  <c r="K156" i="14" s="1"/>
  <c r="F141" i="14"/>
  <c r="E141" i="14"/>
  <c r="F140" i="14"/>
  <c r="E140" i="14"/>
  <c r="AO139" i="14"/>
  <c r="AQ139" i="14" s="1"/>
  <c r="AM139" i="14"/>
  <c r="AN139" i="14" s="1"/>
  <c r="AL139" i="14"/>
  <c r="AJ139" i="14"/>
  <c r="AI139" i="14"/>
  <c r="AG139" i="14"/>
  <c r="AH139" i="14" s="1"/>
  <c r="AF139" i="14"/>
  <c r="AD139" i="14"/>
  <c r="AC139" i="14"/>
  <c r="AA139" i="14"/>
  <c r="Z139" i="14"/>
  <c r="X139" i="14"/>
  <c r="W139" i="14"/>
  <c r="U139" i="14"/>
  <c r="V139" i="14" s="1"/>
  <c r="T139" i="14"/>
  <c r="R139" i="14"/>
  <c r="Q139" i="14"/>
  <c r="O139" i="14"/>
  <c r="P139" i="14" s="1"/>
  <c r="N139" i="14"/>
  <c r="L139" i="14"/>
  <c r="K139" i="14"/>
  <c r="H139" i="14"/>
  <c r="F139" i="14"/>
  <c r="E139" i="14"/>
  <c r="F138" i="14"/>
  <c r="E138" i="14"/>
  <c r="AO137" i="14"/>
  <c r="AQ137" i="14" s="1"/>
  <c r="AF137" i="14"/>
  <c r="AH137" i="14" s="1"/>
  <c r="AB137" i="14"/>
  <c r="Y137" i="14"/>
  <c r="V137" i="14"/>
  <c r="S137" i="14"/>
  <c r="P137" i="14"/>
  <c r="M137" i="14"/>
  <c r="H137" i="14"/>
  <c r="J137" i="14" s="1"/>
  <c r="F137" i="14"/>
  <c r="E137" i="14"/>
  <c r="F136" i="14"/>
  <c r="E136" i="14"/>
  <c r="F135" i="14"/>
  <c r="E135" i="14"/>
  <c r="AO134" i="14"/>
  <c r="AQ134" i="14" s="1"/>
  <c r="AM134" i="14"/>
  <c r="AL134" i="14"/>
  <c r="AJ134" i="14"/>
  <c r="AI134" i="14"/>
  <c r="AK134" i="14" s="1"/>
  <c r="AG134" i="14"/>
  <c r="AF134" i="14"/>
  <c r="AD134" i="14"/>
  <c r="AC134" i="14"/>
  <c r="AE134" i="14" s="1"/>
  <c r="AA134" i="14"/>
  <c r="Z134" i="14"/>
  <c r="X134" i="14"/>
  <c r="W134" i="14"/>
  <c r="Y134" i="14" s="1"/>
  <c r="U134" i="14"/>
  <c r="T134" i="14"/>
  <c r="R134" i="14"/>
  <c r="Q134" i="14"/>
  <c r="S134" i="14" s="1"/>
  <c r="O134" i="14"/>
  <c r="N134" i="14"/>
  <c r="L134" i="14"/>
  <c r="K134" i="14"/>
  <c r="M134" i="14" s="1"/>
  <c r="I134" i="14"/>
  <c r="H134" i="14"/>
  <c r="E134" i="14" s="1"/>
  <c r="F133" i="14"/>
  <c r="E133" i="14"/>
  <c r="AO132" i="14"/>
  <c r="AQ132" i="14" s="1"/>
  <c r="AK132" i="14"/>
  <c r="AH132" i="14"/>
  <c r="AF132" i="14"/>
  <c r="AF157" i="14" s="1"/>
  <c r="AE132" i="14"/>
  <c r="AB132" i="14"/>
  <c r="W132" i="14"/>
  <c r="Y132" i="14" s="1"/>
  <c r="V132" i="14"/>
  <c r="S132" i="14"/>
  <c r="P132" i="14"/>
  <c r="M132" i="14"/>
  <c r="J132" i="14"/>
  <c r="F132" i="14"/>
  <c r="E132" i="14"/>
  <c r="F131" i="14"/>
  <c r="E131" i="14"/>
  <c r="F130" i="14"/>
  <c r="E130" i="14"/>
  <c r="AO129" i="14"/>
  <c r="AQ129" i="14" s="1"/>
  <c r="AM129" i="14"/>
  <c r="AL129" i="14"/>
  <c r="AN129" i="14" s="1"/>
  <c r="AJ129" i="14"/>
  <c r="AI129" i="14"/>
  <c r="AG129" i="14"/>
  <c r="AF129" i="14"/>
  <c r="AH129" i="14" s="1"/>
  <c r="AD129" i="14"/>
  <c r="AC129" i="14"/>
  <c r="AA129" i="14"/>
  <c r="Z129" i="14"/>
  <c r="AB129" i="14" s="1"/>
  <c r="X129" i="14"/>
  <c r="W129" i="14"/>
  <c r="U129" i="14"/>
  <c r="T129" i="14"/>
  <c r="V129" i="14" s="1"/>
  <c r="R129" i="14"/>
  <c r="Q129" i="14"/>
  <c r="O129" i="14"/>
  <c r="N129" i="14"/>
  <c r="P129" i="14" s="1"/>
  <c r="L129" i="14"/>
  <c r="K129" i="14"/>
  <c r="I129" i="14"/>
  <c r="H129" i="14"/>
  <c r="J129" i="14" s="1"/>
  <c r="F129" i="14"/>
  <c r="F128" i="14"/>
  <c r="E128" i="14"/>
  <c r="AQ127" i="14"/>
  <c r="F127" i="14"/>
  <c r="E127" i="14"/>
  <c r="AQ126" i="14"/>
  <c r="F126" i="14"/>
  <c r="E126" i="14"/>
  <c r="AO125" i="14"/>
  <c r="AK125" i="14"/>
  <c r="AH125" i="14"/>
  <c r="AE125" i="14"/>
  <c r="Y125" i="14"/>
  <c r="W125" i="14"/>
  <c r="V125" i="14"/>
  <c r="S125" i="14"/>
  <c r="P125" i="14"/>
  <c r="M125" i="14"/>
  <c r="J125" i="14"/>
  <c r="F125" i="14"/>
  <c r="E125" i="14"/>
  <c r="AO124" i="14"/>
  <c r="AQ124" i="14" s="1"/>
  <c r="AM124" i="14"/>
  <c r="AL124" i="14"/>
  <c r="AJ124" i="14"/>
  <c r="AI124" i="14"/>
  <c r="AG124" i="14"/>
  <c r="AF124" i="14"/>
  <c r="AD124" i="14"/>
  <c r="AE124" i="14" s="1"/>
  <c r="AC124" i="14"/>
  <c r="AA124" i="14"/>
  <c r="Z124" i="14"/>
  <c r="X124" i="14"/>
  <c r="W124" i="14"/>
  <c r="U124" i="14"/>
  <c r="V124" i="14" s="1"/>
  <c r="T124" i="14"/>
  <c r="R124" i="14"/>
  <c r="Q124" i="14"/>
  <c r="O124" i="14"/>
  <c r="P124" i="14" s="1"/>
  <c r="N124" i="14"/>
  <c r="L124" i="14"/>
  <c r="K124" i="14"/>
  <c r="I124" i="14"/>
  <c r="J124" i="14" s="1"/>
  <c r="H124" i="14"/>
  <c r="E124" i="14"/>
  <c r="F123" i="14"/>
  <c r="E123" i="14"/>
  <c r="AO122" i="14"/>
  <c r="AO157" i="14" s="1"/>
  <c r="AQ157" i="14" s="1"/>
  <c r="AK122" i="14"/>
  <c r="AH122" i="14"/>
  <c r="AE122" i="14"/>
  <c r="AB122" i="14"/>
  <c r="Z122" i="14"/>
  <c r="Y122" i="14"/>
  <c r="V122" i="14"/>
  <c r="S122" i="14"/>
  <c r="N122" i="14"/>
  <c r="P122" i="14" s="1"/>
  <c r="M122" i="14"/>
  <c r="J122" i="14"/>
  <c r="F122" i="14"/>
  <c r="AO121" i="14"/>
  <c r="AO156" i="14" s="1"/>
  <c r="AK121" i="14"/>
  <c r="AF121" i="14"/>
  <c r="AF156" i="14" s="1"/>
  <c r="AF154" i="14" s="1"/>
  <c r="AH154" i="14" s="1"/>
  <c r="AE121" i="14"/>
  <c r="AB121" i="14"/>
  <c r="Y121" i="14"/>
  <c r="V121" i="14"/>
  <c r="S121" i="14"/>
  <c r="P121" i="14"/>
  <c r="M121" i="14"/>
  <c r="J121" i="14"/>
  <c r="F121" i="14"/>
  <c r="AO120" i="14"/>
  <c r="AO155" i="14" s="1"/>
  <c r="AK120" i="14"/>
  <c r="AH120" i="14"/>
  <c r="AE120" i="14"/>
  <c r="Y120" i="14"/>
  <c r="W120" i="14"/>
  <c r="W155" i="14" s="1"/>
  <c r="V120" i="14"/>
  <c r="S120" i="14"/>
  <c r="P120" i="14"/>
  <c r="M120" i="14"/>
  <c r="J120" i="14"/>
  <c r="F120" i="14"/>
  <c r="AQ119" i="14"/>
  <c r="AO119" i="14"/>
  <c r="AM119" i="14"/>
  <c r="AL119" i="14"/>
  <c r="AJ119" i="14"/>
  <c r="AK119" i="14" s="1"/>
  <c r="AI119" i="14"/>
  <c r="AG119" i="14"/>
  <c r="AF119" i="14"/>
  <c r="AD119" i="14"/>
  <c r="AE119" i="14" s="1"/>
  <c r="AC119" i="14"/>
  <c r="AA119" i="14"/>
  <c r="Z119" i="14"/>
  <c r="X119" i="14"/>
  <c r="Y119" i="14" s="1"/>
  <c r="W119" i="14"/>
  <c r="U119" i="14"/>
  <c r="T119" i="14"/>
  <c r="R119" i="14"/>
  <c r="S119" i="14" s="1"/>
  <c r="Q119" i="14"/>
  <c r="O119" i="14"/>
  <c r="N119" i="14"/>
  <c r="L119" i="14"/>
  <c r="M119" i="14" s="1"/>
  <c r="K119" i="14"/>
  <c r="I119" i="14"/>
  <c r="H119" i="14"/>
  <c r="F119" i="14"/>
  <c r="F118" i="14"/>
  <c r="E118" i="14"/>
  <c r="AQ117" i="14"/>
  <c r="AI117" i="14"/>
  <c r="AI157" i="14" s="1"/>
  <c r="AI154" i="14" s="1"/>
  <c r="T117" i="14"/>
  <c r="S117" i="14"/>
  <c r="N117" i="14"/>
  <c r="F117" i="14"/>
  <c r="F116" i="14"/>
  <c r="E116" i="14"/>
  <c r="F115" i="14"/>
  <c r="E115" i="14"/>
  <c r="AO114" i="14"/>
  <c r="AQ114" i="14" s="1"/>
  <c r="AL114" i="14"/>
  <c r="AJ114" i="14"/>
  <c r="AI114" i="14"/>
  <c r="AG114" i="14"/>
  <c r="AF114" i="14"/>
  <c r="AD114" i="14"/>
  <c r="AC114" i="14"/>
  <c r="AA114" i="14"/>
  <c r="Z114" i="14"/>
  <c r="X114" i="14"/>
  <c r="W114" i="14"/>
  <c r="U114" i="14"/>
  <c r="T114" i="14"/>
  <c r="R114" i="14"/>
  <c r="S114" i="14" s="1"/>
  <c r="Q114" i="14"/>
  <c r="O114" i="14"/>
  <c r="F114" i="14" s="1"/>
  <c r="N114" i="14"/>
  <c r="K114" i="14"/>
  <c r="H114" i="14"/>
  <c r="E114" i="14"/>
  <c r="F113" i="14"/>
  <c r="E113" i="14"/>
  <c r="AQ112" i="14"/>
  <c r="Q112" i="14"/>
  <c r="Q157" i="14" s="1"/>
  <c r="F112" i="14"/>
  <c r="F111" i="14"/>
  <c r="E111" i="14"/>
  <c r="F110" i="14"/>
  <c r="E110" i="14"/>
  <c r="AQ109" i="14"/>
  <c r="AO109" i="14"/>
  <c r="AL109" i="14"/>
  <c r="AI109" i="14"/>
  <c r="AG109" i="14"/>
  <c r="AF109" i="14"/>
  <c r="AC109" i="14"/>
  <c r="AA109" i="14"/>
  <c r="Z109" i="14"/>
  <c r="X109" i="14"/>
  <c r="W109" i="14"/>
  <c r="T109" i="14"/>
  <c r="R109" i="14"/>
  <c r="F109" i="14" s="1"/>
  <c r="Q109" i="14"/>
  <c r="N109" i="14"/>
  <c r="K109" i="14"/>
  <c r="H109" i="14"/>
  <c r="E109" i="14" s="1"/>
  <c r="F108" i="14"/>
  <c r="E108" i="14"/>
  <c r="AQ107" i="14"/>
  <c r="AK107" i="14"/>
  <c r="Z107" i="14"/>
  <c r="Z157" i="14" s="1"/>
  <c r="Z154" i="14" s="1"/>
  <c r="AB154" i="14" s="1"/>
  <c r="V107" i="14"/>
  <c r="S107" i="14"/>
  <c r="N107" i="14"/>
  <c r="N157" i="14" s="1"/>
  <c r="F107" i="14"/>
  <c r="AK106" i="14"/>
  <c r="F106" i="14"/>
  <c r="E106" i="14"/>
  <c r="F105" i="14"/>
  <c r="E105" i="14"/>
  <c r="AO104" i="14"/>
  <c r="AQ104" i="14" s="1"/>
  <c r="AM104" i="14"/>
  <c r="AL104" i="14"/>
  <c r="AJ104" i="14"/>
  <c r="AI104" i="14"/>
  <c r="AG104" i="14"/>
  <c r="AF104" i="14"/>
  <c r="AD104" i="14"/>
  <c r="AC104" i="14"/>
  <c r="AA104" i="14"/>
  <c r="X104" i="14"/>
  <c r="W104" i="14"/>
  <c r="U104" i="14"/>
  <c r="T104" i="14"/>
  <c r="R104" i="14"/>
  <c r="S104" i="14" s="1"/>
  <c r="Q104" i="14"/>
  <c r="O104" i="14"/>
  <c r="N104" i="14"/>
  <c r="L104" i="14"/>
  <c r="K104" i="14"/>
  <c r="H104" i="14"/>
  <c r="F103" i="14"/>
  <c r="E103" i="14"/>
  <c r="W102" i="14"/>
  <c r="F102" i="14"/>
  <c r="E102" i="14"/>
  <c r="F101" i="14"/>
  <c r="E101" i="14"/>
  <c r="F100" i="14"/>
  <c r="E100" i="14"/>
  <c r="AO99" i="14"/>
  <c r="AL99" i="14"/>
  <c r="AI99" i="14"/>
  <c r="AF99" i="14"/>
  <c r="AC99" i="14"/>
  <c r="AA99" i="14"/>
  <c r="Z99" i="14"/>
  <c r="X99" i="14"/>
  <c r="W99" i="14"/>
  <c r="T99" i="14"/>
  <c r="Q99" i="14"/>
  <c r="N99" i="14"/>
  <c r="K99" i="14"/>
  <c r="E99" i="14" s="1"/>
  <c r="H99" i="14"/>
  <c r="F99" i="14"/>
  <c r="F98" i="14"/>
  <c r="E98" i="14"/>
  <c r="AQ97" i="14"/>
  <c r="AK97" i="14"/>
  <c r="AH97" i="14"/>
  <c r="AE97" i="14"/>
  <c r="W97" i="14"/>
  <c r="W157" i="14" s="1"/>
  <c r="T97" i="14"/>
  <c r="T157" i="14" s="1"/>
  <c r="T154" i="14" s="1"/>
  <c r="H97" i="14"/>
  <c r="H157" i="14" s="1"/>
  <c r="F97" i="14"/>
  <c r="E97" i="14"/>
  <c r="G97" i="14" s="1"/>
  <c r="F96" i="14"/>
  <c r="E96" i="14"/>
  <c r="F95" i="14"/>
  <c r="E95" i="14"/>
  <c r="AO94" i="14"/>
  <c r="AQ94" i="14" s="1"/>
  <c r="AM94" i="14"/>
  <c r="AL94" i="14"/>
  <c r="AJ94" i="14"/>
  <c r="AK94" i="14" s="1"/>
  <c r="AI94" i="14"/>
  <c r="AG94" i="14"/>
  <c r="AF94" i="14"/>
  <c r="AD94" i="14"/>
  <c r="AE94" i="14" s="1"/>
  <c r="AC94" i="14"/>
  <c r="AA94" i="14"/>
  <c r="Z94" i="14"/>
  <c r="X94" i="14"/>
  <c r="W94" i="14"/>
  <c r="U94" i="14"/>
  <c r="V94" i="14" s="1"/>
  <c r="T94" i="14"/>
  <c r="R94" i="14"/>
  <c r="Q94" i="14"/>
  <c r="O94" i="14"/>
  <c r="N94" i="14"/>
  <c r="L94" i="14"/>
  <c r="K94" i="14"/>
  <c r="I94" i="14"/>
  <c r="H94" i="14"/>
  <c r="F94" i="14"/>
  <c r="F93" i="14"/>
  <c r="E93" i="14"/>
  <c r="AQ92" i="14"/>
  <c r="AK92" i="14"/>
  <c r="S92" i="14"/>
  <c r="J92" i="14"/>
  <c r="F92" i="14"/>
  <c r="E92" i="14"/>
  <c r="G92" i="14" s="1"/>
  <c r="F91" i="14"/>
  <c r="E91" i="14"/>
  <c r="F90" i="14"/>
  <c r="E90" i="14"/>
  <c r="AO89" i="14"/>
  <c r="AQ89" i="14" s="1"/>
  <c r="AM89" i="14"/>
  <c r="AL89" i="14"/>
  <c r="AJ89" i="14"/>
  <c r="AK89" i="14" s="1"/>
  <c r="AI89" i="14"/>
  <c r="AG89" i="14"/>
  <c r="AF89" i="14"/>
  <c r="AD89" i="14"/>
  <c r="AC89" i="14"/>
  <c r="AA89" i="14"/>
  <c r="Z89" i="14"/>
  <c r="X89" i="14"/>
  <c r="W89" i="14"/>
  <c r="U89" i="14"/>
  <c r="T89" i="14"/>
  <c r="R89" i="14"/>
  <c r="Q89" i="14"/>
  <c r="O89" i="14"/>
  <c r="N89" i="14"/>
  <c r="L89" i="14"/>
  <c r="K89" i="14"/>
  <c r="I89" i="14"/>
  <c r="J89" i="14" s="1"/>
  <c r="H89" i="14"/>
  <c r="E89" i="14"/>
  <c r="AJ87" i="14"/>
  <c r="AG87" i="14"/>
  <c r="AD87" i="14"/>
  <c r="AA87" i="14"/>
  <c r="X87" i="14"/>
  <c r="U87" i="14"/>
  <c r="R87" i="14"/>
  <c r="O87" i="14"/>
  <c r="F87" i="14" s="1"/>
  <c r="E87" i="14"/>
  <c r="AP86" i="14"/>
  <c r="AM86" i="14"/>
  <c r="AM284" i="14" s="1"/>
  <c r="AJ86" i="14"/>
  <c r="AJ284" i="14" s="1"/>
  <c r="AG86" i="14"/>
  <c r="AG284" i="14" s="1"/>
  <c r="AD86" i="14"/>
  <c r="AA86" i="14"/>
  <c r="L86" i="14"/>
  <c r="K86" i="14"/>
  <c r="AP85" i="14"/>
  <c r="AM85" i="14"/>
  <c r="AJ85" i="14"/>
  <c r="AD85" i="14"/>
  <c r="AA85" i="14"/>
  <c r="AP84" i="14"/>
  <c r="AM84" i="14"/>
  <c r="AJ84" i="14"/>
  <c r="AG84" i="14"/>
  <c r="AD84" i="14"/>
  <c r="AA84" i="14"/>
  <c r="AP83" i="14"/>
  <c r="AM83" i="14"/>
  <c r="AJ83" i="14"/>
  <c r="AG83" i="14"/>
  <c r="AD83" i="14"/>
  <c r="AA83" i="14"/>
  <c r="AP82" i="14"/>
  <c r="AM82" i="14"/>
  <c r="AJ82" i="14"/>
  <c r="AD82" i="14"/>
  <c r="AA82" i="14"/>
  <c r="F81" i="14"/>
  <c r="E81" i="14"/>
  <c r="AQ80" i="14"/>
  <c r="S80" i="14"/>
  <c r="N80" i="14"/>
  <c r="P80" i="14" s="1"/>
  <c r="F80" i="14"/>
  <c r="E80" i="14"/>
  <c r="F79" i="14"/>
  <c r="E79" i="14"/>
  <c r="F78" i="14"/>
  <c r="E78" i="14"/>
  <c r="AO77" i="14"/>
  <c r="AQ77" i="14" s="1"/>
  <c r="AL77" i="14"/>
  <c r="AJ77" i="14"/>
  <c r="AI77" i="14"/>
  <c r="AG77" i="14"/>
  <c r="AF77" i="14"/>
  <c r="AD77" i="14"/>
  <c r="AC77" i="14"/>
  <c r="AA77" i="14"/>
  <c r="Z77" i="14"/>
  <c r="W77" i="14"/>
  <c r="U77" i="14"/>
  <c r="T77" i="14"/>
  <c r="R77" i="14"/>
  <c r="Q77" i="14"/>
  <c r="O77" i="14"/>
  <c r="N77" i="14"/>
  <c r="L77" i="14"/>
  <c r="K77" i="14"/>
  <c r="I77" i="14"/>
  <c r="H77" i="14"/>
  <c r="F77" i="14"/>
  <c r="G77" i="14" s="1"/>
  <c r="E77" i="14"/>
  <c r="F76" i="14"/>
  <c r="E76" i="14"/>
  <c r="F75" i="14"/>
  <c r="E75" i="14"/>
  <c r="AQ74" i="14"/>
  <c r="AK74" i="14"/>
  <c r="AH74" i="14"/>
  <c r="F74" i="14"/>
  <c r="G74" i="14" s="1"/>
  <c r="E74" i="14"/>
  <c r="AK73" i="14"/>
  <c r="AB73" i="14"/>
  <c r="S73" i="14"/>
  <c r="F73" i="14"/>
  <c r="E73" i="14"/>
  <c r="F72" i="14"/>
  <c r="E72" i="14"/>
  <c r="AO71" i="14"/>
  <c r="AQ71" i="14" s="1"/>
  <c r="AM71" i="14"/>
  <c r="AL71" i="14"/>
  <c r="AJ71" i="14"/>
  <c r="AK71" i="14" s="1"/>
  <c r="AI71" i="14"/>
  <c r="AG71" i="14"/>
  <c r="AF71" i="14"/>
  <c r="AD71" i="14"/>
  <c r="AC71" i="14"/>
  <c r="AA71" i="14"/>
  <c r="AB71" i="14" s="1"/>
  <c r="Z71" i="14"/>
  <c r="X71" i="14"/>
  <c r="W71" i="14"/>
  <c r="U71" i="14"/>
  <c r="T71" i="14"/>
  <c r="R71" i="14"/>
  <c r="Q71" i="14"/>
  <c r="O71" i="14"/>
  <c r="N71" i="14"/>
  <c r="L71" i="14"/>
  <c r="F71" i="14" s="1"/>
  <c r="G71" i="14" s="1"/>
  <c r="K71" i="14"/>
  <c r="H71" i="14"/>
  <c r="E71" i="14"/>
  <c r="F70" i="14"/>
  <c r="E70" i="14"/>
  <c r="F69" i="14"/>
  <c r="E69" i="14"/>
  <c r="F68" i="14"/>
  <c r="E68" i="14"/>
  <c r="F67" i="14"/>
  <c r="E67" i="14"/>
  <c r="AO66" i="14"/>
  <c r="AL66" i="14"/>
  <c r="AJ66" i="14"/>
  <c r="AI66" i="14"/>
  <c r="AF66" i="14"/>
  <c r="AC66" i="14"/>
  <c r="Z66" i="14"/>
  <c r="W66" i="14"/>
  <c r="T66" i="14"/>
  <c r="Q66" i="14"/>
  <c r="N66" i="14"/>
  <c r="K66" i="14"/>
  <c r="H66" i="14"/>
  <c r="F66" i="14"/>
  <c r="E66" i="14"/>
  <c r="F65" i="14"/>
  <c r="E65" i="14"/>
  <c r="F64" i="14"/>
  <c r="E64" i="14"/>
  <c r="F63" i="14"/>
  <c r="E63" i="14"/>
  <c r="F62" i="14"/>
  <c r="E62" i="14"/>
  <c r="AO61" i="14"/>
  <c r="AL61" i="14"/>
  <c r="AI61" i="14"/>
  <c r="AF61" i="14"/>
  <c r="AC61" i="14"/>
  <c r="Z61" i="14"/>
  <c r="W61" i="14"/>
  <c r="T61" i="14"/>
  <c r="Q61" i="14"/>
  <c r="N61" i="14"/>
  <c r="K61" i="14"/>
  <c r="H61" i="14"/>
  <c r="F61" i="14"/>
  <c r="E61" i="14"/>
  <c r="F60" i="14"/>
  <c r="E60" i="14"/>
  <c r="F59" i="14"/>
  <c r="E59" i="14"/>
  <c r="F58" i="14"/>
  <c r="E58" i="14"/>
  <c r="F57" i="14"/>
  <c r="E57" i="14"/>
  <c r="AO56" i="14"/>
  <c r="AL56" i="14"/>
  <c r="AI56" i="14"/>
  <c r="AF56" i="14"/>
  <c r="AC56" i="14"/>
  <c r="Z56" i="14"/>
  <c r="W56" i="14"/>
  <c r="T56" i="14"/>
  <c r="Q56" i="14"/>
  <c r="N56" i="14"/>
  <c r="K56" i="14"/>
  <c r="H56" i="14"/>
  <c r="F56" i="14"/>
  <c r="E56" i="14"/>
  <c r="AO55" i="14"/>
  <c r="AO290" i="14" s="1"/>
  <c r="AL55" i="14"/>
  <c r="AL290" i="14" s="1"/>
  <c r="AI55" i="14"/>
  <c r="AI290" i="14" s="1"/>
  <c r="AF55" i="14"/>
  <c r="AF290" i="14" s="1"/>
  <c r="AC55" i="14"/>
  <c r="AC290" i="14" s="1"/>
  <c r="Z55" i="14"/>
  <c r="Z290" i="14" s="1"/>
  <c r="X55" i="14"/>
  <c r="X290" i="14" s="1"/>
  <c r="W55" i="14"/>
  <c r="W290" i="14" s="1"/>
  <c r="U55" i="14"/>
  <c r="U290" i="14" s="1"/>
  <c r="T55" i="14"/>
  <c r="T290" i="14" s="1"/>
  <c r="R55" i="14"/>
  <c r="R290" i="14" s="1"/>
  <c r="Q55" i="14"/>
  <c r="Q290" i="14" s="1"/>
  <c r="O55" i="14"/>
  <c r="O290" i="14" s="1"/>
  <c r="N55" i="14"/>
  <c r="N290" i="14" s="1"/>
  <c r="I55" i="14"/>
  <c r="I290" i="14" s="1"/>
  <c r="H55" i="14"/>
  <c r="H290" i="14" s="1"/>
  <c r="E290" i="14" s="1"/>
  <c r="F55" i="14"/>
  <c r="E55" i="14"/>
  <c r="AO54" i="14"/>
  <c r="AO289" i="14" s="1"/>
  <c r="AL54" i="14"/>
  <c r="AL289" i="14" s="1"/>
  <c r="AI54" i="14"/>
  <c r="AI289" i="14" s="1"/>
  <c r="AG54" i="14"/>
  <c r="AG289" i="14" s="1"/>
  <c r="AG286" i="14" s="1"/>
  <c r="AF54" i="14"/>
  <c r="AF289" i="14" s="1"/>
  <c r="AC54" i="14"/>
  <c r="AC289" i="14" s="1"/>
  <c r="AE289" i="14" s="1"/>
  <c r="Z54" i="14"/>
  <c r="X54" i="14"/>
  <c r="X289" i="14" s="1"/>
  <c r="Y289" i="14" s="1"/>
  <c r="W54" i="14"/>
  <c r="W289" i="14" s="1"/>
  <c r="U54" i="14"/>
  <c r="U289" i="14" s="1"/>
  <c r="V289" i="14" s="1"/>
  <c r="T54" i="14"/>
  <c r="T289" i="14" s="1"/>
  <c r="R54" i="14"/>
  <c r="R289" i="14" s="1"/>
  <c r="S289" i="14" s="1"/>
  <c r="Q54" i="14"/>
  <c r="Q289" i="14" s="1"/>
  <c r="O54" i="14"/>
  <c r="O289" i="14" s="1"/>
  <c r="N54" i="14"/>
  <c r="N289" i="14" s="1"/>
  <c r="L54" i="14"/>
  <c r="L289" i="14" s="1"/>
  <c r="K54" i="14"/>
  <c r="K289" i="14" s="1"/>
  <c r="I54" i="14"/>
  <c r="I289" i="14" s="1"/>
  <c r="F289" i="14" s="1"/>
  <c r="H54" i="14"/>
  <c r="H289" i="14" s="1"/>
  <c r="F54" i="14"/>
  <c r="E54" i="14"/>
  <c r="AO53" i="14"/>
  <c r="AO288" i="14" s="1"/>
  <c r="AL53" i="14"/>
  <c r="AL288" i="14" s="1"/>
  <c r="AI53" i="14"/>
  <c r="AI288" i="14" s="1"/>
  <c r="AF53" i="14"/>
  <c r="AF288" i="14" s="1"/>
  <c r="AC53" i="14"/>
  <c r="AC288" i="14" s="1"/>
  <c r="Z53" i="14"/>
  <c r="X53" i="14"/>
  <c r="X288" i="14" s="1"/>
  <c r="Y288" i="14" s="1"/>
  <c r="W53" i="14"/>
  <c r="W288" i="14" s="1"/>
  <c r="U53" i="14"/>
  <c r="U288" i="14" s="1"/>
  <c r="V288" i="14" s="1"/>
  <c r="T53" i="14"/>
  <c r="T288" i="14" s="1"/>
  <c r="R53" i="14"/>
  <c r="R288" i="14" s="1"/>
  <c r="S288" i="14" s="1"/>
  <c r="Q53" i="14"/>
  <c r="Q288" i="14" s="1"/>
  <c r="O53" i="14"/>
  <c r="O288" i="14" s="1"/>
  <c r="N53" i="14"/>
  <c r="N288" i="14" s="1"/>
  <c r="L53" i="14"/>
  <c r="L288" i="14" s="1"/>
  <c r="K53" i="14"/>
  <c r="K288" i="14" s="1"/>
  <c r="I53" i="14"/>
  <c r="I288" i="14" s="1"/>
  <c r="F288" i="14" s="1"/>
  <c r="H53" i="14"/>
  <c r="H288" i="14" s="1"/>
  <c r="F53" i="14"/>
  <c r="AO52" i="14"/>
  <c r="AO287" i="14" s="1"/>
  <c r="AO286" i="14" s="1"/>
  <c r="AL52" i="14"/>
  <c r="AL287" i="14" s="1"/>
  <c r="AL286" i="14" s="1"/>
  <c r="AI52" i="14"/>
  <c r="AI287" i="14" s="1"/>
  <c r="AI286" i="14" s="1"/>
  <c r="AF52" i="14"/>
  <c r="AF287" i="14" s="1"/>
  <c r="AF286" i="14" s="1"/>
  <c r="AC52" i="14"/>
  <c r="AC287" i="14" s="1"/>
  <c r="AC286" i="14" s="1"/>
  <c r="AE286" i="14" s="1"/>
  <c r="Z52" i="14"/>
  <c r="X52" i="14"/>
  <c r="X287" i="14" s="1"/>
  <c r="W52" i="14"/>
  <c r="W287" i="14" s="1"/>
  <c r="W286" i="14" s="1"/>
  <c r="U52" i="14"/>
  <c r="U287" i="14" s="1"/>
  <c r="T52" i="14"/>
  <c r="T287" i="14" s="1"/>
  <c r="T286" i="14" s="1"/>
  <c r="R52" i="14"/>
  <c r="R287" i="14" s="1"/>
  <c r="Q52" i="14"/>
  <c r="Q287" i="14" s="1"/>
  <c r="Q286" i="14" s="1"/>
  <c r="O52" i="14"/>
  <c r="O287" i="14" s="1"/>
  <c r="O286" i="14" s="1"/>
  <c r="N52" i="14"/>
  <c r="N287" i="14" s="1"/>
  <c r="N286" i="14" s="1"/>
  <c r="L52" i="14"/>
  <c r="L287" i="14" s="1"/>
  <c r="L286" i="14" s="1"/>
  <c r="K52" i="14"/>
  <c r="K287" i="14" s="1"/>
  <c r="K286" i="14" s="1"/>
  <c r="I52" i="14"/>
  <c r="I287" i="14" s="1"/>
  <c r="H52" i="14"/>
  <c r="H287" i="14" s="1"/>
  <c r="F52" i="14"/>
  <c r="AO51" i="14"/>
  <c r="AL51" i="14"/>
  <c r="AJ51" i="14"/>
  <c r="AI51" i="14"/>
  <c r="AG51" i="14"/>
  <c r="AF51" i="14"/>
  <c r="AC51" i="14"/>
  <c r="Z51" i="14"/>
  <c r="X51" i="14"/>
  <c r="W51" i="14"/>
  <c r="U51" i="14"/>
  <c r="T51" i="14"/>
  <c r="R51" i="14"/>
  <c r="Q51" i="14"/>
  <c r="O51" i="14"/>
  <c r="N51" i="14"/>
  <c r="L51" i="14"/>
  <c r="K51" i="14"/>
  <c r="I51" i="14"/>
  <c r="H51" i="14"/>
  <c r="F51" i="14"/>
  <c r="F50" i="14"/>
  <c r="F49" i="14"/>
  <c r="E49" i="14"/>
  <c r="AE48" i="14"/>
  <c r="Z48" i="14"/>
  <c r="AB48" i="14" s="1"/>
  <c r="Y48" i="14"/>
  <c r="V48" i="14"/>
  <c r="S48" i="14"/>
  <c r="F48" i="14"/>
  <c r="G48" i="14" s="1"/>
  <c r="E48" i="14"/>
  <c r="AB47" i="14"/>
  <c r="Z47" i="14"/>
  <c r="Y47" i="14"/>
  <c r="V47" i="14"/>
  <c r="S47" i="14"/>
  <c r="F47" i="14"/>
  <c r="E47" i="14"/>
  <c r="Z46" i="14"/>
  <c r="AB46" i="14" s="1"/>
  <c r="Y46" i="14"/>
  <c r="V46" i="14"/>
  <c r="S46" i="14"/>
  <c r="F46" i="14"/>
  <c r="E46" i="14"/>
  <c r="AO45" i="14"/>
  <c r="AL45" i="14"/>
  <c r="AJ45" i="14"/>
  <c r="AI45" i="14"/>
  <c r="AG45" i="14"/>
  <c r="AF45" i="14"/>
  <c r="AD45" i="14"/>
  <c r="AC45" i="14"/>
  <c r="AE45" i="14" s="1"/>
  <c r="AA45" i="14"/>
  <c r="Z45" i="14"/>
  <c r="X45" i="14"/>
  <c r="W45" i="14"/>
  <c r="Y45" i="14" s="1"/>
  <c r="U45" i="14"/>
  <c r="T45" i="14"/>
  <c r="R45" i="14"/>
  <c r="Q45" i="14"/>
  <c r="S45" i="14" s="1"/>
  <c r="O45" i="14"/>
  <c r="N45" i="14"/>
  <c r="K45" i="14"/>
  <c r="H45" i="14"/>
  <c r="E45" i="14" s="1"/>
  <c r="F45" i="14"/>
  <c r="F44" i="14"/>
  <c r="E44" i="14"/>
  <c r="F43" i="14"/>
  <c r="E43" i="14"/>
  <c r="F42" i="14"/>
  <c r="E42" i="14"/>
  <c r="F41" i="14"/>
  <c r="E41" i="14"/>
  <c r="AO40" i="14"/>
  <c r="AL40" i="14"/>
  <c r="AI40" i="14"/>
  <c r="AF40" i="14"/>
  <c r="AD40" i="14"/>
  <c r="F40" i="14" s="1"/>
  <c r="AC40" i="14"/>
  <c r="Z40" i="14"/>
  <c r="W40" i="14"/>
  <c r="T40" i="14"/>
  <c r="Q40" i="14"/>
  <c r="N40" i="14"/>
  <c r="K40" i="14"/>
  <c r="H40" i="14"/>
  <c r="E40" i="14" s="1"/>
  <c r="AO38" i="14"/>
  <c r="AL38" i="14"/>
  <c r="AI38" i="14"/>
  <c r="AF38" i="14"/>
  <c r="AD38" i="14"/>
  <c r="AD284" i="14" s="1"/>
  <c r="AC38" i="14"/>
  <c r="AA38" i="14"/>
  <c r="AA284" i="14" s="1"/>
  <c r="Z38" i="14"/>
  <c r="X38" i="14"/>
  <c r="W38" i="14"/>
  <c r="U38" i="14"/>
  <c r="T38" i="14"/>
  <c r="R38" i="14"/>
  <c r="Q38" i="14"/>
  <c r="O38" i="14"/>
  <c r="N38" i="14"/>
  <c r="L38" i="14"/>
  <c r="L284" i="14" s="1"/>
  <c r="K38" i="14"/>
  <c r="K284" i="14" s="1"/>
  <c r="I38" i="14"/>
  <c r="H38" i="14"/>
  <c r="F38" i="14"/>
  <c r="E38" i="14"/>
  <c r="AM37" i="14"/>
  <c r="AM283" i="14" s="1"/>
  <c r="AL37" i="14"/>
  <c r="AJ37" i="14"/>
  <c r="AJ283" i="14" s="1"/>
  <c r="AI37" i="14"/>
  <c r="AG37" i="14"/>
  <c r="AD37" i="14"/>
  <c r="AD283" i="14" s="1"/>
  <c r="AC37" i="14"/>
  <c r="AA37" i="14"/>
  <c r="AA283" i="14" s="1"/>
  <c r="Z37" i="14"/>
  <c r="X37" i="14"/>
  <c r="W37" i="14"/>
  <c r="U37" i="14"/>
  <c r="V37" i="14" s="1"/>
  <c r="T37" i="14"/>
  <c r="R37" i="14"/>
  <c r="O37" i="14"/>
  <c r="L37" i="14"/>
  <c r="K37" i="14"/>
  <c r="I37" i="14"/>
  <c r="H37" i="14"/>
  <c r="AM36" i="14"/>
  <c r="AM282" i="14" s="1"/>
  <c r="AL36" i="14"/>
  <c r="AJ36" i="14"/>
  <c r="AJ282" i="14" s="1"/>
  <c r="AI36" i="14"/>
  <c r="AG36" i="14"/>
  <c r="AG282" i="14" s="1"/>
  <c r="AD36" i="14"/>
  <c r="AD282" i="14" s="1"/>
  <c r="AA36" i="14"/>
  <c r="AA282" i="14" s="1"/>
  <c r="X36" i="14"/>
  <c r="U36" i="14"/>
  <c r="R36" i="14"/>
  <c r="Q36" i="14"/>
  <c r="O36" i="14"/>
  <c r="N36" i="14"/>
  <c r="L36" i="14"/>
  <c r="K36" i="14"/>
  <c r="I36" i="14"/>
  <c r="H36" i="14"/>
  <c r="AO35" i="14"/>
  <c r="AM35" i="14"/>
  <c r="AM281" i="14" s="1"/>
  <c r="AL35" i="14"/>
  <c r="AJ35" i="14"/>
  <c r="AJ281" i="14" s="1"/>
  <c r="AI35" i="14"/>
  <c r="AG35" i="14"/>
  <c r="AG281" i="14" s="1"/>
  <c r="AF35" i="14"/>
  <c r="AD35" i="14"/>
  <c r="AD281" i="14" s="1"/>
  <c r="AC35" i="14"/>
  <c r="AA35" i="14"/>
  <c r="AA281" i="14" s="1"/>
  <c r="Z35" i="14"/>
  <c r="X35" i="14"/>
  <c r="W35" i="14"/>
  <c r="U35" i="14"/>
  <c r="T35" i="14"/>
  <c r="R35" i="14"/>
  <c r="Q35" i="14"/>
  <c r="O35" i="14"/>
  <c r="N35" i="14"/>
  <c r="L35" i="14"/>
  <c r="K35" i="14"/>
  <c r="I35" i="14"/>
  <c r="H35" i="14"/>
  <c r="F35" i="14"/>
  <c r="E35" i="14"/>
  <c r="AM34" i="14"/>
  <c r="AL34" i="14"/>
  <c r="AJ34" i="14"/>
  <c r="AK34" i="14" s="1"/>
  <c r="AI34" i="14"/>
  <c r="AG34" i="14"/>
  <c r="AD34" i="14"/>
  <c r="AA34" i="14"/>
  <c r="X34" i="14"/>
  <c r="U34" i="14"/>
  <c r="R34" i="14"/>
  <c r="O34" i="14"/>
  <c r="F34" i="14" s="1"/>
  <c r="L34" i="14"/>
  <c r="K34" i="14"/>
  <c r="I34" i="14"/>
  <c r="H34" i="14"/>
  <c r="J34" i="14" s="1"/>
  <c r="F33" i="14"/>
  <c r="E33" i="14"/>
  <c r="F32" i="14"/>
  <c r="E32" i="14"/>
  <c r="AQ31" i="14"/>
  <c r="AO31" i="14"/>
  <c r="AK31" i="14"/>
  <c r="AH31" i="14"/>
  <c r="AE31" i="14"/>
  <c r="AB31" i="14"/>
  <c r="Y31" i="14"/>
  <c r="W31" i="14"/>
  <c r="V31" i="14"/>
  <c r="T31" i="14"/>
  <c r="T36" i="14" s="1"/>
  <c r="S31" i="14"/>
  <c r="P31" i="14"/>
  <c r="M31" i="14"/>
  <c r="F31" i="14"/>
  <c r="E31" i="14"/>
  <c r="F30" i="14"/>
  <c r="E30" i="14"/>
  <c r="AO29" i="14"/>
  <c r="AQ29" i="14" s="1"/>
  <c r="AM29" i="14"/>
  <c r="AL29" i="14"/>
  <c r="AN29" i="14" s="1"/>
  <c r="AJ29" i="14"/>
  <c r="AI29" i="14"/>
  <c r="AG29" i="14"/>
  <c r="AF29" i="14"/>
  <c r="AH29" i="14" s="1"/>
  <c r="AD29" i="14"/>
  <c r="AE29" i="14" s="1"/>
  <c r="AC29" i="14"/>
  <c r="AA29" i="14"/>
  <c r="Z29" i="14"/>
  <c r="X29" i="14"/>
  <c r="Y29" i="14" s="1"/>
  <c r="W29" i="14"/>
  <c r="U29" i="14"/>
  <c r="T29" i="14"/>
  <c r="R29" i="14"/>
  <c r="S29" i="14" s="1"/>
  <c r="Q29" i="14"/>
  <c r="O29" i="14"/>
  <c r="N29" i="14"/>
  <c r="L29" i="14"/>
  <c r="M29" i="14" s="1"/>
  <c r="K29" i="14"/>
  <c r="H29" i="14"/>
  <c r="E29" i="14" s="1"/>
  <c r="F29" i="14"/>
  <c r="F28" i="14"/>
  <c r="E28" i="14"/>
  <c r="AQ27" i="14"/>
  <c r="AO27" i="14"/>
  <c r="AO37" i="14" s="1"/>
  <c r="AK27" i="14"/>
  <c r="AF27" i="14"/>
  <c r="AF37" i="14" s="1"/>
  <c r="AE27" i="14"/>
  <c r="AB27" i="14"/>
  <c r="Y27" i="14"/>
  <c r="V27" i="14"/>
  <c r="Q27" i="14"/>
  <c r="Q37" i="14" s="1"/>
  <c r="N27" i="14"/>
  <c r="N37" i="14" s="1"/>
  <c r="M27" i="14"/>
  <c r="J27" i="14"/>
  <c r="F27" i="14"/>
  <c r="AO26" i="14"/>
  <c r="AO36" i="14" s="1"/>
  <c r="AK26" i="14"/>
  <c r="AF26" i="14"/>
  <c r="AF36" i="14" s="1"/>
  <c r="AC26" i="14"/>
  <c r="AC36" i="14" s="1"/>
  <c r="Z26" i="14"/>
  <c r="Z36" i="14" s="1"/>
  <c r="W26" i="14"/>
  <c r="W36" i="14" s="1"/>
  <c r="V26" i="14"/>
  <c r="S26" i="14"/>
  <c r="P26" i="14"/>
  <c r="M26" i="14"/>
  <c r="J26" i="14"/>
  <c r="F26" i="14"/>
  <c r="E26" i="14"/>
  <c r="G26" i="14" s="1"/>
  <c r="F25" i="14"/>
  <c r="E25" i="14"/>
  <c r="AO24" i="14"/>
  <c r="AQ24" i="14" s="1"/>
  <c r="AM24" i="14"/>
  <c r="AN24" i="14" s="1"/>
  <c r="AL24" i="14"/>
  <c r="AJ24" i="14"/>
  <c r="AI24" i="14"/>
  <c r="AG24" i="14"/>
  <c r="AD24" i="14"/>
  <c r="AC24" i="14"/>
  <c r="AE24" i="14" s="1"/>
  <c r="AA24" i="14"/>
  <c r="X24" i="14"/>
  <c r="W24" i="14"/>
  <c r="Y24" i="14" s="1"/>
  <c r="U24" i="14"/>
  <c r="T24" i="14"/>
  <c r="R24" i="14"/>
  <c r="Q24" i="14"/>
  <c r="S24" i="14" s="1"/>
  <c r="O24" i="14"/>
  <c r="N24" i="14"/>
  <c r="L24" i="14"/>
  <c r="K24" i="14"/>
  <c r="M24" i="14" s="1"/>
  <c r="I24" i="14"/>
  <c r="H24" i="14"/>
  <c r="F23" i="14"/>
  <c r="E23" i="14"/>
  <c r="F22" i="14"/>
  <c r="E22" i="14"/>
  <c r="F21" i="14"/>
  <c r="E21" i="14"/>
  <c r="F20" i="14"/>
  <c r="E20" i="14"/>
  <c r="AO19" i="14"/>
  <c r="AL19" i="14"/>
  <c r="AI19" i="14"/>
  <c r="AF19" i="14"/>
  <c r="AD19" i="14"/>
  <c r="AC19" i="14"/>
  <c r="Z19" i="14"/>
  <c r="W19" i="14"/>
  <c r="T19" i="14"/>
  <c r="Q19" i="14"/>
  <c r="N19" i="14"/>
  <c r="K19" i="14"/>
  <c r="H19" i="14"/>
  <c r="F19" i="14"/>
  <c r="F18" i="14"/>
  <c r="E18" i="14"/>
  <c r="AE17" i="14"/>
  <c r="F17" i="14"/>
  <c r="G17" i="14" s="1"/>
  <c r="E17" i="14"/>
  <c r="AE16" i="14"/>
  <c r="F16" i="14"/>
  <c r="E16" i="14"/>
  <c r="F15" i="14"/>
  <c r="E15" i="14"/>
  <c r="AO14" i="14"/>
  <c r="AL14" i="14"/>
  <c r="AI14" i="14"/>
  <c r="AF14" i="14"/>
  <c r="AD14" i="14"/>
  <c r="AC14" i="14"/>
  <c r="AE14" i="14" s="1"/>
  <c r="AA14" i="14"/>
  <c r="Z14" i="14"/>
  <c r="X14" i="14"/>
  <c r="W14" i="14"/>
  <c r="T14" i="14"/>
  <c r="R14" i="14"/>
  <c r="Q14" i="14"/>
  <c r="N14" i="14"/>
  <c r="K14" i="14"/>
  <c r="H14" i="14"/>
  <c r="E14" i="14" s="1"/>
  <c r="F14" i="14"/>
  <c r="F13" i="14"/>
  <c r="E13" i="14"/>
  <c r="AE12" i="14"/>
  <c r="F12" i="14"/>
  <c r="E12" i="14"/>
  <c r="AE11" i="14"/>
  <c r="F11" i="14"/>
  <c r="G11" i="14" s="1"/>
  <c r="E11" i="14"/>
  <c r="F10" i="14"/>
  <c r="E10" i="14"/>
  <c r="AO9" i="14"/>
  <c r="AL9" i="14"/>
  <c r="AI9" i="14"/>
  <c r="AG9" i="14"/>
  <c r="AF9" i="14"/>
  <c r="AD9" i="14"/>
  <c r="AC9" i="14"/>
  <c r="AA9" i="14"/>
  <c r="Z9" i="14"/>
  <c r="X9" i="14"/>
  <c r="F9" i="14" s="1"/>
  <c r="W9" i="14"/>
  <c r="T9" i="14"/>
  <c r="R9" i="14"/>
  <c r="Q9" i="14"/>
  <c r="N9" i="14"/>
  <c r="K9" i="14"/>
  <c r="H9" i="14"/>
  <c r="E9" i="14"/>
  <c r="E19" i="14" l="1"/>
  <c r="AK24" i="14"/>
  <c r="AQ26" i="14"/>
  <c r="P29" i="14"/>
  <c r="V29" i="14"/>
  <c r="AB29" i="14"/>
  <c r="J37" i="14"/>
  <c r="V45" i="14"/>
  <c r="AB45" i="14"/>
  <c r="G46" i="14"/>
  <c r="E51" i="14"/>
  <c r="S71" i="14"/>
  <c r="AH71" i="14"/>
  <c r="G80" i="14"/>
  <c r="S89" i="14"/>
  <c r="J94" i="14"/>
  <c r="Y94" i="14"/>
  <c r="AH94" i="14"/>
  <c r="J97" i="14"/>
  <c r="V97" i="14"/>
  <c r="Y97" i="14"/>
  <c r="P104" i="14"/>
  <c r="V104" i="14"/>
  <c r="AK104" i="14"/>
  <c r="E117" i="14"/>
  <c r="J119" i="14"/>
  <c r="P119" i="14"/>
  <c r="V119" i="14"/>
  <c r="AB119" i="14"/>
  <c r="AH119" i="14"/>
  <c r="AN119" i="14"/>
  <c r="AQ121" i="14"/>
  <c r="AH124" i="14"/>
  <c r="AK124" i="14"/>
  <c r="AN124" i="14"/>
  <c r="G125" i="14"/>
  <c r="M129" i="14"/>
  <c r="S129" i="14"/>
  <c r="Y129" i="14"/>
  <c r="AE129" i="14"/>
  <c r="AK129" i="14"/>
  <c r="G132" i="14"/>
  <c r="J134" i="14"/>
  <c r="P134" i="14"/>
  <c r="V134" i="14"/>
  <c r="AB134" i="14"/>
  <c r="AH134" i="14"/>
  <c r="AN134" i="14"/>
  <c r="G139" i="14"/>
  <c r="M139" i="14"/>
  <c r="S139" i="14"/>
  <c r="Y139" i="14"/>
  <c r="AK139" i="14"/>
  <c r="G141" i="14"/>
  <c r="M141" i="14"/>
  <c r="M155" i="14"/>
  <c r="P155" i="14"/>
  <c r="S155" i="14"/>
  <c r="V155" i="14"/>
  <c r="G9" i="14"/>
  <c r="AE9" i="14"/>
  <c r="G12" i="14"/>
  <c r="G14" i="14"/>
  <c r="G16" i="14"/>
  <c r="J24" i="14"/>
  <c r="P24" i="14"/>
  <c r="V24" i="14"/>
  <c r="AK29" i="14"/>
  <c r="G31" i="14"/>
  <c r="M34" i="14"/>
  <c r="AN34" i="14"/>
  <c r="J36" i="14"/>
  <c r="P36" i="14"/>
  <c r="P37" i="14"/>
  <c r="AH37" i="14"/>
  <c r="G47" i="14"/>
  <c r="G73" i="14"/>
  <c r="P77" i="14"/>
  <c r="S77" i="14"/>
  <c r="G114" i="14"/>
  <c r="G117" i="14"/>
  <c r="M124" i="14"/>
  <c r="S124" i="14"/>
  <c r="Y124" i="14"/>
  <c r="G137" i="14"/>
  <c r="N154" i="14"/>
  <c r="AE154" i="14"/>
  <c r="Y155" i="14"/>
  <c r="P157" i="14"/>
  <c r="AE165" i="14"/>
  <c r="G168" i="14"/>
  <c r="E185" i="14"/>
  <c r="S190" i="14"/>
  <c r="AH192" i="14"/>
  <c r="M193" i="14"/>
  <c r="S221" i="14"/>
  <c r="V221" i="14"/>
  <c r="Y221" i="14"/>
  <c r="S227" i="14"/>
  <c r="V227" i="14"/>
  <c r="AK228" i="14"/>
  <c r="S232" i="14"/>
  <c r="AK232" i="14"/>
  <c r="G235" i="14"/>
  <c r="AN237" i="14"/>
  <c r="G239" i="14"/>
  <c r="G242" i="14"/>
  <c r="P247" i="14"/>
  <c r="V247" i="14"/>
  <c r="AE247" i="14"/>
  <c r="AN247" i="14"/>
  <c r="G249" i="14"/>
  <c r="E270" i="14"/>
  <c r="V275" i="14"/>
  <c r="Y308" i="14"/>
  <c r="Y156" i="14"/>
  <c r="AB156" i="14"/>
  <c r="AE156" i="14"/>
  <c r="M157" i="14"/>
  <c r="M175" i="14"/>
  <c r="S175" i="14"/>
  <c r="AB175" i="14"/>
  <c r="AH175" i="14"/>
  <c r="AN175" i="14"/>
  <c r="M180" i="14"/>
  <c r="S180" i="14"/>
  <c r="Y180" i="14"/>
  <c r="AE180" i="14"/>
  <c r="AK180" i="14"/>
  <c r="G182" i="14"/>
  <c r="Y183" i="14"/>
  <c r="AK192" i="14"/>
  <c r="V193" i="14"/>
  <c r="F196" i="14"/>
  <c r="F206" i="14"/>
  <c r="E214" i="14"/>
  <c r="AQ214" i="14"/>
  <c r="J216" i="14"/>
  <c r="P216" i="14"/>
  <c r="V216" i="14"/>
  <c r="AH216" i="14"/>
  <c r="AN216" i="14"/>
  <c r="AO216" i="14"/>
  <c r="AQ216" i="14" s="1"/>
  <c r="E218" i="14"/>
  <c r="G218" i="14" s="1"/>
  <c r="G219" i="14"/>
  <c r="S219" i="14"/>
  <c r="Y219" i="14"/>
  <c r="AK219" i="14"/>
  <c r="F221" i="14"/>
  <c r="G221" i="14" s="1"/>
  <c r="AN221" i="14"/>
  <c r="G224" i="14"/>
  <c r="P228" i="14"/>
  <c r="F232" i="14"/>
  <c r="G232" i="14" s="1"/>
  <c r="S242" i="14"/>
  <c r="G247" i="14"/>
  <c r="S253" i="14"/>
  <c r="AE253" i="14"/>
  <c r="AH253" i="14"/>
  <c r="AN253" i="14"/>
  <c r="AE255" i="14"/>
  <c r="M256" i="14"/>
  <c r="V256" i="14"/>
  <c r="AH256" i="14"/>
  <c r="AN256" i="14"/>
  <c r="S260" i="14"/>
  <c r="AB260" i="14"/>
  <c r="S262" i="14"/>
  <c r="Y262" i="14"/>
  <c r="AB262" i="14"/>
  <c r="P263" i="14"/>
  <c r="S263" i="14"/>
  <c r="Y263" i="14"/>
  <c r="AB263" i="14"/>
  <c r="AQ263" i="14"/>
  <c r="S265" i="14"/>
  <c r="Y265" i="14"/>
  <c r="AE265" i="14"/>
  <c r="V305" i="14"/>
  <c r="AE305" i="14"/>
  <c r="V306" i="14"/>
  <c r="V307" i="14"/>
  <c r="G311" i="14"/>
  <c r="P311" i="14"/>
  <c r="Y311" i="14"/>
  <c r="AN311" i="14"/>
  <c r="Z34" i="14"/>
  <c r="AB34" i="14" s="1"/>
  <c r="AF34" i="14"/>
  <c r="AH34" i="14" s="1"/>
  <c r="AQ36" i="14"/>
  <c r="AO34" i="14"/>
  <c r="AQ34" i="14" s="1"/>
  <c r="S37" i="14"/>
  <c r="Q34" i="14"/>
  <c r="S34" i="14" s="1"/>
  <c r="E36" i="14"/>
  <c r="T34" i="14"/>
  <c r="V34" i="14" s="1"/>
  <c r="E157" i="14"/>
  <c r="H154" i="14"/>
  <c r="S157" i="14"/>
  <c r="Q154" i="14"/>
  <c r="AO154" i="14"/>
  <c r="AQ154" i="14" s="1"/>
  <c r="AQ156" i="14"/>
  <c r="E156" i="14"/>
  <c r="K154" i="14"/>
  <c r="J154" i="14"/>
  <c r="P154" i="14"/>
  <c r="V154" i="14"/>
  <c r="AK154" i="14"/>
  <c r="M156" i="14"/>
  <c r="AH156" i="14"/>
  <c r="V157" i="14"/>
  <c r="AB157" i="14"/>
  <c r="AK157" i="14"/>
  <c r="Y36" i="14"/>
  <c r="W34" i="14"/>
  <c r="Y34" i="14" s="1"/>
  <c r="AE36" i="14"/>
  <c r="AC34" i="14"/>
  <c r="AE34" i="14" s="1"/>
  <c r="E37" i="14"/>
  <c r="N34" i="14"/>
  <c r="P34" i="14" s="1"/>
  <c r="AQ37" i="14"/>
  <c r="G29" i="14"/>
  <c r="V36" i="14"/>
  <c r="G45" i="14"/>
  <c r="G109" i="14"/>
  <c r="E155" i="14"/>
  <c r="G155" i="14" s="1"/>
  <c r="W154" i="14"/>
  <c r="M154" i="14"/>
  <c r="S154" i="14"/>
  <c r="Y154" i="14"/>
  <c r="G156" i="14"/>
  <c r="P156" i="14"/>
  <c r="J157" i="14"/>
  <c r="Y157" i="14"/>
  <c r="AH157" i="14"/>
  <c r="G175" i="14"/>
  <c r="F24" i="14"/>
  <c r="Z24" i="14"/>
  <c r="AF24" i="14"/>
  <c r="AH24" i="14" s="1"/>
  <c r="Y26" i="14"/>
  <c r="AB26" i="14"/>
  <c r="AE26" i="14"/>
  <c r="AH26" i="14"/>
  <c r="E27" i="14"/>
  <c r="G27" i="14" s="1"/>
  <c r="P27" i="14"/>
  <c r="S27" i="14"/>
  <c r="AH27" i="14"/>
  <c r="E34" i="14"/>
  <c r="G34" i="14" s="1"/>
  <c r="F36" i="14"/>
  <c r="G36" i="14" s="1"/>
  <c r="AB36" i="14"/>
  <c r="AD301" i="14"/>
  <c r="AD294" i="14"/>
  <c r="AH36" i="14"/>
  <c r="AJ301" i="14"/>
  <c r="AJ294" i="14"/>
  <c r="AN36" i="14"/>
  <c r="F37" i="14"/>
  <c r="G37" i="14" s="1"/>
  <c r="AB37" i="14"/>
  <c r="AD302" i="14"/>
  <c r="AD295" i="14"/>
  <c r="AJ302" i="14"/>
  <c r="AJ295" i="14"/>
  <c r="AN37" i="14"/>
  <c r="L303" i="14"/>
  <c r="L296" i="14"/>
  <c r="AA303" i="14"/>
  <c r="AA296" i="14"/>
  <c r="AD303" i="14"/>
  <c r="AD296" i="14"/>
  <c r="Z306" i="14"/>
  <c r="Z287" i="14"/>
  <c r="Z307" i="14"/>
  <c r="Z288" i="14"/>
  <c r="AB288" i="14" s="1"/>
  <c r="Z308" i="14"/>
  <c r="E308" i="14" s="1"/>
  <c r="Z289" i="14"/>
  <c r="E52" i="14"/>
  <c r="E287" i="14"/>
  <c r="H286" i="14"/>
  <c r="E53" i="14"/>
  <c r="E288" i="14"/>
  <c r="E289" i="14"/>
  <c r="I296" i="14"/>
  <c r="F290" i="14"/>
  <c r="I83" i="14"/>
  <c r="L83" i="14"/>
  <c r="O83" i="14"/>
  <c r="R83" i="14"/>
  <c r="T83" i="14"/>
  <c r="T281" i="14" s="1"/>
  <c r="X83" i="14"/>
  <c r="Z83" i="14"/>
  <c r="AB83" i="14" s="1"/>
  <c r="H84" i="14"/>
  <c r="K84" i="14"/>
  <c r="N84" i="14"/>
  <c r="Q84" i="14"/>
  <c r="U84" i="14"/>
  <c r="W84" i="14"/>
  <c r="AC84" i="14"/>
  <c r="AF84" i="14"/>
  <c r="AF282" i="14" s="1"/>
  <c r="AI84" i="14"/>
  <c r="H85" i="14"/>
  <c r="H283" i="14" s="1"/>
  <c r="K85" i="14"/>
  <c r="N85" i="14"/>
  <c r="N283" i="14" s="1"/>
  <c r="R85" i="14"/>
  <c r="T85" i="14"/>
  <c r="T283" i="14" s="1"/>
  <c r="X85" i="14"/>
  <c r="Z85" i="14"/>
  <c r="AB85" i="14" s="1"/>
  <c r="AF85" i="14"/>
  <c r="AL85" i="14"/>
  <c r="AL283" i="14" s="1"/>
  <c r="AO85" i="14"/>
  <c r="AO283" i="14" s="1"/>
  <c r="I86" i="14"/>
  <c r="O86" i="14"/>
  <c r="O284" i="14" s="1"/>
  <c r="R86" i="14"/>
  <c r="R284" i="14" s="1"/>
  <c r="U86" i="14"/>
  <c r="U284" i="14" s="1"/>
  <c r="X86" i="14"/>
  <c r="X284" i="14" s="1"/>
  <c r="AG303" i="14"/>
  <c r="AG296" i="14"/>
  <c r="AJ303" i="14"/>
  <c r="AJ296" i="14"/>
  <c r="AM303" i="14"/>
  <c r="AM296" i="14"/>
  <c r="AJ304" i="14"/>
  <c r="F304" i="14" s="1"/>
  <c r="AJ297" i="14"/>
  <c r="F297" i="14" s="1"/>
  <c r="AJ285" i="14"/>
  <c r="F285" i="14" s="1"/>
  <c r="F89" i="14"/>
  <c r="G89" i="14" s="1"/>
  <c r="E94" i="14"/>
  <c r="G94" i="14" s="1"/>
  <c r="F104" i="14"/>
  <c r="Z104" i="14"/>
  <c r="E104" i="14" s="1"/>
  <c r="E107" i="14"/>
  <c r="G107" i="14" s="1"/>
  <c r="P107" i="14"/>
  <c r="E112" i="14"/>
  <c r="G112" i="14" s="1"/>
  <c r="E119" i="14"/>
  <c r="G119" i="14" s="1"/>
  <c r="E120" i="14"/>
  <c r="G120" i="14" s="1"/>
  <c r="E121" i="14"/>
  <c r="G121" i="14" s="1"/>
  <c r="AH121" i="14"/>
  <c r="E122" i="14"/>
  <c r="G122" i="14" s="1"/>
  <c r="AQ122" i="14"/>
  <c r="F124" i="14"/>
  <c r="G124" i="14" s="1"/>
  <c r="E129" i="14"/>
  <c r="G129" i="14" s="1"/>
  <c r="F134" i="14"/>
  <c r="G134" i="14" s="1"/>
  <c r="F157" i="14"/>
  <c r="G157" i="14" s="1"/>
  <c r="N190" i="14"/>
  <c r="J175" i="14"/>
  <c r="AN190" i="14"/>
  <c r="Y193" i="14"/>
  <c r="AE193" i="14"/>
  <c r="AK193" i="14"/>
  <c r="W226" i="14"/>
  <c r="Y226" i="14" s="1"/>
  <c r="E227" i="14"/>
  <c r="AO226" i="14"/>
  <c r="AQ226" i="14" s="1"/>
  <c r="Q226" i="14"/>
  <c r="S226" i="14" s="1"/>
  <c r="E228" i="14"/>
  <c r="P226" i="14"/>
  <c r="AK226" i="14"/>
  <c r="G227" i="14"/>
  <c r="S228" i="14"/>
  <c r="E229" i="14"/>
  <c r="Y229" i="14"/>
  <c r="AN229" i="14"/>
  <c r="E256" i="14"/>
  <c r="N253" i="14"/>
  <c r="P253" i="14" s="1"/>
  <c r="E277" i="14"/>
  <c r="Q275" i="14"/>
  <c r="AN277" i="14"/>
  <c r="AL275" i="14"/>
  <c r="E278" i="14"/>
  <c r="N275" i="14"/>
  <c r="G265" i="14"/>
  <c r="Y275" i="14"/>
  <c r="G277" i="14"/>
  <c r="Y277" i="14"/>
  <c r="P278" i="14"/>
  <c r="Y278" i="14"/>
  <c r="I281" i="14"/>
  <c r="L281" i="14"/>
  <c r="O281" i="14"/>
  <c r="R281" i="14"/>
  <c r="X281" i="14"/>
  <c r="AA300" i="14"/>
  <c r="AA293" i="14"/>
  <c r="AA280" i="14"/>
  <c r="AD300" i="14"/>
  <c r="AD293" i="14"/>
  <c r="AD280" i="14"/>
  <c r="AG300" i="14"/>
  <c r="AG293" i="14"/>
  <c r="AJ300" i="14"/>
  <c r="AJ299" i="14" s="1"/>
  <c r="AJ293" i="14"/>
  <c r="AJ280" i="14"/>
  <c r="AM300" i="14"/>
  <c r="AM293" i="14"/>
  <c r="AM280" i="14"/>
  <c r="K282" i="14"/>
  <c r="M36" i="14"/>
  <c r="Q282" i="14"/>
  <c r="S36" i="14"/>
  <c r="U282" i="14"/>
  <c r="AA301" i="14"/>
  <c r="AA294" i="14"/>
  <c r="AG301" i="14"/>
  <c r="AG294" i="14"/>
  <c r="AI282" i="14"/>
  <c r="AK282" i="14" s="1"/>
  <c r="AK36" i="14"/>
  <c r="AM301" i="14"/>
  <c r="AM294" i="14"/>
  <c r="K283" i="14"/>
  <c r="M37" i="14"/>
  <c r="Y37" i="14"/>
  <c r="AA302" i="14"/>
  <c r="AA295" i="14"/>
  <c r="AE37" i="14"/>
  <c r="AK37" i="14"/>
  <c r="AM302" i="14"/>
  <c r="AM295" i="14"/>
  <c r="K303" i="14"/>
  <c r="K296" i="14"/>
  <c r="F287" i="14"/>
  <c r="G287" i="14" s="1"/>
  <c r="I286" i="14"/>
  <c r="S287" i="14"/>
  <c r="R286" i="14"/>
  <c r="S286" i="14" s="1"/>
  <c r="V287" i="14"/>
  <c r="U286" i="14"/>
  <c r="V286" i="14" s="1"/>
  <c r="Y287" i="14"/>
  <c r="X286" i="14"/>
  <c r="Y286" i="14" s="1"/>
  <c r="G288" i="14"/>
  <c r="G289" i="14"/>
  <c r="H83" i="14"/>
  <c r="K83" i="14"/>
  <c r="K281" i="14" s="1"/>
  <c r="N83" i="14"/>
  <c r="N281" i="14" s="1"/>
  <c r="Q83" i="14"/>
  <c r="Q281" i="14" s="1"/>
  <c r="U83" i="14"/>
  <c r="V83" i="14" s="1"/>
  <c r="W83" i="14"/>
  <c r="W281" i="14" s="1"/>
  <c r="AC83" i="14"/>
  <c r="AC281" i="14" s="1"/>
  <c r="AF83" i="14"/>
  <c r="AF281" i="14" s="1"/>
  <c r="AI83" i="14"/>
  <c r="AI281" i="14" s="1"/>
  <c r="AL83" i="14"/>
  <c r="AL281" i="14" s="1"/>
  <c r="AO83" i="14"/>
  <c r="AO281" i="14" s="1"/>
  <c r="I84" i="14"/>
  <c r="L84" i="14"/>
  <c r="O84" i="14"/>
  <c r="R84" i="14"/>
  <c r="T84" i="14"/>
  <c r="X84" i="14"/>
  <c r="X282" i="14" s="1"/>
  <c r="Z84" i="14"/>
  <c r="AL84" i="14"/>
  <c r="AO84" i="14"/>
  <c r="I85" i="14"/>
  <c r="I283" i="14" s="1"/>
  <c r="L85" i="14"/>
  <c r="L283" i="14" s="1"/>
  <c r="O85" i="14"/>
  <c r="P85" i="14" s="1"/>
  <c r="Q85" i="14"/>
  <c r="Q283" i="14" s="1"/>
  <c r="U85" i="14"/>
  <c r="V85" i="14" s="1"/>
  <c r="W85" i="14"/>
  <c r="W283" i="14" s="1"/>
  <c r="AC85" i="14"/>
  <c r="AE85" i="14" s="1"/>
  <c r="AG85" i="14"/>
  <c r="AI85" i="14"/>
  <c r="AK85" i="14" s="1"/>
  <c r="H86" i="14"/>
  <c r="N86" i="14"/>
  <c r="N284" i="14" s="1"/>
  <c r="Q86" i="14"/>
  <c r="Q284" i="14" s="1"/>
  <c r="T86" i="14"/>
  <c r="T284" i="14" s="1"/>
  <c r="W86" i="14"/>
  <c r="W284" i="14" s="1"/>
  <c r="Z86" i="14"/>
  <c r="Z284" i="14" s="1"/>
  <c r="AC86" i="14"/>
  <c r="AC284" i="14" s="1"/>
  <c r="AF86" i="14"/>
  <c r="AF284" i="14" s="1"/>
  <c r="AI86" i="14"/>
  <c r="AI284" i="14" s="1"/>
  <c r="AL86" i="14"/>
  <c r="AL284" i="14" s="1"/>
  <c r="AO86" i="14"/>
  <c r="AO284" i="14" s="1"/>
  <c r="F165" i="14"/>
  <c r="G165" i="14" s="1"/>
  <c r="N170" i="14"/>
  <c r="E170" i="14" s="1"/>
  <c r="G170" i="14" s="1"/>
  <c r="E173" i="14"/>
  <c r="G173" i="14" s="1"/>
  <c r="V175" i="14"/>
  <c r="AO190" i="14"/>
  <c r="AQ190" i="14" s="1"/>
  <c r="AQ193" i="14"/>
  <c r="G180" i="14"/>
  <c r="Y190" i="14"/>
  <c r="AE190" i="14"/>
  <c r="AK190" i="14"/>
  <c r="P193" i="14"/>
  <c r="AB193" i="14"/>
  <c r="AN193" i="14"/>
  <c r="K226" i="14"/>
  <c r="M229" i="14"/>
  <c r="T226" i="14"/>
  <c r="V226" i="14" s="1"/>
  <c r="M226" i="14"/>
  <c r="Y227" i="14"/>
  <c r="V228" i="14"/>
  <c r="G229" i="14"/>
  <c r="P229" i="14"/>
  <c r="V229" i="14"/>
  <c r="AK229" i="14"/>
  <c r="E255" i="14"/>
  <c r="G255" i="14" s="1"/>
  <c r="W253" i="14"/>
  <c r="E253" i="14" s="1"/>
  <c r="G253" i="14" s="1"/>
  <c r="G256" i="14"/>
  <c r="P256" i="14"/>
  <c r="G260" i="14"/>
  <c r="AO275" i="14"/>
  <c r="AQ275" i="14" s="1"/>
  <c r="AQ277" i="14"/>
  <c r="S275" i="14"/>
  <c r="AB275" i="14"/>
  <c r="AN275" i="14"/>
  <c r="S277" i="14"/>
  <c r="AB277" i="14"/>
  <c r="G278" i="14"/>
  <c r="S278" i="14"/>
  <c r="AB278" i="14"/>
  <c r="AN278" i="14"/>
  <c r="J180" i="14"/>
  <c r="AF193" i="14"/>
  <c r="AF190" i="14" s="1"/>
  <c r="AH190" i="14" s="1"/>
  <c r="E216" i="14"/>
  <c r="G216" i="14" s="1"/>
  <c r="E217" i="14"/>
  <c r="G217" i="14" s="1"/>
  <c r="Y217" i="14"/>
  <c r="S218" i="14"/>
  <c r="V218" i="14"/>
  <c r="Y218" i="14"/>
  <c r="AQ218" i="14"/>
  <c r="AQ262" i="14"/>
  <c r="E268" i="14"/>
  <c r="G268" i="14" s="1"/>
  <c r="AQ286" i="14"/>
  <c r="F192" i="14"/>
  <c r="G192" i="14" s="1"/>
  <c r="F228" i="14"/>
  <c r="G228" i="14" s="1"/>
  <c r="AB289" i="14"/>
  <c r="AQ288" i="14"/>
  <c r="AQ289" i="14"/>
  <c r="AB306" i="14"/>
  <c r="G308" i="14"/>
  <c r="AB308" i="14"/>
  <c r="E314" i="14"/>
  <c r="G314" i="14" s="1"/>
  <c r="P283" i="14" l="1"/>
  <c r="P302" i="14" s="1"/>
  <c r="E24" i="14"/>
  <c r="AF283" i="14"/>
  <c r="AO303" i="14"/>
  <c r="AO296" i="14"/>
  <c r="AI303" i="14"/>
  <c r="AI296" i="14"/>
  <c r="AC303" i="14"/>
  <c r="AC296" i="14"/>
  <c r="W303" i="14"/>
  <c r="W296" i="14"/>
  <c r="Q303" i="14"/>
  <c r="Q296" i="14"/>
  <c r="W302" i="14"/>
  <c r="W295" i="14"/>
  <c r="Q302" i="14"/>
  <c r="Q295" i="14"/>
  <c r="L302" i="14"/>
  <c r="L295" i="14"/>
  <c r="M283" i="14"/>
  <c r="M302" i="14" s="1"/>
  <c r="AL300" i="14"/>
  <c r="AL293" i="14"/>
  <c r="AF300" i="14"/>
  <c r="AF293" i="14"/>
  <c r="AF280" i="14"/>
  <c r="W300" i="14"/>
  <c r="W293" i="14"/>
  <c r="Q300" i="14"/>
  <c r="Q293" i="14"/>
  <c r="Q280" i="14"/>
  <c r="K300" i="14"/>
  <c r="K293" i="14"/>
  <c r="K280" i="14"/>
  <c r="AK301" i="14"/>
  <c r="U303" i="14"/>
  <c r="U296" i="14"/>
  <c r="O303" i="14"/>
  <c r="O296" i="14"/>
  <c r="F284" i="14"/>
  <c r="AO302" i="14"/>
  <c r="AQ302" i="14" s="1"/>
  <c r="AO295" i="14"/>
  <c r="AQ295" i="14" s="1"/>
  <c r="AQ283" i="14"/>
  <c r="AF302" i="14"/>
  <c r="AF295" i="14"/>
  <c r="AL303" i="14"/>
  <c r="AL296" i="14"/>
  <c r="AF303" i="14"/>
  <c r="AF296" i="14"/>
  <c r="Z303" i="14"/>
  <c r="Z296" i="14"/>
  <c r="T303" i="14"/>
  <c r="T296" i="14"/>
  <c r="N303" i="14"/>
  <c r="N296" i="14"/>
  <c r="I302" i="14"/>
  <c r="I295" i="14"/>
  <c r="J283" i="14"/>
  <c r="J302" i="14" s="1"/>
  <c r="X301" i="14"/>
  <c r="X294" i="14"/>
  <c r="AO300" i="14"/>
  <c r="AO293" i="14"/>
  <c r="AI300" i="14"/>
  <c r="AI293" i="14"/>
  <c r="AC300" i="14"/>
  <c r="AC293" i="14"/>
  <c r="AE281" i="14"/>
  <c r="N300" i="14"/>
  <c r="N293" i="14"/>
  <c r="X303" i="14"/>
  <c r="X296" i="14"/>
  <c r="R303" i="14"/>
  <c r="R296" i="14"/>
  <c r="AL302" i="14"/>
  <c r="AL295" i="14"/>
  <c r="T302" i="14"/>
  <c r="T295" i="14"/>
  <c r="N302" i="14"/>
  <c r="N295" i="14"/>
  <c r="H302" i="14"/>
  <c r="H295" i="14"/>
  <c r="AF301" i="14"/>
  <c r="AF294" i="14"/>
  <c r="AH282" i="14"/>
  <c r="T300" i="14"/>
  <c r="T293" i="14"/>
  <c r="E226" i="14"/>
  <c r="G226" i="14" s="1"/>
  <c r="AH193" i="14"/>
  <c r="E86" i="14"/>
  <c r="AH85" i="14"/>
  <c r="AH283" i="14" s="1"/>
  <c r="AH302" i="14" s="1"/>
  <c r="AG82" i="14"/>
  <c r="AO82" i="14"/>
  <c r="AQ82" i="14" s="1"/>
  <c r="AB84" i="14"/>
  <c r="Z82" i="14"/>
  <c r="AB82" i="14" s="1"/>
  <c r="T82" i="14"/>
  <c r="O82" i="14"/>
  <c r="F84" i="14"/>
  <c r="I82" i="14"/>
  <c r="F286" i="14"/>
  <c r="H284" i="14"/>
  <c r="AI283" i="14"/>
  <c r="U283" i="14"/>
  <c r="U301" i="14"/>
  <c r="U294" i="14"/>
  <c r="Q301" i="14"/>
  <c r="Q294" i="14"/>
  <c r="I282" i="14"/>
  <c r="AN293" i="14"/>
  <c r="AM292" i="14"/>
  <c r="AH293" i="14"/>
  <c r="AE293" i="14"/>
  <c r="AD292" i="14"/>
  <c r="X300" i="14"/>
  <c r="X293" i="14"/>
  <c r="Y281" i="14"/>
  <c r="R300" i="14"/>
  <c r="R293" i="14"/>
  <c r="S281" i="14"/>
  <c r="L300" i="14"/>
  <c r="L293" i="14"/>
  <c r="M281" i="14"/>
  <c r="M300" i="14" s="1"/>
  <c r="P275" i="14"/>
  <c r="E275" i="14"/>
  <c r="G275" i="14" s="1"/>
  <c r="Y253" i="14"/>
  <c r="E193" i="14"/>
  <c r="G193" i="14" s="1"/>
  <c r="Y85" i="14"/>
  <c r="S85" i="14"/>
  <c r="AI82" i="14"/>
  <c r="AK82" i="14" s="1"/>
  <c r="AC82" i="14"/>
  <c r="AE82" i="14" s="1"/>
  <c r="V84" i="14"/>
  <c r="U82" i="14"/>
  <c r="V82" i="14" s="1"/>
  <c r="N82" i="14"/>
  <c r="E84" i="14"/>
  <c r="H82" i="14"/>
  <c r="Y83" i="14"/>
  <c r="S83" i="14"/>
  <c r="Z286" i="14"/>
  <c r="AB286" i="14" s="1"/>
  <c r="AB287" i="14"/>
  <c r="F303" i="14"/>
  <c r="AB283" i="14"/>
  <c r="AB302" i="14" s="1"/>
  <c r="X283" i="14"/>
  <c r="X280" i="14" s="1"/>
  <c r="R283" i="14"/>
  <c r="N282" i="14"/>
  <c r="H282" i="14"/>
  <c r="AK84" i="14"/>
  <c r="AC282" i="14"/>
  <c r="AB24" i="14"/>
  <c r="AQ85" i="14"/>
  <c r="AO282" i="14"/>
  <c r="Z282" i="14"/>
  <c r="F85" i="14"/>
  <c r="AL82" i="14"/>
  <c r="X82" i="14"/>
  <c r="Y84" i="14"/>
  <c r="R82" i="14"/>
  <c r="S84" i="14"/>
  <c r="L82" i="14"/>
  <c r="E83" i="14"/>
  <c r="AN295" i="14"/>
  <c r="AK283" i="14"/>
  <c r="AK302" i="14" s="1"/>
  <c r="AG283" i="14"/>
  <c r="AC283" i="14"/>
  <c r="O283" i="14"/>
  <c r="K302" i="14"/>
  <c r="K295" i="14"/>
  <c r="AI301" i="14"/>
  <c r="AI294" i="14"/>
  <c r="AH294" i="14"/>
  <c r="O282" i="14"/>
  <c r="K301" i="14"/>
  <c r="K294" i="14"/>
  <c r="AM299" i="14"/>
  <c r="AK293" i="14"/>
  <c r="AJ292" i="14"/>
  <c r="AE300" i="14"/>
  <c r="AD299" i="14"/>
  <c r="AA292" i="14"/>
  <c r="AA299" i="14"/>
  <c r="U281" i="14"/>
  <c r="F281" i="14" s="1"/>
  <c r="O300" i="14"/>
  <c r="P281" i="14"/>
  <c r="P300" i="14" s="1"/>
  <c r="O293" i="14"/>
  <c r="I300" i="14"/>
  <c r="I293" i="14"/>
  <c r="I280" i="14"/>
  <c r="E190" i="14"/>
  <c r="G190" i="14" s="1"/>
  <c r="P190" i="14"/>
  <c r="G104" i="14"/>
  <c r="F86" i="14"/>
  <c r="E85" i="14"/>
  <c r="AF82" i="14"/>
  <c r="W82" i="14"/>
  <c r="Q82" i="14"/>
  <c r="K82" i="14"/>
  <c r="F83" i="14"/>
  <c r="G83" i="14" s="1"/>
  <c r="F296" i="14"/>
  <c r="E286" i="14"/>
  <c r="AB307" i="14"/>
  <c r="E307" i="14"/>
  <c r="G307" i="14" s="1"/>
  <c r="E306" i="14"/>
  <c r="G306" i="14" s="1"/>
  <c r="Z305" i="14"/>
  <c r="AN283" i="14"/>
  <c r="AN302" i="14" s="1"/>
  <c r="Z283" i="14"/>
  <c r="AL282" i="14"/>
  <c r="AL280" i="14" s="1"/>
  <c r="AK294" i="14"/>
  <c r="R282" i="14"/>
  <c r="L282" i="14"/>
  <c r="L280" i="14" s="1"/>
  <c r="M280" i="14" s="1"/>
  <c r="Z281" i="14"/>
  <c r="H281" i="14"/>
  <c r="G24" i="14"/>
  <c r="W282" i="14"/>
  <c r="W280" i="14" s="1"/>
  <c r="E154" i="14"/>
  <c r="G154" i="14" s="1"/>
  <c r="T282" i="14"/>
  <c r="AC280" i="14" l="1"/>
  <c r="AE280" i="14" s="1"/>
  <c r="Y280" i="14"/>
  <c r="Z300" i="14"/>
  <c r="Z293" i="14"/>
  <c r="Z280" i="14"/>
  <c r="AB281" i="14"/>
  <c r="R301" i="14"/>
  <c r="S301" i="14" s="1"/>
  <c r="R294" i="14"/>
  <c r="S294" i="14" s="1"/>
  <c r="S282" i="14"/>
  <c r="Z302" i="14"/>
  <c r="Z295" i="14"/>
  <c r="AB295" i="14" s="1"/>
  <c r="E305" i="14"/>
  <c r="G305" i="14" s="1"/>
  <c r="AB305" i="14"/>
  <c r="P293" i="14"/>
  <c r="O301" i="14"/>
  <c r="O294" i="14"/>
  <c r="P282" i="14"/>
  <c r="P301" i="14" s="1"/>
  <c r="O302" i="14"/>
  <c r="O295" i="14"/>
  <c r="P295" i="14" s="1"/>
  <c r="AG302" i="14"/>
  <c r="AG299" i="14" s="1"/>
  <c r="AG295" i="14"/>
  <c r="AG280" i="14"/>
  <c r="S82" i="14"/>
  <c r="Y82" i="14"/>
  <c r="G85" i="14"/>
  <c r="AO301" i="14"/>
  <c r="AQ301" i="14" s="1"/>
  <c r="AO294" i="14"/>
  <c r="AQ294" i="14" s="1"/>
  <c r="AQ282" i="14"/>
  <c r="N301" i="14"/>
  <c r="N294" i="14"/>
  <c r="R302" i="14"/>
  <c r="S302" i="14" s="1"/>
  <c r="R295" i="14"/>
  <c r="S295" i="14" s="1"/>
  <c r="S283" i="14"/>
  <c r="M293" i="14"/>
  <c r="R280" i="14"/>
  <c r="S280" i="14" s="1"/>
  <c r="R292" i="14"/>
  <c r="S293" i="14"/>
  <c r="Y293" i="14"/>
  <c r="I301" i="14"/>
  <c r="I294" i="14"/>
  <c r="J282" i="14"/>
  <c r="J301" i="14" s="1"/>
  <c r="F282" i="14"/>
  <c r="U302" i="14"/>
  <c r="V302" i="14" s="1"/>
  <c r="U295" i="14"/>
  <c r="V295" i="14" s="1"/>
  <c r="V283" i="14"/>
  <c r="AI302" i="14"/>
  <c r="AI295" i="14"/>
  <c r="AK295" i="14" s="1"/>
  <c r="G286" i="14"/>
  <c r="G84" i="14"/>
  <c r="AH82" i="14"/>
  <c r="AH301" i="14"/>
  <c r="AH281" i="14"/>
  <c r="N280" i="14"/>
  <c r="N299" i="14"/>
  <c r="AI292" i="14"/>
  <c r="AO280" i="14"/>
  <c r="AQ280" i="14" s="1"/>
  <c r="AO299" i="14"/>
  <c r="AQ299" i="14" s="1"/>
  <c r="F283" i="14"/>
  <c r="J295" i="14"/>
  <c r="AK281" i="14"/>
  <c r="K299" i="14"/>
  <c r="Q292" i="14"/>
  <c r="AF292" i="14"/>
  <c r="M295" i="14"/>
  <c r="T301" i="14"/>
  <c r="T294" i="14"/>
  <c r="V294" i="14" s="1"/>
  <c r="W301" i="14"/>
  <c r="W299" i="14" s="1"/>
  <c r="W294" i="14"/>
  <c r="Y294" i="14" s="1"/>
  <c r="H300" i="14"/>
  <c r="H293" i="14"/>
  <c r="E281" i="14"/>
  <c r="G281" i="14" s="1"/>
  <c r="H280" i="14"/>
  <c r="L301" i="14"/>
  <c r="L294" i="14"/>
  <c r="M294" i="14" s="1"/>
  <c r="M282" i="14"/>
  <c r="M301" i="14" s="1"/>
  <c r="AL301" i="14"/>
  <c r="AL299" i="14" s="1"/>
  <c r="AN299" i="14" s="1"/>
  <c r="AL294" i="14"/>
  <c r="AN294" i="14" s="1"/>
  <c r="AN282" i="14"/>
  <c r="J293" i="14"/>
  <c r="I292" i="14"/>
  <c r="J281" i="14"/>
  <c r="J300" i="14" s="1"/>
  <c r="O280" i="14"/>
  <c r="P280" i="14" s="1"/>
  <c r="U300" i="14"/>
  <c r="V281" i="14"/>
  <c r="U293" i="14"/>
  <c r="U280" i="14"/>
  <c r="AK292" i="14"/>
  <c r="AC302" i="14"/>
  <c r="AE302" i="14" s="1"/>
  <c r="AC295" i="14"/>
  <c r="AE295" i="14" s="1"/>
  <c r="AE283" i="14"/>
  <c r="Z301" i="14"/>
  <c r="Z294" i="14"/>
  <c r="AB294" i="14" s="1"/>
  <c r="AB282" i="14"/>
  <c r="AB301" i="14" s="1"/>
  <c r="AC301" i="14"/>
  <c r="AE301" i="14" s="1"/>
  <c r="AC294" i="14"/>
  <c r="AE294" i="14" s="1"/>
  <c r="AE282" i="14"/>
  <c r="H301" i="14"/>
  <c r="H294" i="14"/>
  <c r="E294" i="14" s="1"/>
  <c r="E282" i="14"/>
  <c r="X302" i="14"/>
  <c r="Y302" i="14" s="1"/>
  <c r="X295" i="14"/>
  <c r="Y295" i="14" s="1"/>
  <c r="Y283" i="14"/>
  <c r="E82" i="14"/>
  <c r="L299" i="14"/>
  <c r="M299" i="14" s="1"/>
  <c r="S300" i="14"/>
  <c r="R299" i="14"/>
  <c r="Y300" i="14"/>
  <c r="X299" i="14"/>
  <c r="V282" i="14"/>
  <c r="V301" i="14"/>
  <c r="H303" i="14"/>
  <c r="E303" i="14" s="1"/>
  <c r="H296" i="14"/>
  <c r="E296" i="14" s="1"/>
  <c r="E284" i="14"/>
  <c r="F82" i="14"/>
  <c r="G82" i="14" s="1"/>
  <c r="P82" i="14"/>
  <c r="T280" i="14"/>
  <c r="T299" i="14"/>
  <c r="E283" i="14"/>
  <c r="E302" i="14"/>
  <c r="N292" i="14"/>
  <c r="AC292" i="14"/>
  <c r="AE292" i="14" s="1"/>
  <c r="AI280" i="14"/>
  <c r="AI299" i="14"/>
  <c r="AK299" i="14" s="1"/>
  <c r="AO292" i="14"/>
  <c r="AQ292" i="14" s="1"/>
  <c r="Y282" i="14"/>
  <c r="Y301" i="14"/>
  <c r="F302" i="14"/>
  <c r="G302" i="14" s="1"/>
  <c r="K292" i="14"/>
  <c r="Q299" i="14"/>
  <c r="W292" i="14"/>
  <c r="AF299" i="14"/>
  <c r="AL292" i="14"/>
  <c r="AN292" i="14" s="1"/>
  <c r="O299" i="14" l="1"/>
  <c r="P299" i="14" s="1"/>
  <c r="E301" i="14"/>
  <c r="V293" i="14"/>
  <c r="U292" i="14"/>
  <c r="V300" i="14"/>
  <c r="U299" i="14"/>
  <c r="V299" i="14" s="1"/>
  <c r="F293" i="14"/>
  <c r="AN301" i="14"/>
  <c r="AN280" i="14"/>
  <c r="E280" i="14"/>
  <c r="H292" i="14"/>
  <c r="E293" i="14"/>
  <c r="AK300" i="14"/>
  <c r="AK280" i="14"/>
  <c r="AC299" i="14"/>
  <c r="AE299" i="14" s="1"/>
  <c r="AH300" i="14"/>
  <c r="AH280" i="14"/>
  <c r="T292" i="14"/>
  <c r="G282" i="14"/>
  <c r="J294" i="14"/>
  <c r="F294" i="14"/>
  <c r="G294" i="14" s="1"/>
  <c r="L292" i="14"/>
  <c r="M292" i="14" s="1"/>
  <c r="AH299" i="14"/>
  <c r="P294" i="14"/>
  <c r="F300" i="14"/>
  <c r="F280" i="14"/>
  <c r="G280" i="14" s="1"/>
  <c r="Z299" i="14"/>
  <c r="AB299" i="14" s="1"/>
  <c r="Y299" i="14"/>
  <c r="S299" i="14"/>
  <c r="V280" i="14"/>
  <c r="J292" i="14"/>
  <c r="H299" i="14"/>
  <c r="E299" i="14" s="1"/>
  <c r="E300" i="14"/>
  <c r="F295" i="14"/>
  <c r="G283" i="14"/>
  <c r="E295" i="14"/>
  <c r="F301" i="14"/>
  <c r="G301" i="14" s="1"/>
  <c r="X292" i="14"/>
  <c r="Y292" i="14" s="1"/>
  <c r="S292" i="14"/>
  <c r="AH295" i="14"/>
  <c r="AG292" i="14"/>
  <c r="AH292" i="14" s="1"/>
  <c r="O292" i="14"/>
  <c r="P292" i="14" s="1"/>
  <c r="I299" i="14"/>
  <c r="J280" i="14"/>
  <c r="AB300" i="14"/>
  <c r="AB280" i="14"/>
  <c r="Z292" i="14"/>
  <c r="AB292" i="14" s="1"/>
  <c r="G295" i="14" l="1"/>
  <c r="G300" i="14"/>
  <c r="E292" i="14"/>
  <c r="G293" i="14"/>
  <c r="J299" i="14"/>
  <c r="F299" i="14"/>
  <c r="G299" i="14" s="1"/>
  <c r="F292" i="14"/>
  <c r="G292" i="14" s="1"/>
  <c r="V292" i="14"/>
  <c r="U2" i="14"/>
  <c r="S4" i="14" l="1"/>
</calcChain>
</file>

<file path=xl/sharedStrings.xml><?xml version="1.0" encoding="utf-8"?>
<sst xmlns="http://schemas.openxmlformats.org/spreadsheetml/2006/main" count="597" uniqueCount="218">
  <si>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</si>
  <si>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</si>
  <si>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</si>
  <si>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</si>
  <si>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</si>
  <si>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Управление образования и молодежной политики администрации города Урай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</si>
  <si>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</si>
  <si>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</si>
  <si>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</si>
  <si>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</si>
  <si>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</si>
  <si>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</si>
  <si>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</si>
  <si>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</si>
  <si>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</si>
  <si>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</si>
  <si>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</si>
  <si>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</si>
  <si>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</si>
  <si>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</si>
  <si>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</si>
  <si>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</si>
  <si>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</si>
  <si>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</si>
  <si>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</si>
  <si>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</si>
  <si>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</si>
  <si>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</si>
  <si>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</si>
  <si>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</si>
  <si>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</si>
  <si>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</si>
  <si>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</si>
  <si>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</si>
  <si>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</si>
  <si>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</si>
  <si>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</si>
  <si>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</si>
  <si>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Согласовано:</t>
  </si>
  <si>
    <t xml:space="preserve">Комитет по финансам администрации грода Урай </t>
  </si>
  <si>
    <t>Исполнитель Невская Ирина Евгеньевна</t>
  </si>
  <si>
    <t>Исполнение, %</t>
  </si>
  <si>
    <t>План</t>
  </si>
  <si>
    <t>Факт</t>
  </si>
  <si>
    <t>Местный бюджет</t>
  </si>
  <si>
    <t>1.</t>
  </si>
  <si>
    <t>2.1.</t>
  </si>
  <si>
    <t>2.</t>
  </si>
  <si>
    <t>2.2.</t>
  </si>
  <si>
    <t>2.3.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</si>
  <si>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</si>
  <si>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</si>
  <si>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</si>
  <si>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</si>
  <si>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</si>
  <si>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</si>
  <si>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</si>
  <si>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</si>
  <si>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</si>
  <si>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</si>
  <si>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</si>
  <si>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</si>
  <si>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</si>
  <si>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</si>
  <si>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</si>
  <si>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</si>
  <si>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</si>
  <si>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</si>
  <si>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</si>
  <si>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</si>
  <si>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</si>
  <si>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</si>
  <si>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</si>
  <si>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</si>
  <si>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</si>
  <si>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</si>
  <si>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</si>
  <si>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</si>
  <si>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</si>
  <si>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</si>
  <si>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</si>
  <si>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</si>
  <si>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</si>
  <si>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</si>
  <si>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</si>
  <si>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</si>
  <si>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</si>
  <si>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</si>
  <si>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</si>
  <si>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Поддержка инновационной деятельности  образовательных организаций (проведение грантовых конкурсов, поддержка ресурсных центров и др.) (14, 18)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</si>
  <si>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</si>
  <si>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</si>
  <si>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</si>
  <si>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</si>
  <si>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</si>
  <si>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Персонифицированное финансирование дополнительного образования детей (12, 17)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</si>
  <si>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</si>
  <si>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</si>
  <si>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</si>
  <si>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</si>
  <si>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Расходы на обеспечение деятельности Управления образования и молодежной политики администрации города Урай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</si>
  <si>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</si>
  <si>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</si>
  <si>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</si>
  <si>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деятельности медицинского  блока образовательных организаций   (23)</t>
  </si>
  <si>
    <t>Обеспечение информирования обучающихся о неблагоприятных погодных условиях  (23)</t>
  </si>
  <si>
    <t>6.2.</t>
  </si>
  <si>
    <t>Организация участия детей и молодежи в возрасте от 14 до 30 лет во всероссийских, окружных молодежных мероприятиях (24)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</si>
  <si>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</si>
  <si>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</si>
  <si>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</si>
  <si>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</si>
  <si>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</si>
  <si>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</si>
  <si>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</si>
  <si>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</si>
  <si>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</si>
  <si>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</si>
  <si>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</si>
  <si>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 xml:space="preserve">Ответственный исполнитель
Управление образования и молодежной политики администрации города Урай
</t>
  </si>
  <si>
    <t>Муниципальное казенное учреждение «Управление капитального строительства города Урай»</t>
  </si>
  <si>
    <t>Управление образования и молодежной политики администрации города Урай; органы администрации города Урай: сводно-аналитический отдел администрации города Урай</t>
  </si>
  <si>
    <t>Управление образования и молодежной политики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</si>
  <si>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Урай)</t>
  </si>
  <si>
    <t>И.В. Хусаинова</t>
  </si>
  <si>
    <t>тел.2-31-86 (822)</t>
  </si>
  <si>
    <t>Остатки прошлых лет</t>
  </si>
  <si>
    <t>2.3.1.</t>
  </si>
  <si>
    <t>2.3.2.</t>
  </si>
  <si>
    <t>2.3.3.</t>
  </si>
  <si>
    <t>Реализация основного мероприятия регионального проекта «Современная школа» (6, 7, 8, 9), в том числе: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</si>
  <si>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(«Средняя школа в мкр. 1А (Общеобразовательная организация с универсальной безбарьерной средой))») (6, 7, 8, 9)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</si>
  <si>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(«Школа в микрорайоне Земля Санникова (Общеобразовательная организация с универсальной безбарьерной средой)») (6, 7, 8, 9)</t>
  </si>
  <si>
    <t>Проведение ремонтных работ муниципальных образовательных организаций (6, 8)</t>
  </si>
  <si>
    <t>3.11.</t>
  </si>
  <si>
    <t>3.12.</t>
  </si>
  <si>
    <t>Реализация основного мероприятия регионального проекта «Современная школа». Расходы на обеспечение деятельности Центра образования цифрового и гуманитарного профилей "Точка роста" (12, 17)</t>
  </si>
  <si>
    <t>Реализация основного мероприятия регионального проекта «Успех каждого ребенка». Расходы на создание новых мест дополнительного образования детей (12, 17)</t>
  </si>
  <si>
    <t>Управление образования и молодежной политики администрации города Урай; муниципальное казенное учреждение «Управление капитального строительства города Урай»</t>
  </si>
  <si>
    <t>1.4.</t>
  </si>
  <si>
    <t>1.3.</t>
  </si>
  <si>
    <t>Ю.А. Чигинцева</t>
  </si>
  <si>
    <t>3.7.1.</t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</si>
  <si>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18), в том числе:</t>
    </r>
  </si>
  <si>
    <t>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(13, 18)</t>
  </si>
  <si>
    <t>5.5.1.</t>
  </si>
  <si>
    <t>Организация питания обучающихся в муниципальных общеобразовательных организациях (23), в том числе: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</si>
  <si>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(23)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</si>
  <si>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</si>
  <si>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 / соисполнитель</t>
  </si>
  <si>
    <t>Финансовые затараты на реализацию (тыс.рублей)</t>
  </si>
  <si>
    <t>Расходы на обеспечение деятельности (оказание услуг) муниципального автономного учреждения города Урай «Ресурсный центр сиситемы образования» (20, 21, 22)</t>
  </si>
  <si>
    <t>Л.В. Зайцева</t>
  </si>
  <si>
    <t>Предоставление электронных услуг МАУ "Ресурсный центр системы образования"</t>
  </si>
  <si>
    <t>Организация работы медицинского класса на базе МБОУ СОШ №4</t>
  </si>
  <si>
    <t>Обеспечение персонифицированного финансирования дополнительного образования детей</t>
  </si>
  <si>
    <t>Обеспечение обучающихся шести общеобразовательных организаций завтраками и обедами (в том числе льготная категория)</t>
  </si>
  <si>
    <t xml:space="preserve">Обеспечение обучающихся, получающих начальное общее образование, шести общеобразовательных организаций завтраками </t>
  </si>
  <si>
    <t>Организация питания в лагерях дневного пребывания детей в период весенних  каникул</t>
  </si>
  <si>
    <t>Организация работы лагеря дневного пребывания детей в период весенних каникул</t>
  </si>
  <si>
    <t>Обеспечение развития и популяризации молодежного совета при администрации города Урай (приобретение экипировки, атрибутики)</t>
  </si>
  <si>
    <t xml:space="preserve">Участие в региональном этапе Всероссийского конкурса проф.мастерства в сфере образования ХМАО - Югры «Педагог года Югры-2022». </t>
  </si>
  <si>
    <t>Приобретение и замена оконных блоков в МБОУ СОШ №2</t>
  </si>
  <si>
    <t>Участие в региональном этапе Всероссийской олимпиады школьников, в финальном этапе Всероссийской олимпиады фин.грамотности, фин.рынку и защите прав потребителей фин.услуг "Финатлон для старшеклассников" и в детско-молодежном форуме «Джуниор-IT».                                          Награждение именными премиями ООО "ЛУКойл-Западная Сибирь" учащихся общеобразовательных организаций. Проведение церемонии присвоения звания города Урай «Стипендиат главы города Урай»</t>
  </si>
  <si>
    <t xml:space="preserve"> Организация и проведение военно-спортивной игры "Зарница". Проведение военно-полевых сборов</t>
  </si>
  <si>
    <t>Экономия по итогам проведения учебно-полевых сборов</t>
  </si>
  <si>
    <t>Обеспечение защиты каналов связи. Приобретение оборудования и расходных материалов для проведения государственной итоговой аттестации. Выплата компенсации педагогам, привлекаемым к подготовке и проведению ГИА в пунктах проведения экзаменов</t>
  </si>
  <si>
    <t>Экономия за счет дней, пропущенных учащимися по причине болезни и в связи с проведением карантинных мероприятий в период коронавирусной инфекции COVID-2019</t>
  </si>
  <si>
    <t>Организация и проведение образовательно-развлекательных игр "Инры разума", соревнований по киберспорту и городского фестиваля "ЖАРА"</t>
  </si>
  <si>
    <t>Проведение работ по текущему ремонту и по обеспечению требований по антитеррористической защищенности образовательных организаций</t>
  </si>
  <si>
    <t>1.1.1.</t>
  </si>
  <si>
    <t>Поддержка инновационной деятельности дошкольных образовательных организаций (проведение грантовых конкурсов и  др.), в том числе с применением механизма инициативного бюджетирования (1, 2, 3, 4, 5)</t>
  </si>
  <si>
    <t>Реализация инициативного проекта с применением механизма инициативного бюджетирования (1, 2, 3, 5)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</si>
  <si>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вознаграждений). В том числе с применением механизма инициативного бюджетирования (24)</t>
  </si>
  <si>
    <t>Реализация инициативных проектов с применением механизма инициативного бюджетирования (24)</t>
  </si>
  <si>
    <t>6.1.1.</t>
  </si>
  <si>
    <t>Обеспечение деятельности восьми дошкольных образовательных учреждений в части выполнения стандарта дошкольного образования  за 9 месяцев 2022 года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</si>
  <si>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9 месяцев 2022 года</t>
  </si>
  <si>
    <t>Выплата компенсации части родительской платы за 9 месяцев 2022 года</t>
  </si>
  <si>
    <t>Выплата ежемесячного денежного вознаграждения за классное руководство педагогическим работникам за 9 месяцев 2022 года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</si>
  <si>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9 месяцев 2022 года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</si>
  <si>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9 месяцев 2022 года</t>
  </si>
  <si>
    <t>Обеспечение деятельности МБУ ДО "ЦМДО" в части содержания зданий и сооружений и прочих общехозяйственных расходов за 9 месяцев 2022 года</t>
  </si>
  <si>
    <t>Обеспечение деятельности МАУ "Ресурсный центр системы образования" в части исполнения муниципального задания за 9 месяцев 2022 года</t>
  </si>
  <si>
    <t>Осуществление деятельности по выплате компенсации части родительской платы (администрирование) за 9 месяцев 2022 года</t>
  </si>
  <si>
    <t>Расходы по содержанию аппарата Управления образования и молодежной политики за 9 месяцев 2022 года</t>
  </si>
  <si>
    <t>Установка системы автоматической разблокировки открывания ворот в МБДОУ д/с №12</t>
  </si>
  <si>
    <t>Неисполнение в связи с задержкой установки контейнерных площадок из-за отсутствия плит под их монтаж, в связи с задержкой поставки железа для ремонта ограждения кровли в МБДОУ д/с 21 и в связи с задержкой подачи документов (неоднократное отклонение) на проведение торгов на огнезащитную обработку в МБУ ДО "ЦМДО"</t>
  </si>
  <si>
    <t>Перенос организации работы медицинского класса на ноябрь</t>
  </si>
  <si>
    <t>Организация и проведение городского педагогического совещания</t>
  </si>
  <si>
    <t>Перенос сроков проведения форумов на 4 квартал 2022 года</t>
  </si>
  <si>
    <t>В связи с ростом цен на товары, необходимых для реализации наказов избирателей, возникла необходимость в дополнительном запросе коммерческих предложений. В виду этого увеличился срок подготовки документов к согласованию. Освоение будет в октябре 2022 года</t>
  </si>
  <si>
    <t>Приобретение путевок для отдыха и оздоровление детей за пределами  города Урай (выездной отдых)</t>
  </si>
  <si>
    <t>Обеспечение организации каникулярного отдыха и оздоровление детей за пределами  города Урай (выездной отдых)</t>
  </si>
  <si>
    <t>Экономия по фактическим расходам на организацию каникулярного отдыха и оздоровление детей за пределами  города Урай (выездной отдых)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</si>
  <si>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9 месяцев 2022 года</t>
  </si>
  <si>
    <t>Начальник УО</t>
  </si>
  <si>
    <t>Заместитель начальника УО</t>
  </si>
  <si>
    <t>Управление образования администрации города Урай</t>
  </si>
  <si>
    <t xml:space="preserve">Проведение работ по капитальнму ремонту и благоустройству территории МБОУ СОШ №6 </t>
  </si>
  <si>
    <t xml:space="preserve">По объекту "Капитальный ремонт МБОУ "Гимназия им. А.И.Яковлева" выполнены работы по усилению железобетонного перекрытия  композитными материалами над учебными кабинетами первого и цокольного этажей, отделочные работы на цокольном этаже, в кабинете технологии и в кабинете ОБЖ и работы по устройству гидроизоляции фундамента и стен цокольного этажа.                                              Проведение работ по капитальнму ремонту и благоустройству территории МБОУ СОШ №6 </t>
  </si>
  <si>
    <t xml:space="preserve">Реализация мероприятий в рамках инициативного проекта будет в 4 квартале 2022 года  в связи с заключением соглашения о предоставлении субсидии местному бюджету из бюджета ХМАО-Югры от 06.09.22 и необходимостью мониторинга цен на приобретение оборудования и расходных материалов </t>
  </si>
  <si>
    <t>Отклонение по фактически сложившимся коммунальным расходам, расходам на содержание здания, затратам на выплату льготного проезда</t>
  </si>
  <si>
    <t>Экономия средств по заключенным догворам на установку системы автоматической разблокировки открывания ворот в МБДОУ д/с 7, 12 и перераспределениен на те же цели в МБДОУ д/с 6, 21. Средства будут освоены в октябре</t>
  </si>
  <si>
    <t>Экономия по фактическим расходам на участие  в региональном этапе Всероссийской олимпиады школьников и по расходам на проведение церемонии присвоения звания города Урай «Стипендиат главы города Урай» в связи с уменьшением количества стипендиатов Данные средства будут перераспределены на другие мероприятия</t>
  </si>
  <si>
    <t>Отклонение по фактически сложившимся коммунальным расходам, расходам на содержание здания</t>
  </si>
  <si>
    <t>Экономия по расходам на проведение городского августовского педагогического совещания и изменение сроков проведения городской конференции в рамках реализации проекта «HR академия» по формированию кадрового резерва на октябрь.Экономия будет напрвлена дополнительно на проведение городской конференции</t>
  </si>
  <si>
    <t>Отклонение по фактически сложившимся расходам на оплату труда специалистов (с учетом больничных листов)</t>
  </si>
  <si>
    <t>Отклонение по фактически начисленной  заработной плате работникам (с учетом больничных листов и наличием вакантных ставок), по оплате льготного проезда, путевок и проезда санаторно-курортного лечения, фактическим расходам по служебным командировкам</t>
  </si>
  <si>
    <t>Отклонение по фактически начисленной заработной плате работников, задействованных в лагерях дневного пребывания в период летних каникул. Средства будут освоены в период осенних каникул</t>
  </si>
  <si>
    <t xml:space="preserve">Отклонение по фактичеким расходам на заработную плату и оплату льгтного проезда в связи с наличием вакантных должностей в МАУ «РЦСО» </t>
  </si>
  <si>
    <t xml:space="preserve">Финансирование по фактически начисленной компенсации части родительской платы. Отклонение по причине болезни детей и несвоевременной оплаты за посещение дошкольного учреждения </t>
  </si>
  <si>
    <t>По объекту "Капитальный ремонт МБДОУ № 19" нарушение проектной организацией сроков исполнения контракта. В адрес Заказчика поступила проектная документация на согласование. В данный момент проектная документация находится на экспертизе.                                             По объекту "Капитальный ремонт МБОУ "Гимназия им. А.И.Яковлева" экономия в сумме 319,0 тыс. руб. по факту выполненых работ.                                                          По объекту "Капитальный ремонт МБОУ СОШ № 6" экономия в сумме 114,3 тыс.руб. по договорам капитального ремонта и благоустройства территории МБОУ СОШ №6. Отклонение в сумме 17.2 тыс.руб. связано с заключением договора на проведение работ по тех.присоединению со сроком исполнения в 4 квартале</t>
  </si>
  <si>
    <t>Экономия по фактическим расходам на выплату ежемесячного денежного вознаграждения за классное руководство педагогическим работникам. Направлена заявка в ДОиН на корректировку плана</t>
  </si>
  <si>
    <t>Финансирование согласно фактически списанных средств с сертифиткатов в рамках заключенных договоров на предоставление дополнительного образования</t>
  </si>
  <si>
    <t>Экономия по фактическим расходам на оплату труда, проживание и проезд экспертов региональных предметных комиссий и по фактическим расходам на обеспечение проведения ГИА. Направлена заявка в ДОиН на корректировку плана</t>
  </si>
  <si>
    <t>Перенос на октябрь оплаты расходов по очередному этапу развлекательной игры "Игры разума"</t>
  </si>
  <si>
    <t>Отклонеие в сумме 12 427,9 тыс. руб. на капитальный ремонт и благоустройство территории МБОУ СОШ №6 обусловлено следующими причинами:                                     1. экономия средств в сумме 1 732,6 тыс. руб. по договорау по замене электрических сетей в связи с уменьшением объема работ;                                                           2. экономия средств по договорам на благоустройство территории в сумме 955,8 тыс. руб.;                                                                     3. оплата в 4 квартале после приемки строительно монтажных работ в дополнительных зданиях (мастерских) учреждения в сумме 325,2 тыс. руб.;                                                              4. оплата в 4 квартале по договорам поставки мебели и оборудования в сумме 8 159,0 тыс. руб.;                                                                     5. несвоевременное исполнение обязательтв подрядчиком по заключенному договору на корректировку ПСД в сумме 585,0 тыс. руб. Ведутся претензионные работы;                             6. остаток средств от заключенных договров на ремонт школы в сумме 670,3 тыс.руб. и прочая экономия по договорам будут направлены на те же цели после заключения доп.соглашения с ДОиН на увеличение стоимости строительно-монтажных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</si>
</sst>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8" formatCode="_(* #,##0.00_);_(* \(#,##0.00\);_(* &quot;-&quot;??_);_(@_)"/>
    <numFmt numFmtId="169" formatCode="0.0%"/>
    <numFmt numFmtId="172" formatCode="_-* #,##0.00000_р_._-;\-* #,##0.00000_р_._-;_-* &quot;-&quot;??_р_._-;_-@_-"/>
    <numFmt numFmtId="174" formatCode="_-* #,##0.0000_р_._-;\-* #,##0.0000_р_._-;_-* &quot;-&quot;??_р_._-;_-@_-"/>
  </numFmts>
  <fonts count="15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0">
    <xf numFmtId="0" fontId="0" fillId="0" borderId="0" xfId="0"/>
    <xf numFmtId="166" fontId="6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horizontal="lef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6" fontId="2" fillId="2" borderId="0" xfId="1" applyNumberFormat="1" applyFont="1" applyFill="1" applyAlignment="1">
      <alignment horizontal="left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5" fillId="2" borderId="0" xfId="1" applyNumberFormat="1" applyFont="1" applyFill="1" applyBorder="1" applyAlignment="1">
      <alignment horizontal="left" vertical="center" wrapText="1"/>
    </xf>
    <xf numFmtId="169" fontId="3" fillId="2" borderId="1" xfId="3" applyNumberFormat="1" applyFont="1" applyFill="1" applyBorder="1" applyAlignment="1">
      <alignment horizontal="center" vertical="top" wrapText="1"/>
    </xf>
    <xf numFmtId="169" fontId="10" fillId="2" borderId="1" xfId="3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64" fontId="10" fillId="2" borderId="1" xfId="1" applyNumberFormat="1" applyFont="1" applyFill="1" applyBorder="1" applyAlignment="1">
      <alignment horizontal="center" vertical="top"/>
    </xf>
    <xf numFmtId="0" fontId="1" fillId="2" borderId="0" xfId="0" applyFont="1" applyFill="1"/>
    <xf numFmtId="0" fontId="1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164" fontId="10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/>
    </xf>
    <xf numFmtId="165" fontId="11" fillId="2" borderId="8" xfId="0" applyNumberFormat="1" applyFont="1" applyFill="1" applyBorder="1" applyAlignment="1">
      <alignment horizontal="center"/>
    </xf>
    <xf numFmtId="174" fontId="11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64" fontId="10" fillId="2" borderId="1" xfId="1" applyNumberFormat="1" applyFont="1" applyFill="1" applyBorder="1" applyAlignment="1">
      <alignment horizontal="justify" vertical="top"/>
    </xf>
    <xf numFmtId="0" fontId="2" fillId="2" borderId="1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/>
    <xf numFmtId="43" fontId="3" fillId="2" borderId="1" xfId="1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 applyBorder="1"/>
    <xf numFmtId="166" fontId="6" fillId="2" borderId="0" xfId="1" applyNumberFormat="1" applyFont="1" applyFill="1" applyAlignment="1"/>
    <xf numFmtId="166" fontId="6" fillId="2" borderId="8" xfId="1" applyNumberFormat="1" applyFont="1" applyFill="1" applyBorder="1" applyAlignment="1">
      <alignment horizontal="left"/>
    </xf>
    <xf numFmtId="0" fontId="6" fillId="2" borderId="8" xfId="0" applyFont="1" applyFill="1" applyBorder="1" applyAlignment="1"/>
    <xf numFmtId="166" fontId="6" fillId="2" borderId="8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left"/>
    </xf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6" fontId="6" fillId="2" borderId="0" xfId="1" applyNumberFormat="1" applyFont="1" applyFill="1" applyBorder="1" applyAlignment="1"/>
    <xf numFmtId="166" fontId="6" fillId="2" borderId="0" xfId="1" applyNumberFormat="1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66" fontId="6" fillId="2" borderId="8" xfId="1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horizontal="left" vertical="center" wrapText="1"/>
    </xf>
    <xf numFmtId="174" fontId="3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Border="1"/>
    <xf numFmtId="166" fontId="6" fillId="2" borderId="0" xfId="1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165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6" fontId="2" fillId="2" borderId="0" xfId="1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H323"/>
  <sheetViews>
    <sheetView tabSelected="1" zoomScaleNormal="10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T1" sqref="AT1:BF1048576"/>
    </sheetView>
  </sheetViews>
  <sheetFormatPr defaultColWidth="9.109375" defaultRowHeight="14.4" x14ac:dyDescent="0.3"/>
  <cols>
    <col min="1" max="1" width="4.5546875" style="26" customWidth="1"/>
    <col min="2" max="2" width="42.6640625" style="26" customWidth="1"/>
    <col min="3" max="3" width="25.109375" style="26" customWidth="1"/>
    <col min="4" max="4" width="23.33203125" style="26" customWidth="1"/>
    <col min="5" max="5" width="9.88671875" style="26" customWidth="1"/>
    <col min="6" max="6" width="10" style="26" customWidth="1"/>
    <col min="7" max="7" width="6.77734375" style="26" customWidth="1"/>
    <col min="8" max="9" width="7.33203125" style="26" customWidth="1"/>
    <col min="10" max="10" width="6.77734375" style="26" customWidth="1"/>
    <col min="11" max="11" width="8.109375" style="26" customWidth="1"/>
    <col min="12" max="12" width="8" style="26" customWidth="1"/>
    <col min="13" max="13" width="6.88671875" style="26" customWidth="1"/>
    <col min="14" max="14" width="8" style="26" customWidth="1"/>
    <col min="15" max="15" width="8.44140625" style="26" customWidth="1"/>
    <col min="16" max="16" width="6.88671875" style="26" customWidth="1"/>
    <col min="17" max="17" width="8" style="26" customWidth="1"/>
    <col min="18" max="18" width="8.109375" style="26" customWidth="1"/>
    <col min="19" max="19" width="6.6640625" style="26" customWidth="1"/>
    <col min="20" max="20" width="8.77734375" style="26" customWidth="1"/>
    <col min="21" max="21" width="8.88671875" style="26" customWidth="1"/>
    <col min="22" max="22" width="7.109375" style="26" customWidth="1"/>
    <col min="23" max="23" width="8.6640625" style="26" customWidth="1"/>
    <col min="24" max="24" width="9.109375" style="26" customWidth="1"/>
    <col min="25" max="25" width="7" style="26" customWidth="1"/>
    <col min="26" max="26" width="8.6640625" style="26" customWidth="1"/>
    <col min="27" max="27" width="8.44140625" style="26" customWidth="1"/>
    <col min="28" max="28" width="6.88671875" style="26" customWidth="1"/>
    <col min="29" max="29" width="8.6640625" style="26" customWidth="1"/>
    <col min="30" max="30" width="8.109375" style="26" customWidth="1"/>
    <col min="31" max="31" width="7" style="26" customWidth="1"/>
    <col min="32" max="33" width="8.6640625" style="26" customWidth="1"/>
    <col min="34" max="34" width="7.44140625" style="26" customWidth="1"/>
    <col min="35" max="35" width="9" style="26" customWidth="1"/>
    <col min="36" max="36" width="8.44140625" style="26" hidden="1" customWidth="1"/>
    <col min="37" max="37" width="6.6640625" style="26" hidden="1" customWidth="1"/>
    <col min="38" max="38" width="9" style="26" customWidth="1"/>
    <col min="39" max="39" width="9.6640625" style="26" hidden="1" customWidth="1"/>
    <col min="40" max="40" width="9.77734375" style="26" hidden="1" customWidth="1"/>
    <col min="41" max="41" width="10" style="26" customWidth="1"/>
    <col min="42" max="43" width="10.6640625" style="26" hidden="1" customWidth="1"/>
    <col min="44" max="44" width="36.6640625" style="26" customWidth="1"/>
    <col min="45" max="45" width="35.109375" style="26" customWidth="1"/>
    <col min="46" max="16384" width="9.109375" style="26"/>
  </cols>
  <sheetData>
    <row r="1" spans="1:45" x14ac:dyDescent="0.3">
      <c r="A1" s="97" t="s">
        <v>195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x14ac:dyDescent="0.3">
      <c r="A2" s="90"/>
      <c r="B2" s="90"/>
      <c r="C2" s="80"/>
      <c r="D2" s="81"/>
      <c r="E2" s="8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82">
        <f>U27-T27</f>
        <v>0</v>
      </c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</row>
    <row r="3" spans="1:45" x14ac:dyDescent="0.3">
      <c r="A3" s="97" t="s">
        <v>198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</row>
    <row r="4" spans="1:45" x14ac:dyDescent="0.3">
      <c r="A4" s="27"/>
      <c r="B4" s="27"/>
      <c r="C4" s="27"/>
      <c r="D4" s="27"/>
      <c r="E4" s="28"/>
      <c r="F4" s="50"/>
      <c r="G4" s="28"/>
      <c r="H4" s="29"/>
      <c r="I4" s="29"/>
      <c r="J4" s="29"/>
      <c r="K4" s="83"/>
      <c r="L4" s="83"/>
      <c r="M4" s="30"/>
      <c r="N4" s="27"/>
      <c r="O4" s="27"/>
      <c r="P4" s="27"/>
      <c r="Q4" s="28"/>
      <c r="R4" s="28"/>
      <c r="S4" s="84">
        <f>R27-Q27</f>
        <v>0</v>
      </c>
      <c r="T4" s="27"/>
      <c r="U4" s="27"/>
      <c r="V4" s="27"/>
      <c r="W4" s="49"/>
      <c r="X4" s="27"/>
      <c r="Y4" s="27"/>
      <c r="Z4" s="27"/>
      <c r="AA4" s="84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31"/>
      <c r="AP4" s="32"/>
      <c r="AQ4" s="32"/>
    </row>
    <row r="5" spans="1:45" ht="15" customHeight="1" x14ac:dyDescent="0.3">
      <c r="A5" s="98" t="s">
        <v>114</v>
      </c>
      <c r="B5" s="98" t="s">
        <v>148</v>
      </c>
      <c r="C5" s="98" t="s">
        <v>149</v>
      </c>
      <c r="D5" s="98" t="s">
        <v>0</v>
      </c>
      <c r="E5" s="98" t="s">
        <v>150</v>
      </c>
      <c r="F5" s="98"/>
      <c r="G5" s="98"/>
      <c r="H5" s="99" t="s">
        <v>35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1"/>
      <c r="AR5" s="102" t="s">
        <v>36</v>
      </c>
      <c r="AS5" s="102" t="s">
        <v>37</v>
      </c>
    </row>
    <row r="6" spans="1:45" ht="15" customHeight="1" x14ac:dyDescent="0.3">
      <c r="A6" s="98"/>
      <c r="B6" s="98"/>
      <c r="C6" s="98"/>
      <c r="D6" s="98"/>
      <c r="E6" s="98"/>
      <c r="F6" s="98"/>
      <c r="G6" s="98"/>
      <c r="H6" s="98" t="s">
        <v>23</v>
      </c>
      <c r="I6" s="98"/>
      <c r="J6" s="98"/>
      <c r="K6" s="98" t="s">
        <v>24</v>
      </c>
      <c r="L6" s="98"/>
      <c r="M6" s="98"/>
      <c r="N6" s="98" t="s">
        <v>25</v>
      </c>
      <c r="O6" s="98"/>
      <c r="P6" s="98"/>
      <c r="Q6" s="98" t="s">
        <v>26</v>
      </c>
      <c r="R6" s="98"/>
      <c r="S6" s="98"/>
      <c r="T6" s="98" t="s">
        <v>27</v>
      </c>
      <c r="U6" s="98"/>
      <c r="V6" s="98"/>
      <c r="W6" s="98" t="s">
        <v>28</v>
      </c>
      <c r="X6" s="98"/>
      <c r="Y6" s="98"/>
      <c r="Z6" s="98" t="s">
        <v>29</v>
      </c>
      <c r="AA6" s="98"/>
      <c r="AB6" s="98"/>
      <c r="AC6" s="98" t="s">
        <v>30</v>
      </c>
      <c r="AD6" s="98"/>
      <c r="AE6" s="98"/>
      <c r="AF6" s="98" t="s">
        <v>31</v>
      </c>
      <c r="AG6" s="98"/>
      <c r="AH6" s="98"/>
      <c r="AI6" s="98" t="s">
        <v>32</v>
      </c>
      <c r="AJ6" s="98"/>
      <c r="AK6" s="98"/>
      <c r="AL6" s="98" t="s">
        <v>33</v>
      </c>
      <c r="AM6" s="98"/>
      <c r="AN6" s="98"/>
      <c r="AO6" s="98" t="s">
        <v>34</v>
      </c>
      <c r="AP6" s="98"/>
      <c r="AQ6" s="98"/>
      <c r="AR6" s="103"/>
      <c r="AS6" s="103"/>
    </row>
    <row r="7" spans="1:45" ht="21.6" customHeight="1" x14ac:dyDescent="0.3">
      <c r="A7" s="98"/>
      <c r="B7" s="98"/>
      <c r="C7" s="98"/>
      <c r="D7" s="98"/>
      <c r="E7" s="51" t="s">
        <v>42</v>
      </c>
      <c r="F7" s="51" t="s">
        <v>43</v>
      </c>
      <c r="G7" s="52" t="s">
        <v>41</v>
      </c>
      <c r="H7" s="51" t="s">
        <v>42</v>
      </c>
      <c r="I7" s="51" t="s">
        <v>43</v>
      </c>
      <c r="J7" s="52" t="s">
        <v>41</v>
      </c>
      <c r="K7" s="51" t="s">
        <v>42</v>
      </c>
      <c r="L7" s="51" t="s">
        <v>43</v>
      </c>
      <c r="M7" s="52" t="s">
        <v>41</v>
      </c>
      <c r="N7" s="51" t="s">
        <v>42</v>
      </c>
      <c r="O7" s="51" t="s">
        <v>43</v>
      </c>
      <c r="P7" s="52" t="s">
        <v>41</v>
      </c>
      <c r="Q7" s="51" t="s">
        <v>42</v>
      </c>
      <c r="R7" s="51" t="s">
        <v>43</v>
      </c>
      <c r="S7" s="52" t="s">
        <v>41</v>
      </c>
      <c r="T7" s="51" t="s">
        <v>42</v>
      </c>
      <c r="U7" s="51" t="s">
        <v>43</v>
      </c>
      <c r="V7" s="52" t="s">
        <v>41</v>
      </c>
      <c r="W7" s="51" t="s">
        <v>42</v>
      </c>
      <c r="X7" s="51" t="s">
        <v>43</v>
      </c>
      <c r="Y7" s="52" t="s">
        <v>41</v>
      </c>
      <c r="Z7" s="51" t="s">
        <v>42</v>
      </c>
      <c r="AA7" s="51" t="s">
        <v>43</v>
      </c>
      <c r="AB7" s="52" t="s">
        <v>41</v>
      </c>
      <c r="AC7" s="51" t="s">
        <v>42</v>
      </c>
      <c r="AD7" s="51" t="s">
        <v>43</v>
      </c>
      <c r="AE7" s="52" t="s">
        <v>41</v>
      </c>
      <c r="AF7" s="51" t="s">
        <v>42</v>
      </c>
      <c r="AG7" s="51" t="s">
        <v>43</v>
      </c>
      <c r="AH7" s="52" t="s">
        <v>41</v>
      </c>
      <c r="AI7" s="51" t="s">
        <v>42</v>
      </c>
      <c r="AJ7" s="51" t="s">
        <v>43</v>
      </c>
      <c r="AK7" s="52" t="s">
        <v>41</v>
      </c>
      <c r="AL7" s="51" t="s">
        <v>42</v>
      </c>
      <c r="AM7" s="51" t="s">
        <v>43</v>
      </c>
      <c r="AN7" s="52" t="s">
        <v>41</v>
      </c>
      <c r="AO7" s="51" t="s">
        <v>42</v>
      </c>
      <c r="AP7" s="51" t="s">
        <v>43</v>
      </c>
      <c r="AQ7" s="52" t="s">
        <v>41</v>
      </c>
      <c r="AR7" s="104"/>
      <c r="AS7" s="104"/>
    </row>
    <row r="8" spans="1:45" ht="13.2" customHeight="1" x14ac:dyDescent="0.3">
      <c r="A8" s="91" t="s">
        <v>45</v>
      </c>
      <c r="B8" s="34" t="s">
        <v>2</v>
      </c>
      <c r="C8" s="34"/>
      <c r="D8" s="3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34"/>
      <c r="AQ8" s="34"/>
      <c r="AR8" s="33"/>
      <c r="AS8" s="33"/>
    </row>
    <row r="9" spans="1:45" ht="13.2" customHeight="1" x14ac:dyDescent="0.3">
      <c r="A9" s="105" t="s">
        <v>1</v>
      </c>
      <c r="B9" s="105" t="s">
        <v>171</v>
      </c>
      <c r="C9" s="105" t="s">
        <v>5</v>
      </c>
      <c r="D9" s="35" t="s">
        <v>3</v>
      </c>
      <c r="E9" s="23">
        <f>H9+K9+N9+Q9+T9+W9+Z9+AC9+AF9+AI9+AL9+AO9</f>
        <v>166.3</v>
      </c>
      <c r="F9" s="23">
        <f>I9+L9+O9+R9+U9+X9+AA9+AD9+AG9+AJ9+AM9+AP9</f>
        <v>0</v>
      </c>
      <c r="G9" s="23">
        <f>F9/E9*100</f>
        <v>0</v>
      </c>
      <c r="H9" s="23">
        <f>H10+H11+H12+H13</f>
        <v>0</v>
      </c>
      <c r="I9" s="23"/>
      <c r="J9" s="23"/>
      <c r="K9" s="23">
        <f t="shared" ref="K9:AO9" si="0">K10+K11+K12+K13</f>
        <v>0</v>
      </c>
      <c r="L9" s="23"/>
      <c r="M9" s="23"/>
      <c r="N9" s="23">
        <f t="shared" si="0"/>
        <v>0</v>
      </c>
      <c r="O9" s="23"/>
      <c r="P9" s="23"/>
      <c r="Q9" s="23">
        <f t="shared" si="0"/>
        <v>0</v>
      </c>
      <c r="R9" s="23">
        <f t="shared" si="0"/>
        <v>0</v>
      </c>
      <c r="S9" s="23"/>
      <c r="T9" s="23">
        <f t="shared" si="0"/>
        <v>0</v>
      </c>
      <c r="U9" s="23"/>
      <c r="V9" s="23"/>
      <c r="W9" s="23">
        <f t="shared" si="0"/>
        <v>0</v>
      </c>
      <c r="X9" s="23">
        <f t="shared" si="0"/>
        <v>0</v>
      </c>
      <c r="Y9" s="23"/>
      <c r="Z9" s="23">
        <f t="shared" si="0"/>
        <v>0</v>
      </c>
      <c r="AA9" s="23">
        <f t="shared" si="0"/>
        <v>0</v>
      </c>
      <c r="AB9" s="23"/>
      <c r="AC9" s="23">
        <f t="shared" si="0"/>
        <v>166.3</v>
      </c>
      <c r="AD9" s="23">
        <f t="shared" si="0"/>
        <v>0</v>
      </c>
      <c r="AE9" s="23">
        <f>AD9/AC9*100</f>
        <v>0</v>
      </c>
      <c r="AF9" s="23">
        <f t="shared" si="0"/>
        <v>0</v>
      </c>
      <c r="AG9" s="23">
        <f t="shared" si="0"/>
        <v>0</v>
      </c>
      <c r="AH9" s="23"/>
      <c r="AI9" s="23">
        <f t="shared" si="0"/>
        <v>0</v>
      </c>
      <c r="AJ9" s="23"/>
      <c r="AK9" s="23"/>
      <c r="AL9" s="23">
        <f t="shared" si="0"/>
        <v>0</v>
      </c>
      <c r="AM9" s="23"/>
      <c r="AN9" s="23"/>
      <c r="AO9" s="23">
        <f t="shared" si="0"/>
        <v>0</v>
      </c>
      <c r="AP9" s="23"/>
      <c r="AQ9" s="23"/>
      <c r="AR9" s="33"/>
      <c r="AS9" s="33"/>
    </row>
    <row r="10" spans="1:45" x14ac:dyDescent="0.3">
      <c r="A10" s="105"/>
      <c r="B10" s="105"/>
      <c r="C10" s="105"/>
      <c r="D10" s="35" t="s">
        <v>21</v>
      </c>
      <c r="E10" s="23">
        <f t="shared" ref="E10:F33" si="1">H10+K10+N10+Q10+T10+W10+Z10+AC10+AF10+AI10+AL10+AO10</f>
        <v>0</v>
      </c>
      <c r="F10" s="23">
        <f t="shared" si="1"/>
        <v>0</v>
      </c>
      <c r="G10" s="2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1"/>
      <c r="T10" s="23"/>
      <c r="U10" s="23"/>
      <c r="V10" s="23"/>
      <c r="W10" s="23"/>
      <c r="X10" s="23"/>
      <c r="Y10" s="21"/>
      <c r="Z10" s="23"/>
      <c r="AA10" s="23"/>
      <c r="AB10" s="23"/>
      <c r="AC10" s="23"/>
      <c r="AD10" s="23"/>
      <c r="AE10" s="21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33"/>
      <c r="AS10" s="33"/>
    </row>
    <row r="11" spans="1:45" ht="50.4" customHeight="1" x14ac:dyDescent="0.3">
      <c r="A11" s="105"/>
      <c r="B11" s="105"/>
      <c r="C11" s="105"/>
      <c r="D11" s="35" t="s">
        <v>4</v>
      </c>
      <c r="E11" s="23">
        <f t="shared" si="1"/>
        <v>116.4</v>
      </c>
      <c r="F11" s="23">
        <f t="shared" si="1"/>
        <v>0</v>
      </c>
      <c r="G11" s="23">
        <f>F11/E11*100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>
        <v>116.4</v>
      </c>
      <c r="AD11" s="23"/>
      <c r="AE11" s="23">
        <f>AD11/AC11*100</f>
        <v>0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79"/>
      <c r="AS11" s="94" t="s">
        <v>201</v>
      </c>
    </row>
    <row r="12" spans="1:45" ht="37.799999999999997" customHeight="1" x14ac:dyDescent="0.3">
      <c r="A12" s="105"/>
      <c r="B12" s="105"/>
      <c r="C12" s="105"/>
      <c r="D12" s="35" t="s">
        <v>44</v>
      </c>
      <c r="E12" s="23">
        <f t="shared" si="1"/>
        <v>49.9</v>
      </c>
      <c r="F12" s="23">
        <f t="shared" si="1"/>
        <v>0</v>
      </c>
      <c r="G12" s="23">
        <f>F12/E12*100</f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49.9</v>
      </c>
      <c r="AD12" s="23"/>
      <c r="AE12" s="23">
        <f>AD12/AC12*100</f>
        <v>0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33"/>
      <c r="AS12" s="95"/>
    </row>
    <row r="13" spans="1:45" x14ac:dyDescent="0.3">
      <c r="A13" s="105"/>
      <c r="B13" s="105"/>
      <c r="C13" s="105"/>
      <c r="D13" s="35" t="s">
        <v>22</v>
      </c>
      <c r="E13" s="23">
        <f t="shared" si="1"/>
        <v>0</v>
      </c>
      <c r="F13" s="23">
        <f t="shared" si="1"/>
        <v>0</v>
      </c>
      <c r="G13" s="2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33"/>
      <c r="AS13" s="33"/>
    </row>
    <row r="14" spans="1:45" ht="13.2" customHeight="1" x14ac:dyDescent="0.3">
      <c r="A14" s="107" t="s">
        <v>170</v>
      </c>
      <c r="B14" s="105" t="s">
        <v>172</v>
      </c>
      <c r="C14" s="105" t="s">
        <v>5</v>
      </c>
      <c r="D14" s="35" t="s">
        <v>3</v>
      </c>
      <c r="E14" s="23">
        <f>H14+K14+N14+Q14+T14+W14+Z14+AC14+AF14+AI14+AL14+AO14</f>
        <v>166.3</v>
      </c>
      <c r="F14" s="23">
        <f>I14+L14+O14+R14+U14+X14+AA14+AD14+AG14+AJ14+AM14+AP14</f>
        <v>0</v>
      </c>
      <c r="G14" s="23">
        <f>F14/E14*100</f>
        <v>0</v>
      </c>
      <c r="H14" s="23">
        <f>H15+H16+H17+H18</f>
        <v>0</v>
      </c>
      <c r="I14" s="23"/>
      <c r="J14" s="23"/>
      <c r="K14" s="23">
        <f t="shared" ref="K14" si="2">K15+K16+K17+K18</f>
        <v>0</v>
      </c>
      <c r="L14" s="23"/>
      <c r="M14" s="23"/>
      <c r="N14" s="23">
        <f t="shared" ref="N14" si="3">N15+N16+N17+N18</f>
        <v>0</v>
      </c>
      <c r="O14" s="23"/>
      <c r="P14" s="23"/>
      <c r="Q14" s="23">
        <f t="shared" ref="Q14:R14" si="4">Q15+Q16+Q17+Q18</f>
        <v>0</v>
      </c>
      <c r="R14" s="23">
        <f t="shared" si="4"/>
        <v>0</v>
      </c>
      <c r="S14" s="23"/>
      <c r="T14" s="23">
        <f t="shared" ref="T14" si="5">T15+T16+T17+T18</f>
        <v>0</v>
      </c>
      <c r="U14" s="23"/>
      <c r="V14" s="23"/>
      <c r="W14" s="23">
        <f t="shared" ref="W14:X14" si="6">W15+W16+W17+W18</f>
        <v>0</v>
      </c>
      <c r="X14" s="23">
        <f t="shared" si="6"/>
        <v>0</v>
      </c>
      <c r="Y14" s="23"/>
      <c r="Z14" s="23">
        <f t="shared" ref="Z14:AA14" si="7">Z15+Z16+Z17+Z18</f>
        <v>0</v>
      </c>
      <c r="AA14" s="23">
        <f t="shared" si="7"/>
        <v>0</v>
      </c>
      <c r="AB14" s="23"/>
      <c r="AC14" s="23">
        <f t="shared" ref="AC14:AD14" si="8">AC15+AC16+AC17+AC18</f>
        <v>166.3</v>
      </c>
      <c r="AD14" s="23">
        <f t="shared" si="8"/>
        <v>0</v>
      </c>
      <c r="AE14" s="23">
        <f>AD14/AC14*100</f>
        <v>0</v>
      </c>
      <c r="AF14" s="23">
        <f t="shared" ref="AF14" si="9">AF15+AF16+AF17+AF18</f>
        <v>0</v>
      </c>
      <c r="AG14" s="23"/>
      <c r="AH14" s="23"/>
      <c r="AI14" s="23">
        <f t="shared" ref="AI14" si="10">AI15+AI16+AI17+AI18</f>
        <v>0</v>
      </c>
      <c r="AJ14" s="23"/>
      <c r="AK14" s="23"/>
      <c r="AL14" s="23">
        <f t="shared" ref="AL14" si="11">AL15+AL16+AL17+AL18</f>
        <v>0</v>
      </c>
      <c r="AM14" s="23"/>
      <c r="AN14" s="23"/>
      <c r="AO14" s="23">
        <f t="shared" ref="AO14" si="12">AO15+AO16+AO17+AO18</f>
        <v>0</v>
      </c>
      <c r="AP14" s="23"/>
      <c r="AQ14" s="23"/>
      <c r="AR14" s="33"/>
      <c r="AS14" s="33"/>
    </row>
    <row r="15" spans="1:45" x14ac:dyDescent="0.3">
      <c r="A15" s="105"/>
      <c r="B15" s="105"/>
      <c r="C15" s="105"/>
      <c r="D15" s="35" t="s">
        <v>21</v>
      </c>
      <c r="E15" s="23">
        <f t="shared" ref="E15:F18" si="13">H15+K15+N15+Q15+T15+W15+Z15+AC15+AF15+AI15+AL15+AO15</f>
        <v>0</v>
      </c>
      <c r="F15" s="23">
        <f t="shared" si="13"/>
        <v>0</v>
      </c>
      <c r="G15" s="2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1"/>
      <c r="T15" s="23"/>
      <c r="U15" s="23"/>
      <c r="V15" s="23"/>
      <c r="W15" s="23"/>
      <c r="X15" s="23"/>
      <c r="Y15" s="21"/>
      <c r="Z15" s="23"/>
      <c r="AA15" s="23"/>
      <c r="AB15" s="23"/>
      <c r="AC15" s="23"/>
      <c r="AD15" s="23"/>
      <c r="AE15" s="21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33"/>
      <c r="AS15" s="33"/>
    </row>
    <row r="16" spans="1:45" ht="51" customHeight="1" x14ac:dyDescent="0.3">
      <c r="A16" s="105"/>
      <c r="B16" s="105"/>
      <c r="C16" s="105"/>
      <c r="D16" s="35" t="s">
        <v>4</v>
      </c>
      <c r="E16" s="23">
        <f t="shared" si="13"/>
        <v>116.4</v>
      </c>
      <c r="F16" s="23">
        <f t="shared" si="13"/>
        <v>0</v>
      </c>
      <c r="G16" s="23">
        <f>F16/E16*100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116.4</v>
      </c>
      <c r="AD16" s="23"/>
      <c r="AE16" s="23">
        <f>AD16/AC16*100</f>
        <v>0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79"/>
      <c r="AS16" s="94" t="s">
        <v>201</v>
      </c>
    </row>
    <row r="17" spans="1:45" ht="36" customHeight="1" x14ac:dyDescent="0.3">
      <c r="A17" s="105"/>
      <c r="B17" s="105"/>
      <c r="C17" s="105"/>
      <c r="D17" s="35" t="s">
        <v>44</v>
      </c>
      <c r="E17" s="23">
        <f t="shared" si="13"/>
        <v>49.9</v>
      </c>
      <c r="F17" s="23">
        <f t="shared" si="13"/>
        <v>0</v>
      </c>
      <c r="G17" s="23">
        <f>F17/E17*100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49.9</v>
      </c>
      <c r="AD17" s="23"/>
      <c r="AE17" s="23">
        <f>AD17/AC17*100</f>
        <v>0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33"/>
      <c r="AS17" s="95"/>
    </row>
    <row r="18" spans="1:45" x14ac:dyDescent="0.3">
      <c r="A18" s="105"/>
      <c r="B18" s="105"/>
      <c r="C18" s="105"/>
      <c r="D18" s="35" t="s">
        <v>22</v>
      </c>
      <c r="E18" s="23">
        <f t="shared" si="13"/>
        <v>0</v>
      </c>
      <c r="F18" s="23">
        <f t="shared" si="13"/>
        <v>0</v>
      </c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33"/>
      <c r="AS18" s="33"/>
    </row>
    <row r="19" spans="1:45" ht="13.2" customHeight="1" x14ac:dyDescent="0.3">
      <c r="A19" s="105" t="s">
        <v>20</v>
      </c>
      <c r="B19" s="105" t="s">
        <v>83</v>
      </c>
      <c r="C19" s="105" t="s">
        <v>5</v>
      </c>
      <c r="D19" s="35" t="s">
        <v>3</v>
      </c>
      <c r="E19" s="23">
        <f t="shared" si="1"/>
        <v>0</v>
      </c>
      <c r="F19" s="23">
        <f t="shared" si="1"/>
        <v>0</v>
      </c>
      <c r="G19" s="21"/>
      <c r="H19" s="23">
        <f>H20+H21+H22+H23</f>
        <v>0</v>
      </c>
      <c r="I19" s="23"/>
      <c r="J19" s="23"/>
      <c r="K19" s="23">
        <f t="shared" ref="K19:AO19" si="14">K20+K21+K22+K23</f>
        <v>0</v>
      </c>
      <c r="L19" s="23"/>
      <c r="M19" s="23"/>
      <c r="N19" s="23">
        <f t="shared" si="14"/>
        <v>0</v>
      </c>
      <c r="O19" s="23"/>
      <c r="P19" s="23"/>
      <c r="Q19" s="23">
        <f t="shared" si="14"/>
        <v>0</v>
      </c>
      <c r="R19" s="23"/>
      <c r="S19" s="23"/>
      <c r="T19" s="23">
        <f t="shared" si="14"/>
        <v>0</v>
      </c>
      <c r="U19" s="23"/>
      <c r="V19" s="23"/>
      <c r="W19" s="23">
        <f t="shared" si="14"/>
        <v>0</v>
      </c>
      <c r="X19" s="23"/>
      <c r="Y19" s="23"/>
      <c r="Z19" s="23">
        <f t="shared" si="14"/>
        <v>0</v>
      </c>
      <c r="AA19" s="23"/>
      <c r="AB19" s="23"/>
      <c r="AC19" s="23">
        <f t="shared" si="14"/>
        <v>0</v>
      </c>
      <c r="AD19" s="23">
        <f t="shared" si="14"/>
        <v>0</v>
      </c>
      <c r="AE19" s="23"/>
      <c r="AF19" s="23">
        <f t="shared" si="14"/>
        <v>0</v>
      </c>
      <c r="AG19" s="23"/>
      <c r="AH19" s="23"/>
      <c r="AI19" s="23">
        <f t="shared" si="14"/>
        <v>0</v>
      </c>
      <c r="AJ19" s="23"/>
      <c r="AK19" s="23"/>
      <c r="AL19" s="23">
        <f t="shared" si="14"/>
        <v>0</v>
      </c>
      <c r="AM19" s="23"/>
      <c r="AN19" s="23"/>
      <c r="AO19" s="23">
        <f t="shared" si="14"/>
        <v>0</v>
      </c>
      <c r="AP19" s="23"/>
      <c r="AQ19" s="23"/>
      <c r="AR19" s="33"/>
      <c r="AS19" s="33"/>
    </row>
    <row r="20" spans="1:45" x14ac:dyDescent="0.3">
      <c r="A20" s="105"/>
      <c r="B20" s="105"/>
      <c r="C20" s="105"/>
      <c r="D20" s="35" t="s">
        <v>21</v>
      </c>
      <c r="E20" s="23">
        <f t="shared" si="1"/>
        <v>0</v>
      </c>
      <c r="F20" s="23">
        <f t="shared" si="1"/>
        <v>0</v>
      </c>
      <c r="G20" s="2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33"/>
      <c r="AS20" s="33"/>
    </row>
    <row r="21" spans="1:45" ht="24" x14ac:dyDescent="0.3">
      <c r="A21" s="105"/>
      <c r="B21" s="105"/>
      <c r="C21" s="105"/>
      <c r="D21" s="35" t="s">
        <v>4</v>
      </c>
      <c r="E21" s="23">
        <f t="shared" si="1"/>
        <v>0</v>
      </c>
      <c r="F21" s="23">
        <f t="shared" si="1"/>
        <v>0</v>
      </c>
      <c r="G21" s="2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33"/>
      <c r="AS21" s="33"/>
    </row>
    <row r="22" spans="1:45" x14ac:dyDescent="0.3">
      <c r="A22" s="105"/>
      <c r="B22" s="105"/>
      <c r="C22" s="105"/>
      <c r="D22" s="35" t="s">
        <v>44</v>
      </c>
      <c r="E22" s="23">
        <f t="shared" si="1"/>
        <v>0</v>
      </c>
      <c r="F22" s="23">
        <f t="shared" si="1"/>
        <v>0</v>
      </c>
      <c r="G22" s="2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33"/>
      <c r="AS22" s="33"/>
    </row>
    <row r="23" spans="1:45" x14ac:dyDescent="0.3">
      <c r="A23" s="105"/>
      <c r="B23" s="105"/>
      <c r="C23" s="105"/>
      <c r="D23" s="35" t="s">
        <v>22</v>
      </c>
      <c r="E23" s="23">
        <f t="shared" si="1"/>
        <v>0</v>
      </c>
      <c r="F23" s="23">
        <f t="shared" si="1"/>
        <v>0</v>
      </c>
      <c r="G23" s="2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33"/>
      <c r="AS23" s="33"/>
    </row>
    <row r="24" spans="1:45" ht="13.2" customHeight="1" x14ac:dyDescent="0.3">
      <c r="A24" s="105" t="s">
        <v>140</v>
      </c>
      <c r="B24" s="105" t="s">
        <v>112</v>
      </c>
      <c r="C24" s="105" t="s">
        <v>5</v>
      </c>
      <c r="D24" s="35" t="s">
        <v>3</v>
      </c>
      <c r="E24" s="23">
        <f>H24+K24+N24+Q24+T24+W24+Z24+AC24+AF24+AI24+AL24+AO24</f>
        <v>704206</v>
      </c>
      <c r="F24" s="23">
        <f>I24+L24+O24+R24+U24+X24+AA24+AD24+AG24+AJ24+AM24+AP24</f>
        <v>510014.5</v>
      </c>
      <c r="G24" s="23">
        <f>F24/E24*100</f>
        <v>72.424049212872362</v>
      </c>
      <c r="H24" s="23">
        <f>H25+H26+H27+H28</f>
        <v>13638</v>
      </c>
      <c r="I24" s="23">
        <f>I25+I26+I27+I28</f>
        <v>13638</v>
      </c>
      <c r="J24" s="23">
        <f>I24/H24*100</f>
        <v>100</v>
      </c>
      <c r="K24" s="23">
        <f t="shared" ref="K24:AO24" si="15">K25+K26+K27+K28</f>
        <v>55010.9</v>
      </c>
      <c r="L24" s="23">
        <f t="shared" si="15"/>
        <v>55060.9</v>
      </c>
      <c r="M24" s="23">
        <f>L24/K24*100</f>
        <v>100.09089107795002</v>
      </c>
      <c r="N24" s="23">
        <f t="shared" si="15"/>
        <v>51751</v>
      </c>
      <c r="O24" s="23">
        <f t="shared" si="15"/>
        <v>51701</v>
      </c>
      <c r="P24" s="23">
        <f>O24/N24*100</f>
        <v>99.903383509497402</v>
      </c>
      <c r="Q24" s="23">
        <f t="shared" si="15"/>
        <v>58618.8</v>
      </c>
      <c r="R24" s="23">
        <f t="shared" si="15"/>
        <v>58618.8</v>
      </c>
      <c r="S24" s="23">
        <f>R24/Q24*100</f>
        <v>100</v>
      </c>
      <c r="T24" s="23">
        <f t="shared" si="15"/>
        <v>78952.399999999994</v>
      </c>
      <c r="U24" s="23">
        <f t="shared" si="15"/>
        <v>78952.399999999994</v>
      </c>
      <c r="V24" s="23">
        <f>U24/T24*100</f>
        <v>100</v>
      </c>
      <c r="W24" s="23">
        <f t="shared" si="15"/>
        <v>84142.5</v>
      </c>
      <c r="X24" s="23">
        <f t="shared" si="15"/>
        <v>84142.400000000009</v>
      </c>
      <c r="Y24" s="23">
        <f>X24/W24*100</f>
        <v>99.999881153994721</v>
      </c>
      <c r="Z24" s="23">
        <f t="shared" si="15"/>
        <v>75219.600000000006</v>
      </c>
      <c r="AA24" s="23">
        <f t="shared" si="15"/>
        <v>75663.3</v>
      </c>
      <c r="AB24" s="23">
        <f>AA24/Z24*100</f>
        <v>100.58987285228849</v>
      </c>
      <c r="AC24" s="23">
        <f t="shared" si="15"/>
        <v>47075.899999999994</v>
      </c>
      <c r="AD24" s="23">
        <f t="shared" si="15"/>
        <v>47806</v>
      </c>
      <c r="AE24" s="23">
        <f>AD24/AC24*100</f>
        <v>101.55089971726512</v>
      </c>
      <c r="AF24" s="23">
        <f t="shared" si="15"/>
        <v>47561.1</v>
      </c>
      <c r="AG24" s="23">
        <f t="shared" si="15"/>
        <v>44431.7</v>
      </c>
      <c r="AH24" s="23">
        <f>AG24/AF24*100</f>
        <v>93.420253106004694</v>
      </c>
      <c r="AI24" s="23">
        <f t="shared" si="15"/>
        <v>53043.4</v>
      </c>
      <c r="AJ24" s="23">
        <f t="shared" si="15"/>
        <v>0</v>
      </c>
      <c r="AK24" s="23">
        <f>AJ24/AI24*100</f>
        <v>0</v>
      </c>
      <c r="AL24" s="23">
        <f>AL25+AL26+AL27+AL28</f>
        <v>52933</v>
      </c>
      <c r="AM24" s="23">
        <f>AM25+AM26+AM27+AM28</f>
        <v>0</v>
      </c>
      <c r="AN24" s="23">
        <f>AM24/AL24*100</f>
        <v>0</v>
      </c>
      <c r="AO24" s="23">
        <f t="shared" si="15"/>
        <v>86259.400000000009</v>
      </c>
      <c r="AP24" s="23"/>
      <c r="AQ24" s="21">
        <f t="shared" ref="AQ24:AQ27" si="16">AP24/AO24</f>
        <v>0</v>
      </c>
      <c r="AR24" s="33"/>
      <c r="AS24" s="33"/>
    </row>
    <row r="25" spans="1:45" ht="12" customHeight="1" x14ac:dyDescent="0.3">
      <c r="A25" s="105"/>
      <c r="B25" s="105"/>
      <c r="C25" s="105"/>
      <c r="D25" s="35" t="s">
        <v>21</v>
      </c>
      <c r="E25" s="23">
        <f t="shared" si="1"/>
        <v>0</v>
      </c>
      <c r="F25" s="23">
        <f t="shared" si="1"/>
        <v>0</v>
      </c>
      <c r="G25" s="21"/>
      <c r="H25" s="23"/>
      <c r="I25" s="23"/>
      <c r="J25" s="21"/>
      <c r="K25" s="23"/>
      <c r="L25" s="23"/>
      <c r="M25" s="21"/>
      <c r="N25" s="23"/>
      <c r="O25" s="23"/>
      <c r="P25" s="21"/>
      <c r="Q25" s="23"/>
      <c r="R25" s="23"/>
      <c r="S25" s="21"/>
      <c r="T25" s="23"/>
      <c r="U25" s="23"/>
      <c r="V25" s="21"/>
      <c r="W25" s="23"/>
      <c r="X25" s="23"/>
      <c r="Y25" s="21"/>
      <c r="Z25" s="23"/>
      <c r="AA25" s="23"/>
      <c r="AB25" s="21"/>
      <c r="AC25" s="23"/>
      <c r="AD25" s="23"/>
      <c r="AE25" s="21"/>
      <c r="AF25" s="23"/>
      <c r="AG25" s="23"/>
      <c r="AH25" s="21"/>
      <c r="AI25" s="23"/>
      <c r="AJ25" s="23"/>
      <c r="AK25" s="21"/>
      <c r="AL25" s="23"/>
      <c r="AM25" s="23"/>
      <c r="AN25" s="21"/>
      <c r="AO25" s="23"/>
      <c r="AP25" s="23"/>
      <c r="AQ25" s="21"/>
      <c r="AR25" s="33"/>
      <c r="AS25" s="33"/>
    </row>
    <row r="26" spans="1:45" ht="48.6" customHeight="1" x14ac:dyDescent="0.3">
      <c r="A26" s="105"/>
      <c r="B26" s="105"/>
      <c r="C26" s="105"/>
      <c r="D26" s="35" t="s">
        <v>4</v>
      </c>
      <c r="E26" s="23">
        <f t="shared" si="1"/>
        <v>582423</v>
      </c>
      <c r="F26" s="23">
        <f t="shared" si="1"/>
        <v>428105.50000000006</v>
      </c>
      <c r="G26" s="23">
        <f>F26/E26*100</f>
        <v>73.504222875813639</v>
      </c>
      <c r="H26" s="23">
        <v>11991</v>
      </c>
      <c r="I26" s="23">
        <v>11991</v>
      </c>
      <c r="J26" s="23">
        <f>I26/H26*100</f>
        <v>100</v>
      </c>
      <c r="K26" s="23">
        <v>43999</v>
      </c>
      <c r="L26" s="23">
        <v>43999</v>
      </c>
      <c r="M26" s="23">
        <f>L26/K26*100</f>
        <v>100</v>
      </c>
      <c r="N26" s="23">
        <v>43313</v>
      </c>
      <c r="O26" s="23">
        <v>43313</v>
      </c>
      <c r="P26" s="23">
        <f>O26/N26*100</f>
        <v>100</v>
      </c>
      <c r="Q26" s="23">
        <v>45140</v>
      </c>
      <c r="R26" s="23">
        <v>45140</v>
      </c>
      <c r="S26" s="23">
        <f>R26/Q26*100</f>
        <v>100</v>
      </c>
      <c r="T26" s="23">
        <v>69880.2</v>
      </c>
      <c r="U26" s="23">
        <v>69880.2</v>
      </c>
      <c r="V26" s="23">
        <f>U26/T26*100</f>
        <v>100</v>
      </c>
      <c r="W26" s="23">
        <f>74407.6</f>
        <v>74407.600000000006</v>
      </c>
      <c r="X26" s="23">
        <v>74407.600000000006</v>
      </c>
      <c r="Y26" s="23">
        <f>X26/W26*100</f>
        <v>100</v>
      </c>
      <c r="Z26" s="23">
        <f>51271.9+8294.5</f>
        <v>59566.400000000001</v>
      </c>
      <c r="AA26" s="23">
        <v>63376.9</v>
      </c>
      <c r="AB26" s="23">
        <f>AA26/Z26*100</f>
        <v>106.39706277364421</v>
      </c>
      <c r="AC26" s="23">
        <f>38082.1</f>
        <v>38082.1</v>
      </c>
      <c r="AD26" s="23">
        <v>39686.1</v>
      </c>
      <c r="AE26" s="23">
        <f>AD26/AC26*100</f>
        <v>104.21195259715195</v>
      </c>
      <c r="AF26" s="23">
        <f>36858.5+4867.7</f>
        <v>41726.199999999997</v>
      </c>
      <c r="AG26" s="23">
        <v>36311.699999999997</v>
      </c>
      <c r="AH26" s="23">
        <f>AG26/AF26*100</f>
        <v>87.023740479602736</v>
      </c>
      <c r="AI26" s="23">
        <v>42650.8</v>
      </c>
      <c r="AJ26" s="23"/>
      <c r="AK26" s="23">
        <f>AJ26/AI26*100</f>
        <v>0</v>
      </c>
      <c r="AL26" s="23">
        <v>43645.599999999999</v>
      </c>
      <c r="AM26" s="23"/>
      <c r="AN26" s="23"/>
      <c r="AO26" s="23">
        <f>66584.2+8357.8+6765-8818.2-4867.7</f>
        <v>68021.100000000006</v>
      </c>
      <c r="AP26" s="23"/>
      <c r="AQ26" s="21">
        <f t="shared" si="16"/>
        <v>0</v>
      </c>
      <c r="AR26" s="91" t="s">
        <v>176</v>
      </c>
      <c r="AS26" s="33"/>
    </row>
    <row r="27" spans="1:45" ht="49.8" customHeight="1" x14ac:dyDescent="0.3">
      <c r="A27" s="105"/>
      <c r="B27" s="105"/>
      <c r="C27" s="105"/>
      <c r="D27" s="35" t="s">
        <v>44</v>
      </c>
      <c r="E27" s="23">
        <f t="shared" si="1"/>
        <v>121783</v>
      </c>
      <c r="F27" s="23">
        <f t="shared" si="1"/>
        <v>81908.999999999985</v>
      </c>
      <c r="G27" s="23">
        <f>F27/E27*100</f>
        <v>67.258155900248795</v>
      </c>
      <c r="H27" s="23">
        <v>1647</v>
      </c>
      <c r="I27" s="23">
        <v>1647</v>
      </c>
      <c r="J27" s="23">
        <f>I27/H27*100</f>
        <v>100</v>
      </c>
      <c r="K27" s="23">
        <v>11011.9</v>
      </c>
      <c r="L27" s="23">
        <v>11061.9</v>
      </c>
      <c r="M27" s="23">
        <f>L27/K27*100</f>
        <v>100.45405425040184</v>
      </c>
      <c r="N27" s="23">
        <f>10135.2-1697.2</f>
        <v>8438</v>
      </c>
      <c r="O27" s="23">
        <v>8388</v>
      </c>
      <c r="P27" s="23">
        <f>O27/N27*100</f>
        <v>99.407442521924622</v>
      </c>
      <c r="Q27" s="23">
        <f>13159.3+319.5</f>
        <v>13478.8</v>
      </c>
      <c r="R27" s="23">
        <v>13478.8</v>
      </c>
      <c r="S27" s="23">
        <f>R27/Q27*100</f>
        <v>100</v>
      </c>
      <c r="T27" s="23">
        <v>9072.2000000000007</v>
      </c>
      <c r="U27" s="23">
        <v>9072.2000000000007</v>
      </c>
      <c r="V27" s="23">
        <f>U27/T27*100</f>
        <v>100</v>
      </c>
      <c r="W27" s="23">
        <v>9734.9</v>
      </c>
      <c r="X27" s="23">
        <v>9734.7999999999993</v>
      </c>
      <c r="Y27" s="23">
        <f>X27/W27*100</f>
        <v>99.998972768081856</v>
      </c>
      <c r="Z27" s="23">
        <v>15653.2</v>
      </c>
      <c r="AA27" s="23">
        <v>12286.4</v>
      </c>
      <c r="AB27" s="23">
        <f>AA27/Z27*100</f>
        <v>78.491298903738524</v>
      </c>
      <c r="AC27" s="23">
        <v>8993.7999999999993</v>
      </c>
      <c r="AD27" s="23">
        <v>8119.9</v>
      </c>
      <c r="AE27" s="23">
        <f>AD27/AC27*100</f>
        <v>90.283306277657942</v>
      </c>
      <c r="AF27" s="23">
        <f>6140.5-305.6</f>
        <v>5834.9</v>
      </c>
      <c r="AG27" s="23">
        <v>8120</v>
      </c>
      <c r="AH27" s="23">
        <f>AG27/AF27*100</f>
        <v>139.16262489502819</v>
      </c>
      <c r="AI27" s="23">
        <v>10392.6</v>
      </c>
      <c r="AJ27" s="23"/>
      <c r="AK27" s="23">
        <f>AJ27/AI27*100</f>
        <v>0</v>
      </c>
      <c r="AL27" s="23">
        <v>9287.4</v>
      </c>
      <c r="AM27" s="23"/>
      <c r="AN27" s="23"/>
      <c r="AO27" s="23">
        <f>17552.3+686</f>
        <v>18238.3</v>
      </c>
      <c r="AP27" s="23"/>
      <c r="AQ27" s="21">
        <f t="shared" si="16"/>
        <v>0</v>
      </c>
      <c r="AR27" s="91" t="s">
        <v>177</v>
      </c>
      <c r="AS27" s="91" t="s">
        <v>202</v>
      </c>
    </row>
    <row r="28" spans="1:45" x14ac:dyDescent="0.3">
      <c r="A28" s="105"/>
      <c r="B28" s="105"/>
      <c r="C28" s="105"/>
      <c r="D28" s="35" t="s">
        <v>22</v>
      </c>
      <c r="E28" s="23">
        <f t="shared" si="1"/>
        <v>0</v>
      </c>
      <c r="F28" s="23">
        <f t="shared" si="1"/>
        <v>0</v>
      </c>
      <c r="G28" s="2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1"/>
      <c r="AI28" s="23"/>
      <c r="AJ28" s="23"/>
      <c r="AK28" s="21"/>
      <c r="AL28" s="23"/>
      <c r="AM28" s="23"/>
      <c r="AN28" s="23"/>
      <c r="AO28" s="23"/>
      <c r="AP28" s="23"/>
      <c r="AQ28" s="23"/>
      <c r="AR28" s="33"/>
      <c r="AS28" s="33"/>
    </row>
    <row r="29" spans="1:45" ht="12.6" customHeight="1" x14ac:dyDescent="0.3">
      <c r="A29" s="106" t="s">
        <v>139</v>
      </c>
      <c r="B29" s="105" t="s">
        <v>84</v>
      </c>
      <c r="C29" s="105" t="s">
        <v>5</v>
      </c>
      <c r="D29" s="35" t="s">
        <v>3</v>
      </c>
      <c r="E29" s="23">
        <f t="shared" si="1"/>
        <v>31059</v>
      </c>
      <c r="F29" s="23">
        <f t="shared" si="1"/>
        <v>17712</v>
      </c>
      <c r="G29" s="23">
        <f>F29/E29*100</f>
        <v>57.026948710518688</v>
      </c>
      <c r="H29" s="23">
        <f>H30+H31+H32+H33</f>
        <v>0</v>
      </c>
      <c r="I29" s="23"/>
      <c r="J29" s="23"/>
      <c r="K29" s="23">
        <f t="shared" ref="K29:AO29" si="17">K30+K31+K32+K33</f>
        <v>2182.8000000000002</v>
      </c>
      <c r="L29" s="23">
        <f t="shared" si="17"/>
        <v>2182.8000000000002</v>
      </c>
      <c r="M29" s="23">
        <f t="shared" ref="M29" si="18">L29/K29*100</f>
        <v>100</v>
      </c>
      <c r="N29" s="23">
        <f t="shared" si="17"/>
        <v>2192.1</v>
      </c>
      <c r="O29" s="23">
        <f t="shared" si="17"/>
        <v>2192.1</v>
      </c>
      <c r="P29" s="23">
        <f t="shared" ref="P29:P31" si="19">O29/N29*100</f>
        <v>100</v>
      </c>
      <c r="Q29" s="23">
        <f t="shared" si="17"/>
        <v>3013.5</v>
      </c>
      <c r="R29" s="23">
        <f t="shared" si="17"/>
        <v>3013.5</v>
      </c>
      <c r="S29" s="23">
        <f>R29/Q29*100</f>
        <v>100</v>
      </c>
      <c r="T29" s="23">
        <f t="shared" si="17"/>
        <v>3300</v>
      </c>
      <c r="U29" s="23">
        <f t="shared" si="17"/>
        <v>2972.5</v>
      </c>
      <c r="V29" s="23">
        <f>U29/T29*100</f>
        <v>90.075757575757578</v>
      </c>
      <c r="W29" s="23">
        <f t="shared" si="17"/>
        <v>2686.5</v>
      </c>
      <c r="X29" s="23">
        <f t="shared" si="17"/>
        <v>2630.2</v>
      </c>
      <c r="Y29" s="23">
        <f>X29/W29*100</f>
        <v>97.904336497301315</v>
      </c>
      <c r="Z29" s="23">
        <f t="shared" si="17"/>
        <v>1900</v>
      </c>
      <c r="AA29" s="23">
        <f t="shared" si="17"/>
        <v>1935.1</v>
      </c>
      <c r="AB29" s="23">
        <f>AA29/Z29*100</f>
        <v>101.84736842105262</v>
      </c>
      <c r="AC29" s="23">
        <f t="shared" si="17"/>
        <v>1700</v>
      </c>
      <c r="AD29" s="23">
        <f t="shared" si="17"/>
        <v>1348.7</v>
      </c>
      <c r="AE29" s="23">
        <f>AD29/AC29*100</f>
        <v>79.335294117647067</v>
      </c>
      <c r="AF29" s="23">
        <f t="shared" si="17"/>
        <v>1700</v>
      </c>
      <c r="AG29" s="23">
        <f t="shared" si="17"/>
        <v>1437.1</v>
      </c>
      <c r="AH29" s="23">
        <f>AG29/AF29*100</f>
        <v>84.535294117647055</v>
      </c>
      <c r="AI29" s="23">
        <f t="shared" si="17"/>
        <v>2600</v>
      </c>
      <c r="AJ29" s="23">
        <f t="shared" si="17"/>
        <v>0</v>
      </c>
      <c r="AK29" s="23">
        <f>AJ29/AI29*100</f>
        <v>0</v>
      </c>
      <c r="AL29" s="23">
        <f t="shared" si="17"/>
        <v>3000</v>
      </c>
      <c r="AM29" s="23">
        <f t="shared" si="17"/>
        <v>0</v>
      </c>
      <c r="AN29" s="23">
        <f>AM29/AL29*100</f>
        <v>0</v>
      </c>
      <c r="AO29" s="23">
        <f t="shared" si="17"/>
        <v>6784.1</v>
      </c>
      <c r="AP29" s="23"/>
      <c r="AQ29" s="21">
        <f t="shared" ref="AQ29:AQ31" si="20">AP29/AO29</f>
        <v>0</v>
      </c>
      <c r="AR29" s="33"/>
      <c r="AS29" s="33"/>
    </row>
    <row r="30" spans="1:45" x14ac:dyDescent="0.3">
      <c r="A30" s="105"/>
      <c r="B30" s="105"/>
      <c r="C30" s="105"/>
      <c r="D30" s="35" t="s">
        <v>21</v>
      </c>
      <c r="E30" s="23">
        <f t="shared" si="1"/>
        <v>0</v>
      </c>
      <c r="F30" s="23">
        <f t="shared" si="1"/>
        <v>0</v>
      </c>
      <c r="G30" s="2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1"/>
      <c r="T30" s="23"/>
      <c r="U30" s="23"/>
      <c r="V30" s="21"/>
      <c r="W30" s="23"/>
      <c r="X30" s="23"/>
      <c r="Y30" s="21"/>
      <c r="Z30" s="23"/>
      <c r="AA30" s="23"/>
      <c r="AB30" s="21"/>
      <c r="AC30" s="23"/>
      <c r="AD30" s="23"/>
      <c r="AE30" s="21"/>
      <c r="AF30" s="23"/>
      <c r="AG30" s="23"/>
      <c r="AH30" s="21"/>
      <c r="AI30" s="23"/>
      <c r="AJ30" s="23"/>
      <c r="AK30" s="21"/>
      <c r="AL30" s="23"/>
      <c r="AM30" s="23"/>
      <c r="AN30" s="21"/>
      <c r="AO30" s="23"/>
      <c r="AP30" s="23"/>
      <c r="AQ30" s="21"/>
      <c r="AR30" s="33"/>
      <c r="AS30" s="33"/>
    </row>
    <row r="31" spans="1:45" ht="37.200000000000003" customHeight="1" x14ac:dyDescent="0.3">
      <c r="A31" s="105"/>
      <c r="B31" s="105"/>
      <c r="C31" s="105"/>
      <c r="D31" s="35" t="s">
        <v>4</v>
      </c>
      <c r="E31" s="23">
        <f t="shared" si="1"/>
        <v>31059</v>
      </c>
      <c r="F31" s="23">
        <f t="shared" si="1"/>
        <v>17712</v>
      </c>
      <c r="G31" s="23">
        <f>F31/E31*100</f>
        <v>57.026948710518688</v>
      </c>
      <c r="H31" s="23"/>
      <c r="I31" s="23"/>
      <c r="J31" s="23"/>
      <c r="K31" s="23">
        <v>2182.8000000000002</v>
      </c>
      <c r="L31" s="23">
        <v>2182.8000000000002</v>
      </c>
      <c r="M31" s="23">
        <f t="shared" ref="M31" si="21">L31/K31*100</f>
        <v>100</v>
      </c>
      <c r="N31" s="23">
        <v>2192.1</v>
      </c>
      <c r="O31" s="23">
        <v>2192.1</v>
      </c>
      <c r="P31" s="23">
        <f t="shared" si="19"/>
        <v>100</v>
      </c>
      <c r="Q31" s="23">
        <v>3013.5</v>
      </c>
      <c r="R31" s="23">
        <v>3013.5</v>
      </c>
      <c r="S31" s="23">
        <f>R31/Q31*100</f>
        <v>100</v>
      </c>
      <c r="T31" s="23">
        <f>3300</f>
        <v>3300</v>
      </c>
      <c r="U31" s="23">
        <v>2972.5</v>
      </c>
      <c r="V31" s="23">
        <f>U31/T31*100</f>
        <v>90.075757575757578</v>
      </c>
      <c r="W31" s="23">
        <f>2700-13.5</f>
        <v>2686.5</v>
      </c>
      <c r="X31" s="23">
        <v>2630.2</v>
      </c>
      <c r="Y31" s="23">
        <f>X31/W31*100</f>
        <v>97.904336497301315</v>
      </c>
      <c r="Z31" s="23">
        <v>1900</v>
      </c>
      <c r="AA31" s="23">
        <v>1935.1</v>
      </c>
      <c r="AB31" s="23">
        <f>AA31/Z31*100</f>
        <v>101.84736842105262</v>
      </c>
      <c r="AC31" s="23">
        <v>1700</v>
      </c>
      <c r="AD31" s="23">
        <v>1348.7</v>
      </c>
      <c r="AE31" s="23">
        <f>AD31/AC31*100</f>
        <v>79.335294117647067</v>
      </c>
      <c r="AF31" s="23">
        <v>1700</v>
      </c>
      <c r="AG31" s="23">
        <v>1437.1</v>
      </c>
      <c r="AH31" s="23">
        <f>AG31/AF31*100</f>
        <v>84.535294117647055</v>
      </c>
      <c r="AI31" s="23">
        <v>2600</v>
      </c>
      <c r="AJ31" s="23"/>
      <c r="AK31" s="23">
        <f>AJ31/AI31*100</f>
        <v>0</v>
      </c>
      <c r="AL31" s="23">
        <v>3000</v>
      </c>
      <c r="AM31" s="23"/>
      <c r="AN31" s="23"/>
      <c r="AO31" s="23">
        <f>5159+1625.1</f>
        <v>6784.1</v>
      </c>
      <c r="AP31" s="23"/>
      <c r="AQ31" s="21">
        <f t="shared" si="20"/>
        <v>0</v>
      </c>
      <c r="AR31" s="91" t="s">
        <v>178</v>
      </c>
      <c r="AS31" s="91" t="s">
        <v>211</v>
      </c>
    </row>
    <row r="32" spans="1:45" x14ac:dyDescent="0.3">
      <c r="A32" s="105"/>
      <c r="B32" s="105"/>
      <c r="C32" s="105"/>
      <c r="D32" s="35" t="s">
        <v>44</v>
      </c>
      <c r="E32" s="23">
        <f t="shared" si="1"/>
        <v>0</v>
      </c>
      <c r="F32" s="23">
        <f t="shared" si="1"/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33"/>
      <c r="AS32" s="33"/>
    </row>
    <row r="33" spans="1:45" x14ac:dyDescent="0.3">
      <c r="A33" s="105"/>
      <c r="B33" s="105"/>
      <c r="C33" s="105"/>
      <c r="D33" s="35" t="s">
        <v>22</v>
      </c>
      <c r="E33" s="23">
        <f t="shared" si="1"/>
        <v>0</v>
      </c>
      <c r="F33" s="23">
        <f t="shared" si="1"/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33"/>
      <c r="AS33" s="33"/>
    </row>
    <row r="34" spans="1:45" ht="12" customHeight="1" x14ac:dyDescent="0.3">
      <c r="A34" s="108" t="s">
        <v>6</v>
      </c>
      <c r="B34" s="108"/>
      <c r="C34" s="108"/>
      <c r="D34" s="36" t="s">
        <v>3</v>
      </c>
      <c r="E34" s="37">
        <f t="shared" ref="E34:F38" si="22">H34+K34+N34+Q34+T34+W34+Z34+AC34+AF34+AI34+AL34+AO34</f>
        <v>735431.3</v>
      </c>
      <c r="F34" s="37">
        <f t="shared" si="22"/>
        <v>527726.5</v>
      </c>
      <c r="G34" s="37">
        <f>F34/E34*100</f>
        <v>71.757416362344102</v>
      </c>
      <c r="H34" s="37">
        <f>H36+H35+H37+H38</f>
        <v>13638</v>
      </c>
      <c r="I34" s="37">
        <f>I36+I35+I37+I38</f>
        <v>13638</v>
      </c>
      <c r="J34" s="37">
        <f>I34/H34*100</f>
        <v>100</v>
      </c>
      <c r="K34" s="37">
        <f t="shared" ref="K34:AO34" si="23">K36+K35+K37+K38</f>
        <v>57193.700000000004</v>
      </c>
      <c r="L34" s="37">
        <f t="shared" si="23"/>
        <v>57243.700000000004</v>
      </c>
      <c r="M34" s="37">
        <f>L34/K34*100</f>
        <v>100.08742221608324</v>
      </c>
      <c r="N34" s="37">
        <f t="shared" si="23"/>
        <v>53943.1</v>
      </c>
      <c r="O34" s="37">
        <f t="shared" si="23"/>
        <v>53893.1</v>
      </c>
      <c r="P34" s="37">
        <f>O34/N34*100</f>
        <v>99.907309739336441</v>
      </c>
      <c r="Q34" s="37">
        <f t="shared" si="23"/>
        <v>61632.3</v>
      </c>
      <c r="R34" s="37">
        <f t="shared" si="23"/>
        <v>61632.3</v>
      </c>
      <c r="S34" s="37">
        <f>R34/Q34*100</f>
        <v>100</v>
      </c>
      <c r="T34" s="37">
        <f t="shared" si="23"/>
        <v>82252.399999999994</v>
      </c>
      <c r="U34" s="37">
        <f t="shared" si="23"/>
        <v>81924.899999999994</v>
      </c>
      <c r="V34" s="37">
        <f>U34/T34*100</f>
        <v>99.601835326385611</v>
      </c>
      <c r="W34" s="37">
        <f t="shared" si="23"/>
        <v>86829</v>
      </c>
      <c r="X34" s="37">
        <f t="shared" si="23"/>
        <v>86772.6</v>
      </c>
      <c r="Y34" s="37">
        <f>X34/W34*100</f>
        <v>99.935044743115782</v>
      </c>
      <c r="Z34" s="37">
        <f t="shared" si="23"/>
        <v>77119.600000000006</v>
      </c>
      <c r="AA34" s="37">
        <f t="shared" si="23"/>
        <v>77598.399999999994</v>
      </c>
      <c r="AB34" s="37">
        <f>AA34/Z34*100</f>
        <v>100.62085384260291</v>
      </c>
      <c r="AC34" s="37">
        <f t="shared" si="23"/>
        <v>48942.2</v>
      </c>
      <c r="AD34" s="37">
        <f t="shared" si="23"/>
        <v>49154.7</v>
      </c>
      <c r="AE34" s="37">
        <f>AD34/AC34*100</f>
        <v>100.43418563121395</v>
      </c>
      <c r="AF34" s="37">
        <f t="shared" si="23"/>
        <v>49261.1</v>
      </c>
      <c r="AG34" s="37">
        <f t="shared" si="23"/>
        <v>45868.799999999996</v>
      </c>
      <c r="AH34" s="37">
        <f>AG34/AF34*100</f>
        <v>93.113633272501019</v>
      </c>
      <c r="AI34" s="37">
        <f t="shared" si="23"/>
        <v>55643.4</v>
      </c>
      <c r="AJ34" s="37">
        <f t="shared" si="23"/>
        <v>0</v>
      </c>
      <c r="AK34" s="37">
        <f>AJ34/AI34*100</f>
        <v>0</v>
      </c>
      <c r="AL34" s="37">
        <f t="shared" si="23"/>
        <v>55933</v>
      </c>
      <c r="AM34" s="37">
        <f t="shared" si="23"/>
        <v>0</v>
      </c>
      <c r="AN34" s="37">
        <f>AM34/AL34*100</f>
        <v>0</v>
      </c>
      <c r="AO34" s="37">
        <f t="shared" si="23"/>
        <v>93043.500000000015</v>
      </c>
      <c r="AP34" s="37"/>
      <c r="AQ34" s="22">
        <f t="shared" ref="AQ34:AQ37" si="24">AP34/AO34</f>
        <v>0</v>
      </c>
      <c r="AR34" s="33"/>
      <c r="AS34" s="33"/>
    </row>
    <row r="35" spans="1:45" ht="13.5" customHeight="1" x14ac:dyDescent="0.3">
      <c r="A35" s="108"/>
      <c r="B35" s="108"/>
      <c r="C35" s="108"/>
      <c r="D35" s="36" t="s">
        <v>21</v>
      </c>
      <c r="E35" s="37">
        <f t="shared" si="22"/>
        <v>0</v>
      </c>
      <c r="F35" s="37">
        <f t="shared" si="22"/>
        <v>0</v>
      </c>
      <c r="G35" s="22"/>
      <c r="H35" s="37">
        <f t="shared" ref="H35:I38" si="25">H10+H20+H25+H30</f>
        <v>0</v>
      </c>
      <c r="I35" s="37">
        <f t="shared" si="25"/>
        <v>0</v>
      </c>
      <c r="J35" s="22"/>
      <c r="K35" s="37">
        <f t="shared" ref="K35:L38" si="26">K10+K20+K25+K30</f>
        <v>0</v>
      </c>
      <c r="L35" s="37">
        <f t="shared" si="26"/>
        <v>0</v>
      </c>
      <c r="M35" s="22"/>
      <c r="N35" s="37">
        <f t="shared" ref="N35:O38" si="27">N10+N20+N25+N30</f>
        <v>0</v>
      </c>
      <c r="O35" s="37">
        <f t="shared" si="27"/>
        <v>0</v>
      </c>
      <c r="P35" s="22"/>
      <c r="Q35" s="37">
        <f t="shared" ref="Q35:R38" si="28">Q10+Q20+Q25+Q30</f>
        <v>0</v>
      </c>
      <c r="R35" s="37">
        <f t="shared" si="28"/>
        <v>0</v>
      </c>
      <c r="S35" s="22"/>
      <c r="T35" s="37">
        <f t="shared" ref="T35:U38" si="29">T10+T20+T25+T30</f>
        <v>0</v>
      </c>
      <c r="U35" s="37">
        <f t="shared" si="29"/>
        <v>0</v>
      </c>
      <c r="V35" s="22"/>
      <c r="W35" s="37">
        <f t="shared" ref="W35:X38" si="30">W10+W20+W25+W30</f>
        <v>0</v>
      </c>
      <c r="X35" s="37">
        <f t="shared" si="30"/>
        <v>0</v>
      </c>
      <c r="Y35" s="22"/>
      <c r="Z35" s="37">
        <f t="shared" ref="Z35:AA38" si="31">Z10+Z20+Z25+Z30</f>
        <v>0</v>
      </c>
      <c r="AA35" s="37">
        <f t="shared" si="31"/>
        <v>0</v>
      </c>
      <c r="AB35" s="22"/>
      <c r="AC35" s="37">
        <f t="shared" ref="AC35:AD38" si="32">AC10+AC20+AC25+AC30</f>
        <v>0</v>
      </c>
      <c r="AD35" s="37">
        <f t="shared" si="32"/>
        <v>0</v>
      </c>
      <c r="AE35" s="22"/>
      <c r="AF35" s="37">
        <f t="shared" ref="AF35:AG37" si="33">AF10+AF20+AF25+AF30</f>
        <v>0</v>
      </c>
      <c r="AG35" s="37">
        <f t="shared" si="33"/>
        <v>0</v>
      </c>
      <c r="AH35" s="22"/>
      <c r="AI35" s="37">
        <f t="shared" ref="AI35:AJ37" si="34">AI10+AI20+AI25+AI30</f>
        <v>0</v>
      </c>
      <c r="AJ35" s="37">
        <f t="shared" si="34"/>
        <v>0</v>
      </c>
      <c r="AK35" s="22"/>
      <c r="AL35" s="37">
        <f t="shared" ref="AL35:AM37" si="35">AL10+AL20+AL25+AL30</f>
        <v>0</v>
      </c>
      <c r="AM35" s="37">
        <f t="shared" si="35"/>
        <v>0</v>
      </c>
      <c r="AN35" s="22"/>
      <c r="AO35" s="37">
        <f>AO10+AO20+AO25+AO30</f>
        <v>0</v>
      </c>
      <c r="AP35" s="23"/>
      <c r="AQ35" s="22"/>
      <c r="AR35" s="33"/>
      <c r="AS35" s="33"/>
    </row>
    <row r="36" spans="1:45" ht="23.25" customHeight="1" x14ac:dyDescent="0.3">
      <c r="A36" s="108"/>
      <c r="B36" s="108"/>
      <c r="C36" s="108"/>
      <c r="D36" s="36" t="s">
        <v>4</v>
      </c>
      <c r="E36" s="37">
        <f t="shared" si="22"/>
        <v>613598.39999999991</v>
      </c>
      <c r="F36" s="37">
        <f t="shared" si="22"/>
        <v>445817.49999999994</v>
      </c>
      <c r="G36" s="37">
        <f>F36/E36*100</f>
        <v>72.656235739858516</v>
      </c>
      <c r="H36" s="37">
        <f t="shared" si="25"/>
        <v>11991</v>
      </c>
      <c r="I36" s="37">
        <f t="shared" si="25"/>
        <v>11991</v>
      </c>
      <c r="J36" s="37">
        <f>I36/H36*100</f>
        <v>100</v>
      </c>
      <c r="K36" s="37">
        <f t="shared" si="26"/>
        <v>46181.8</v>
      </c>
      <c r="L36" s="37">
        <f t="shared" si="26"/>
        <v>46181.8</v>
      </c>
      <c r="M36" s="37">
        <f>L36/K36*100</f>
        <v>100</v>
      </c>
      <c r="N36" s="37">
        <f t="shared" si="27"/>
        <v>45505.1</v>
      </c>
      <c r="O36" s="37">
        <f t="shared" si="27"/>
        <v>45505.1</v>
      </c>
      <c r="P36" s="37">
        <f>O36/N36*100</f>
        <v>100</v>
      </c>
      <c r="Q36" s="37">
        <f t="shared" si="28"/>
        <v>48153.5</v>
      </c>
      <c r="R36" s="37">
        <f t="shared" si="28"/>
        <v>48153.5</v>
      </c>
      <c r="S36" s="37">
        <f>R36/Q36*100</f>
        <v>100</v>
      </c>
      <c r="T36" s="37">
        <f t="shared" si="29"/>
        <v>73180.2</v>
      </c>
      <c r="U36" s="37">
        <f t="shared" si="29"/>
        <v>72852.7</v>
      </c>
      <c r="V36" s="37">
        <f>U36/T36*100</f>
        <v>99.552474576456476</v>
      </c>
      <c r="W36" s="37">
        <f t="shared" si="30"/>
        <v>77094.100000000006</v>
      </c>
      <c r="X36" s="37">
        <f t="shared" si="30"/>
        <v>77037.8</v>
      </c>
      <c r="Y36" s="37">
        <f>X36/W36*100</f>
        <v>99.926972362346788</v>
      </c>
      <c r="Z36" s="37">
        <f t="shared" si="31"/>
        <v>61466.400000000001</v>
      </c>
      <c r="AA36" s="37">
        <f t="shared" si="31"/>
        <v>65312</v>
      </c>
      <c r="AB36" s="37">
        <f>AA36/Z36*100</f>
        <v>106.25642627516822</v>
      </c>
      <c r="AC36" s="37">
        <f t="shared" si="32"/>
        <v>39898.5</v>
      </c>
      <c r="AD36" s="37">
        <f t="shared" si="32"/>
        <v>41034.799999999996</v>
      </c>
      <c r="AE36" s="37">
        <f>AD36/AC36*100</f>
        <v>102.84797674098023</v>
      </c>
      <c r="AF36" s="37">
        <f t="shared" si="33"/>
        <v>43426.2</v>
      </c>
      <c r="AG36" s="37">
        <f t="shared" si="33"/>
        <v>37748.799999999996</v>
      </c>
      <c r="AH36" s="37">
        <f>AG36/AF36*100</f>
        <v>86.92632558225219</v>
      </c>
      <c r="AI36" s="37">
        <f t="shared" si="34"/>
        <v>45250.8</v>
      </c>
      <c r="AJ36" s="37">
        <f t="shared" si="34"/>
        <v>0</v>
      </c>
      <c r="AK36" s="37">
        <f>AJ36/AI36*100</f>
        <v>0</v>
      </c>
      <c r="AL36" s="37">
        <f t="shared" si="35"/>
        <v>46645.599999999999</v>
      </c>
      <c r="AM36" s="37">
        <f t="shared" si="35"/>
        <v>0</v>
      </c>
      <c r="AN36" s="37">
        <f>AM36/AL36*100</f>
        <v>0</v>
      </c>
      <c r="AO36" s="37">
        <f>AO11+AO21+AO26+AO31</f>
        <v>74805.200000000012</v>
      </c>
      <c r="AP36" s="23"/>
      <c r="AQ36" s="22">
        <f t="shared" si="24"/>
        <v>0</v>
      </c>
      <c r="AR36" s="33"/>
      <c r="AS36" s="33"/>
    </row>
    <row r="37" spans="1:45" ht="13.5" customHeight="1" x14ac:dyDescent="0.3">
      <c r="A37" s="108"/>
      <c r="B37" s="108"/>
      <c r="C37" s="108"/>
      <c r="D37" s="36" t="s">
        <v>44</v>
      </c>
      <c r="E37" s="37">
        <f t="shared" si="22"/>
        <v>121832.9</v>
      </c>
      <c r="F37" s="37">
        <f t="shared" si="22"/>
        <v>81908.999999999985</v>
      </c>
      <c r="G37" s="37">
        <f>F37/E37*100</f>
        <v>67.230608480960385</v>
      </c>
      <c r="H37" s="37">
        <f t="shared" si="25"/>
        <v>1647</v>
      </c>
      <c r="I37" s="37">
        <f t="shared" si="25"/>
        <v>1647</v>
      </c>
      <c r="J37" s="37">
        <f>I37/H37*100</f>
        <v>100</v>
      </c>
      <c r="K37" s="37">
        <f t="shared" si="26"/>
        <v>11011.9</v>
      </c>
      <c r="L37" s="37">
        <f t="shared" si="26"/>
        <v>11061.9</v>
      </c>
      <c r="M37" s="37">
        <f>L37/K37*100</f>
        <v>100.45405425040184</v>
      </c>
      <c r="N37" s="37">
        <f t="shared" si="27"/>
        <v>8438</v>
      </c>
      <c r="O37" s="37">
        <f t="shared" si="27"/>
        <v>8388</v>
      </c>
      <c r="P37" s="37">
        <f>O37/N37*100</f>
        <v>99.407442521924622</v>
      </c>
      <c r="Q37" s="37">
        <f t="shared" si="28"/>
        <v>13478.8</v>
      </c>
      <c r="R37" s="37">
        <f t="shared" si="28"/>
        <v>13478.8</v>
      </c>
      <c r="S37" s="37">
        <f>R37/Q37*100</f>
        <v>100</v>
      </c>
      <c r="T37" s="37">
        <f t="shared" si="29"/>
        <v>9072.2000000000007</v>
      </c>
      <c r="U37" s="37">
        <f t="shared" si="29"/>
        <v>9072.2000000000007</v>
      </c>
      <c r="V37" s="37">
        <f>U37/T37*100</f>
        <v>100</v>
      </c>
      <c r="W37" s="37">
        <f t="shared" si="30"/>
        <v>9734.9</v>
      </c>
      <c r="X37" s="37">
        <f t="shared" si="30"/>
        <v>9734.7999999999993</v>
      </c>
      <c r="Y37" s="37">
        <f>X37/W37*100</f>
        <v>99.998972768081856</v>
      </c>
      <c r="Z37" s="37">
        <f t="shared" si="31"/>
        <v>15653.2</v>
      </c>
      <c r="AA37" s="37">
        <f t="shared" si="31"/>
        <v>12286.4</v>
      </c>
      <c r="AB37" s="37">
        <f>AA37/Z37*100</f>
        <v>78.491298903738524</v>
      </c>
      <c r="AC37" s="37">
        <f t="shared" si="32"/>
        <v>9043.6999999999989</v>
      </c>
      <c r="AD37" s="37">
        <f t="shared" si="32"/>
        <v>8119.9</v>
      </c>
      <c r="AE37" s="37">
        <f>AD37/AC37*100</f>
        <v>89.785154306312691</v>
      </c>
      <c r="AF37" s="37">
        <f t="shared" si="33"/>
        <v>5834.9</v>
      </c>
      <c r="AG37" s="37">
        <f t="shared" si="33"/>
        <v>8120</v>
      </c>
      <c r="AH37" s="37">
        <f>AG37/AF37*100</f>
        <v>139.16262489502819</v>
      </c>
      <c r="AI37" s="37">
        <f t="shared" si="34"/>
        <v>10392.6</v>
      </c>
      <c r="AJ37" s="37">
        <f t="shared" si="34"/>
        <v>0</v>
      </c>
      <c r="AK37" s="37">
        <f>AJ37/AI37*100</f>
        <v>0</v>
      </c>
      <c r="AL37" s="37">
        <f t="shared" si="35"/>
        <v>9287.4</v>
      </c>
      <c r="AM37" s="37">
        <f t="shared" si="35"/>
        <v>0</v>
      </c>
      <c r="AN37" s="37">
        <f>AM37/AL37*100</f>
        <v>0</v>
      </c>
      <c r="AO37" s="37">
        <f>AO12+AO22+AO27+AO32</f>
        <v>18238.3</v>
      </c>
      <c r="AP37" s="23"/>
      <c r="AQ37" s="22">
        <f t="shared" si="24"/>
        <v>0</v>
      </c>
      <c r="AR37" s="33"/>
      <c r="AS37" s="33"/>
    </row>
    <row r="38" spans="1:45" x14ac:dyDescent="0.3">
      <c r="A38" s="108"/>
      <c r="B38" s="108"/>
      <c r="C38" s="108"/>
      <c r="D38" s="36" t="s">
        <v>22</v>
      </c>
      <c r="E38" s="37">
        <f t="shared" si="22"/>
        <v>0</v>
      </c>
      <c r="F38" s="37">
        <f t="shared" si="22"/>
        <v>0</v>
      </c>
      <c r="G38" s="22"/>
      <c r="H38" s="37">
        <f t="shared" si="25"/>
        <v>0</v>
      </c>
      <c r="I38" s="37">
        <f t="shared" si="25"/>
        <v>0</v>
      </c>
      <c r="J38" s="37"/>
      <c r="K38" s="37">
        <f t="shared" si="26"/>
        <v>0</v>
      </c>
      <c r="L38" s="37">
        <f t="shared" si="26"/>
        <v>0</v>
      </c>
      <c r="M38" s="37"/>
      <c r="N38" s="37">
        <f t="shared" si="27"/>
        <v>0</v>
      </c>
      <c r="O38" s="37">
        <f t="shared" si="27"/>
        <v>0</v>
      </c>
      <c r="P38" s="37"/>
      <c r="Q38" s="37">
        <f t="shared" si="28"/>
        <v>0</v>
      </c>
      <c r="R38" s="37">
        <f t="shared" si="28"/>
        <v>0</v>
      </c>
      <c r="S38" s="37"/>
      <c r="T38" s="37">
        <f t="shared" si="29"/>
        <v>0</v>
      </c>
      <c r="U38" s="37">
        <f t="shared" si="29"/>
        <v>0</v>
      </c>
      <c r="V38" s="37"/>
      <c r="W38" s="37">
        <f t="shared" si="30"/>
        <v>0</v>
      </c>
      <c r="X38" s="37">
        <f t="shared" si="30"/>
        <v>0</v>
      </c>
      <c r="Y38" s="37"/>
      <c r="Z38" s="37">
        <f t="shared" si="31"/>
        <v>0</v>
      </c>
      <c r="AA38" s="37">
        <f t="shared" si="31"/>
        <v>0</v>
      </c>
      <c r="AB38" s="37"/>
      <c r="AC38" s="37">
        <f t="shared" si="32"/>
        <v>0</v>
      </c>
      <c r="AD38" s="37">
        <f t="shared" si="32"/>
        <v>0</v>
      </c>
      <c r="AE38" s="37"/>
      <c r="AF38" s="37">
        <f>AF13+AF23+AF28+AF33</f>
        <v>0</v>
      </c>
      <c r="AG38" s="37"/>
      <c r="AH38" s="37"/>
      <c r="AI38" s="37">
        <f>AI13+AI23+AI28+AI33</f>
        <v>0</v>
      </c>
      <c r="AJ38" s="37"/>
      <c r="AK38" s="37"/>
      <c r="AL38" s="37">
        <f>AL13+AL23+AL28+AL33</f>
        <v>0</v>
      </c>
      <c r="AM38" s="37"/>
      <c r="AN38" s="37"/>
      <c r="AO38" s="37">
        <f>AO13+AO23+AO28+AO33</f>
        <v>0</v>
      </c>
      <c r="AP38" s="23"/>
      <c r="AQ38" s="23"/>
      <c r="AR38" s="33"/>
      <c r="AS38" s="33"/>
    </row>
    <row r="39" spans="1:45" ht="15.6" x14ac:dyDescent="0.3">
      <c r="A39" s="91" t="s">
        <v>47</v>
      </c>
      <c r="B39" s="34" t="s">
        <v>7</v>
      </c>
      <c r="C39" s="34"/>
      <c r="D39" s="3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34"/>
      <c r="AQ39" s="34"/>
      <c r="AR39" s="33"/>
      <c r="AS39" s="33"/>
    </row>
    <row r="40" spans="1:45" ht="14.4" customHeight="1" x14ac:dyDescent="0.3">
      <c r="A40" s="105" t="s">
        <v>46</v>
      </c>
      <c r="B40" s="105" t="s">
        <v>85</v>
      </c>
      <c r="C40" s="105" t="s">
        <v>5</v>
      </c>
      <c r="D40" s="35" t="s">
        <v>3</v>
      </c>
      <c r="E40" s="23">
        <f t="shared" ref="E40:F56" si="36">H40+K40+N40+Q40+T40+W40+Z40+AC40+AF40+AI40+AL40+AO40</f>
        <v>0</v>
      </c>
      <c r="F40" s="23">
        <f t="shared" si="36"/>
        <v>0</v>
      </c>
      <c r="G40" s="23"/>
      <c r="H40" s="23">
        <f>H41+H42+H43+H44</f>
        <v>0</v>
      </c>
      <c r="I40" s="23"/>
      <c r="J40" s="23"/>
      <c r="K40" s="23">
        <f t="shared" ref="K40:AO40" si="37">K41+K42+K43+K44</f>
        <v>0</v>
      </c>
      <c r="L40" s="23"/>
      <c r="M40" s="23"/>
      <c r="N40" s="23">
        <f t="shared" si="37"/>
        <v>0</v>
      </c>
      <c r="O40" s="23"/>
      <c r="P40" s="23"/>
      <c r="Q40" s="23">
        <f t="shared" si="37"/>
        <v>0</v>
      </c>
      <c r="R40" s="23"/>
      <c r="S40" s="23"/>
      <c r="T40" s="23">
        <f t="shared" si="37"/>
        <v>0</v>
      </c>
      <c r="U40" s="23"/>
      <c r="V40" s="23"/>
      <c r="W40" s="23">
        <f t="shared" si="37"/>
        <v>0</v>
      </c>
      <c r="X40" s="23"/>
      <c r="Y40" s="23"/>
      <c r="Z40" s="23">
        <f t="shared" si="37"/>
        <v>0</v>
      </c>
      <c r="AA40" s="23"/>
      <c r="AB40" s="23"/>
      <c r="AC40" s="23">
        <f t="shared" si="37"/>
        <v>0</v>
      </c>
      <c r="AD40" s="23">
        <f t="shared" si="37"/>
        <v>0</v>
      </c>
      <c r="AE40" s="23"/>
      <c r="AF40" s="23">
        <f t="shared" si="37"/>
        <v>0</v>
      </c>
      <c r="AG40" s="23"/>
      <c r="AH40" s="23"/>
      <c r="AI40" s="23">
        <f t="shared" si="37"/>
        <v>0</v>
      </c>
      <c r="AJ40" s="23"/>
      <c r="AK40" s="23"/>
      <c r="AL40" s="23">
        <f t="shared" si="37"/>
        <v>0</v>
      </c>
      <c r="AM40" s="23"/>
      <c r="AN40" s="23"/>
      <c r="AO40" s="23">
        <f t="shared" si="37"/>
        <v>0</v>
      </c>
      <c r="AP40" s="23"/>
      <c r="AQ40" s="23"/>
      <c r="AR40" s="33"/>
      <c r="AS40" s="33"/>
    </row>
    <row r="41" spans="1:45" x14ac:dyDescent="0.3">
      <c r="A41" s="105"/>
      <c r="B41" s="105"/>
      <c r="C41" s="105"/>
      <c r="D41" s="35" t="s">
        <v>21</v>
      </c>
      <c r="E41" s="23">
        <f t="shared" si="36"/>
        <v>0</v>
      </c>
      <c r="F41" s="23">
        <f t="shared" si="36"/>
        <v>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33"/>
      <c r="AS41" s="33"/>
    </row>
    <row r="42" spans="1:45" ht="24" x14ac:dyDescent="0.3">
      <c r="A42" s="105"/>
      <c r="B42" s="105"/>
      <c r="C42" s="105"/>
      <c r="D42" s="35" t="s">
        <v>4</v>
      </c>
      <c r="E42" s="23">
        <f t="shared" si="36"/>
        <v>0</v>
      </c>
      <c r="F42" s="23">
        <f t="shared" si="36"/>
        <v>0</v>
      </c>
      <c r="G42" s="23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3"/>
      <c r="AS42" s="33"/>
    </row>
    <row r="43" spans="1:45" x14ac:dyDescent="0.3">
      <c r="A43" s="105"/>
      <c r="B43" s="105"/>
      <c r="C43" s="105"/>
      <c r="D43" s="35" t="s">
        <v>44</v>
      </c>
      <c r="E43" s="23">
        <f t="shared" si="36"/>
        <v>0</v>
      </c>
      <c r="F43" s="23">
        <f t="shared" si="36"/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33"/>
      <c r="AS43" s="33"/>
    </row>
    <row r="44" spans="1:45" x14ac:dyDescent="0.3">
      <c r="A44" s="105"/>
      <c r="B44" s="105"/>
      <c r="C44" s="105"/>
      <c r="D44" s="35" t="s">
        <v>22</v>
      </c>
      <c r="E44" s="23">
        <f t="shared" si="36"/>
        <v>0</v>
      </c>
      <c r="F44" s="23">
        <f t="shared" si="36"/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33"/>
      <c r="AS44" s="33"/>
    </row>
    <row r="45" spans="1:45" ht="14.4" customHeight="1" x14ac:dyDescent="0.3">
      <c r="A45" s="94" t="s">
        <v>48</v>
      </c>
      <c r="B45" s="94" t="s">
        <v>86</v>
      </c>
      <c r="C45" s="94" t="s">
        <v>120</v>
      </c>
      <c r="D45" s="35" t="s">
        <v>3</v>
      </c>
      <c r="E45" s="23">
        <f>H45+K45+N45+Q45+T45+W45+Z45+AC45+AF45+AI45+AL45+AO45</f>
        <v>175458.8</v>
      </c>
      <c r="F45" s="23">
        <f>I45+L45+O45+R45+U45+X45+AA45+AD45+AG45+AJ45+AM45+AP45</f>
        <v>163030.39999999999</v>
      </c>
      <c r="G45" s="23">
        <f>F45/E45*100</f>
        <v>92.916627721151627</v>
      </c>
      <c r="H45" s="23">
        <f>H46+H47+H48+H49</f>
        <v>0</v>
      </c>
      <c r="I45" s="23"/>
      <c r="J45" s="23"/>
      <c r="K45" s="23">
        <f t="shared" ref="K45:AO45" si="38">K46+K47+K48+K49</f>
        <v>0</v>
      </c>
      <c r="L45" s="23"/>
      <c r="M45" s="23"/>
      <c r="N45" s="23">
        <f t="shared" si="38"/>
        <v>0</v>
      </c>
      <c r="O45" s="23">
        <f t="shared" si="38"/>
        <v>0</v>
      </c>
      <c r="P45" s="23"/>
      <c r="Q45" s="23">
        <f t="shared" si="38"/>
        <v>22013.7</v>
      </c>
      <c r="R45" s="23">
        <f t="shared" si="38"/>
        <v>22013.7</v>
      </c>
      <c r="S45" s="23">
        <f>R45/Q45*100</f>
        <v>100</v>
      </c>
      <c r="T45" s="23">
        <f t="shared" si="38"/>
        <v>39999.800000000003</v>
      </c>
      <c r="U45" s="23">
        <f t="shared" si="38"/>
        <v>39999.800000000003</v>
      </c>
      <c r="V45" s="23">
        <f>U45/T45*100</f>
        <v>100</v>
      </c>
      <c r="W45" s="23">
        <f t="shared" si="38"/>
        <v>54899.9</v>
      </c>
      <c r="X45" s="23">
        <f t="shared" si="38"/>
        <v>54899.9</v>
      </c>
      <c r="Y45" s="23">
        <f>X45/W45*100</f>
        <v>100</v>
      </c>
      <c r="Z45" s="23">
        <f t="shared" si="38"/>
        <v>56991.5</v>
      </c>
      <c r="AA45" s="23">
        <f t="shared" si="38"/>
        <v>11793.4</v>
      </c>
      <c r="AB45" s="23">
        <f>AA45/Z45*100</f>
        <v>20.693261275804286</v>
      </c>
      <c r="AC45" s="23">
        <f t="shared" si="38"/>
        <v>1553.4</v>
      </c>
      <c r="AD45" s="23">
        <f t="shared" si="38"/>
        <v>895.3</v>
      </c>
      <c r="AE45" s="23">
        <f>AD45/AC45*100</f>
        <v>57.634865456418169</v>
      </c>
      <c r="AF45" s="23">
        <f t="shared" si="38"/>
        <v>0</v>
      </c>
      <c r="AG45" s="23">
        <f t="shared" si="38"/>
        <v>33428.300000000003</v>
      </c>
      <c r="AH45" s="23"/>
      <c r="AI45" s="23">
        <f t="shared" si="38"/>
        <v>0.5</v>
      </c>
      <c r="AJ45" s="23">
        <f t="shared" si="38"/>
        <v>0</v>
      </c>
      <c r="AK45" s="23"/>
      <c r="AL45" s="23">
        <f t="shared" si="38"/>
        <v>0</v>
      </c>
      <c r="AM45" s="23"/>
      <c r="AN45" s="23"/>
      <c r="AO45" s="23">
        <f t="shared" si="38"/>
        <v>0</v>
      </c>
      <c r="AP45" s="23"/>
      <c r="AQ45" s="23"/>
      <c r="AR45" s="53"/>
      <c r="AS45" s="53"/>
    </row>
    <row r="46" spans="1:45" ht="14.4" customHeight="1" x14ac:dyDescent="0.3">
      <c r="A46" s="96"/>
      <c r="B46" s="96"/>
      <c r="C46" s="96"/>
      <c r="D46" s="35" t="s">
        <v>21</v>
      </c>
      <c r="E46" s="23">
        <f t="shared" si="36"/>
        <v>56413.8</v>
      </c>
      <c r="F46" s="23">
        <f t="shared" si="36"/>
        <v>52763.4</v>
      </c>
      <c r="G46" s="23">
        <f>F46/E46*100</f>
        <v>93.529242844835835</v>
      </c>
      <c r="H46" s="23"/>
      <c r="I46" s="23"/>
      <c r="J46" s="23"/>
      <c r="K46" s="23"/>
      <c r="L46" s="23"/>
      <c r="M46" s="23"/>
      <c r="N46" s="23"/>
      <c r="O46" s="23"/>
      <c r="P46" s="21"/>
      <c r="Q46" s="23">
        <v>8915.5</v>
      </c>
      <c r="R46" s="23">
        <v>8915.5</v>
      </c>
      <c r="S46" s="23">
        <f>R46/Q46*100</f>
        <v>100</v>
      </c>
      <c r="T46" s="23">
        <v>11340</v>
      </c>
      <c r="U46" s="23">
        <v>11340</v>
      </c>
      <c r="V46" s="23">
        <f>U46/T46*100</f>
        <v>100</v>
      </c>
      <c r="W46" s="23">
        <v>16490.5</v>
      </c>
      <c r="X46" s="23">
        <v>16490.5</v>
      </c>
      <c r="Y46" s="23">
        <f>X46/W46*100</f>
        <v>100</v>
      </c>
      <c r="Z46" s="23">
        <f>4972.7+14695.1</f>
        <v>19667.8</v>
      </c>
      <c r="AA46" s="23">
        <v>4776.3</v>
      </c>
      <c r="AB46" s="23">
        <f>AA46/Z46*100</f>
        <v>24.284871719256859</v>
      </c>
      <c r="AC46" s="23"/>
      <c r="AD46" s="23">
        <v>362.6</v>
      </c>
      <c r="AE46" s="23"/>
      <c r="AF46" s="23"/>
      <c r="AG46" s="23">
        <v>10878.5</v>
      </c>
      <c r="AH46" s="21"/>
      <c r="AI46" s="23"/>
      <c r="AJ46" s="23"/>
      <c r="AK46" s="23"/>
      <c r="AL46" s="23"/>
      <c r="AM46" s="23"/>
      <c r="AN46" s="23"/>
      <c r="AO46" s="23"/>
      <c r="AP46" s="23"/>
      <c r="AQ46" s="23"/>
      <c r="AR46" s="94" t="s">
        <v>199</v>
      </c>
      <c r="AS46" s="94" t="s">
        <v>217</v>
      </c>
    </row>
    <row r="47" spans="1:45" ht="35.4" customHeight="1" x14ac:dyDescent="0.3">
      <c r="A47" s="96"/>
      <c r="B47" s="96"/>
      <c r="C47" s="96"/>
      <c r="D47" s="35" t="s">
        <v>4</v>
      </c>
      <c r="E47" s="23">
        <f t="shared" si="36"/>
        <v>92514.5</v>
      </c>
      <c r="F47" s="23">
        <f t="shared" si="36"/>
        <v>88052.9</v>
      </c>
      <c r="G47" s="23">
        <f>F47/E47*100</f>
        <v>95.177404623059076</v>
      </c>
      <c r="H47" s="23"/>
      <c r="I47" s="23"/>
      <c r="J47" s="23"/>
      <c r="K47" s="23"/>
      <c r="L47" s="23"/>
      <c r="M47" s="23"/>
      <c r="N47" s="23"/>
      <c r="O47" s="23"/>
      <c r="P47" s="23"/>
      <c r="Q47" s="23">
        <v>10896.8</v>
      </c>
      <c r="R47" s="23">
        <v>10896.8</v>
      </c>
      <c r="S47" s="23">
        <f>R47/Q47*100</f>
        <v>100</v>
      </c>
      <c r="T47" s="23">
        <v>24659.8</v>
      </c>
      <c r="U47" s="23">
        <v>24659.8</v>
      </c>
      <c r="V47" s="23">
        <f>U47/T47*100</f>
        <v>100</v>
      </c>
      <c r="W47" s="23">
        <v>32919.5</v>
      </c>
      <c r="X47" s="23">
        <v>32919.5</v>
      </c>
      <c r="Y47" s="23">
        <f>X47/W47*100</f>
        <v>100</v>
      </c>
      <c r="Z47" s="23">
        <f>6077.8+17960.6</f>
        <v>24038.399999999998</v>
      </c>
      <c r="AA47" s="23">
        <v>5837.7</v>
      </c>
      <c r="AB47" s="23">
        <f>AA47/Z47*100</f>
        <v>24.284894169329075</v>
      </c>
      <c r="AC47" s="23"/>
      <c r="AD47" s="23">
        <v>443.2</v>
      </c>
      <c r="AE47" s="23"/>
      <c r="AF47" s="23"/>
      <c r="AG47" s="23">
        <v>13295.9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96"/>
      <c r="AS47" s="96"/>
    </row>
    <row r="48" spans="1:45" ht="274.2" customHeight="1" x14ac:dyDescent="0.3">
      <c r="A48" s="96"/>
      <c r="B48" s="96"/>
      <c r="C48" s="96"/>
      <c r="D48" s="35" t="s">
        <v>44</v>
      </c>
      <c r="E48" s="23">
        <f t="shared" si="36"/>
        <v>26530.5</v>
      </c>
      <c r="F48" s="23">
        <f t="shared" si="36"/>
        <v>22214.1</v>
      </c>
      <c r="G48" s="23">
        <f>F48/E48*100</f>
        <v>83.730423474868545</v>
      </c>
      <c r="H48" s="23"/>
      <c r="I48" s="23"/>
      <c r="J48" s="23"/>
      <c r="K48" s="23"/>
      <c r="L48" s="23"/>
      <c r="M48" s="23"/>
      <c r="N48" s="23"/>
      <c r="O48" s="23"/>
      <c r="P48" s="23"/>
      <c r="Q48" s="23">
        <v>2201.4</v>
      </c>
      <c r="R48" s="23">
        <v>2201.4</v>
      </c>
      <c r="S48" s="23">
        <f>R48/Q48*100</f>
        <v>100</v>
      </c>
      <c r="T48" s="23">
        <v>4000</v>
      </c>
      <c r="U48" s="23">
        <v>4000</v>
      </c>
      <c r="V48" s="23">
        <f>U48/T48*100</f>
        <v>100</v>
      </c>
      <c r="W48" s="23">
        <v>5489.9</v>
      </c>
      <c r="X48" s="23">
        <v>5489.9</v>
      </c>
      <c r="Y48" s="23">
        <f>X48/W48*100</f>
        <v>100</v>
      </c>
      <c r="Z48" s="23">
        <f>2395+2461.3+8429</f>
        <v>13285.3</v>
      </c>
      <c r="AA48" s="23">
        <v>1179.4000000000001</v>
      </c>
      <c r="AB48" s="23">
        <f>AA48/Z48*100</f>
        <v>8.8774811257555353</v>
      </c>
      <c r="AC48" s="23">
        <v>1553.4</v>
      </c>
      <c r="AD48" s="23">
        <v>89.5</v>
      </c>
      <c r="AE48" s="23">
        <f>AD48/AC48*100</f>
        <v>5.7615552980558773</v>
      </c>
      <c r="AF48" s="23"/>
      <c r="AG48" s="23">
        <v>9253.9</v>
      </c>
      <c r="AH48" s="23"/>
      <c r="AI48" s="23">
        <v>0.5</v>
      </c>
      <c r="AJ48" s="23"/>
      <c r="AK48" s="23"/>
      <c r="AL48" s="23"/>
      <c r="AM48" s="23"/>
      <c r="AN48" s="23"/>
      <c r="AO48" s="23"/>
      <c r="AP48" s="23"/>
      <c r="AQ48" s="23"/>
      <c r="AR48" s="95"/>
      <c r="AS48" s="95"/>
    </row>
    <row r="49" spans="1:45" ht="15" customHeight="1" x14ac:dyDescent="0.3">
      <c r="A49" s="96"/>
      <c r="B49" s="96"/>
      <c r="C49" s="96"/>
      <c r="D49" s="35" t="s">
        <v>22</v>
      </c>
      <c r="E49" s="23">
        <f t="shared" si="36"/>
        <v>0</v>
      </c>
      <c r="F49" s="23">
        <f t="shared" si="36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53"/>
      <c r="AS49" s="55"/>
    </row>
    <row r="50" spans="1:45" ht="207" customHeight="1" x14ac:dyDescent="0.3">
      <c r="A50" s="95"/>
      <c r="B50" s="95"/>
      <c r="C50" s="95"/>
      <c r="D50" s="36" t="s">
        <v>126</v>
      </c>
      <c r="E50" s="23"/>
      <c r="F50" s="23">
        <f t="shared" si="36"/>
        <v>19581</v>
      </c>
      <c r="G50" s="23"/>
      <c r="H50" s="23"/>
      <c r="I50" s="23"/>
      <c r="J50" s="23"/>
      <c r="K50" s="23"/>
      <c r="L50" s="23"/>
      <c r="M50" s="23"/>
      <c r="N50" s="23"/>
      <c r="O50" s="23">
        <v>3766.1</v>
      </c>
      <c r="P50" s="23"/>
      <c r="Q50" s="23"/>
      <c r="R50" s="23">
        <v>835.4</v>
      </c>
      <c r="S50" s="23"/>
      <c r="T50" s="23"/>
      <c r="U50" s="23">
        <v>3742.8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>
        <v>11236.7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55" t="s">
        <v>200</v>
      </c>
      <c r="AS50" s="55" t="s">
        <v>212</v>
      </c>
    </row>
    <row r="51" spans="1:45" ht="12" customHeight="1" x14ac:dyDescent="0.3">
      <c r="A51" s="105" t="s">
        <v>49</v>
      </c>
      <c r="B51" s="105" t="s">
        <v>130</v>
      </c>
      <c r="C51" s="105" t="s">
        <v>121</v>
      </c>
      <c r="D51" s="35" t="s">
        <v>3</v>
      </c>
      <c r="E51" s="23">
        <f t="shared" si="36"/>
        <v>0</v>
      </c>
      <c r="F51" s="23">
        <f t="shared" si="36"/>
        <v>0</v>
      </c>
      <c r="G51" s="23"/>
      <c r="H51" s="23">
        <f>H52+H53+H54+H55</f>
        <v>0</v>
      </c>
      <c r="I51" s="23">
        <f>I52+I53+I54+I55</f>
        <v>0</v>
      </c>
      <c r="J51" s="23"/>
      <c r="K51" s="23">
        <f>K52+K53+K54+K55</f>
        <v>0</v>
      </c>
      <c r="L51" s="23">
        <f>L52+L53+L54+L55</f>
        <v>0</v>
      </c>
      <c r="M51" s="23"/>
      <c r="N51" s="23">
        <f>N52+N53+N54+N55</f>
        <v>0</v>
      </c>
      <c r="O51" s="23">
        <f>O52+O53+O54+O55</f>
        <v>0</v>
      </c>
      <c r="P51" s="23"/>
      <c r="Q51" s="23">
        <f>Q52+Q53+Q54+Q55</f>
        <v>0</v>
      </c>
      <c r="R51" s="23">
        <f>R52+R53+R54+R55</f>
        <v>0</v>
      </c>
      <c r="S51" s="23"/>
      <c r="T51" s="23">
        <f>T52+T53+T54+T55</f>
        <v>0</v>
      </c>
      <c r="U51" s="23">
        <f>U52+U53+U54+U55</f>
        <v>0</v>
      </c>
      <c r="V51" s="23"/>
      <c r="W51" s="23">
        <f>W52+W53+W54+W55</f>
        <v>0</v>
      </c>
      <c r="X51" s="23">
        <f>X52+X53+X54+X55</f>
        <v>0</v>
      </c>
      <c r="Y51" s="23"/>
      <c r="Z51" s="23">
        <f t="shared" ref="Z51:AO51" si="39">Z52+Z53+Z54+Z55</f>
        <v>0</v>
      </c>
      <c r="AA51" s="23"/>
      <c r="AB51" s="23"/>
      <c r="AC51" s="23">
        <f t="shared" si="39"/>
        <v>0</v>
      </c>
      <c r="AD51" s="23"/>
      <c r="AE51" s="23"/>
      <c r="AF51" s="23">
        <f t="shared" si="39"/>
        <v>0</v>
      </c>
      <c r="AG51" s="23">
        <f t="shared" si="39"/>
        <v>0</v>
      </c>
      <c r="AH51" s="23"/>
      <c r="AI51" s="23">
        <f t="shared" si="39"/>
        <v>0</v>
      </c>
      <c r="AJ51" s="23">
        <f t="shared" si="39"/>
        <v>0</v>
      </c>
      <c r="AK51" s="23"/>
      <c r="AL51" s="23">
        <f t="shared" si="39"/>
        <v>0</v>
      </c>
      <c r="AM51" s="23"/>
      <c r="AN51" s="23"/>
      <c r="AO51" s="23">
        <f t="shared" si="39"/>
        <v>0</v>
      </c>
      <c r="AP51" s="23"/>
      <c r="AQ51" s="23"/>
      <c r="AR51" s="33"/>
      <c r="AS51" s="33"/>
    </row>
    <row r="52" spans="1:45" ht="13.5" customHeight="1" x14ac:dyDescent="0.3">
      <c r="A52" s="105"/>
      <c r="B52" s="105"/>
      <c r="C52" s="105"/>
      <c r="D52" s="35" t="s">
        <v>21</v>
      </c>
      <c r="E52" s="23">
        <f t="shared" si="36"/>
        <v>0</v>
      </c>
      <c r="F52" s="23">
        <f t="shared" si="36"/>
        <v>0</v>
      </c>
      <c r="G52" s="21"/>
      <c r="H52" s="23">
        <f>H57+H62+H67</f>
        <v>0</v>
      </c>
      <c r="I52" s="23">
        <f>I57+I62+I67</f>
        <v>0</v>
      </c>
      <c r="J52" s="23"/>
      <c r="K52" s="23">
        <f>K57+K62+K67</f>
        <v>0</v>
      </c>
      <c r="L52" s="23">
        <f>L57+L62+L67</f>
        <v>0</v>
      </c>
      <c r="M52" s="23"/>
      <c r="N52" s="23">
        <f>N57+N62+N67</f>
        <v>0</v>
      </c>
      <c r="O52" s="23">
        <f>O57+O62+O67</f>
        <v>0</v>
      </c>
      <c r="P52" s="23"/>
      <c r="Q52" s="23">
        <f>Q57+Q62+Q67</f>
        <v>0</v>
      </c>
      <c r="R52" s="23">
        <f>R57+R62+R67</f>
        <v>0</v>
      </c>
      <c r="S52" s="23"/>
      <c r="T52" s="23">
        <f>T57+T62+T67</f>
        <v>0</v>
      </c>
      <c r="U52" s="23">
        <f>U57+U62+U67</f>
        <v>0</v>
      </c>
      <c r="V52" s="23"/>
      <c r="W52" s="23">
        <f>W57+W62+W67</f>
        <v>0</v>
      </c>
      <c r="X52" s="23">
        <f>X57+X62+X67</f>
        <v>0</v>
      </c>
      <c r="Y52" s="23"/>
      <c r="Z52" s="23">
        <f>Z57+Z62+Z67</f>
        <v>0</v>
      </c>
      <c r="AA52" s="23"/>
      <c r="AB52" s="23"/>
      <c r="AC52" s="23">
        <f>AC57+AC62+AC67</f>
        <v>0</v>
      </c>
      <c r="AD52" s="23"/>
      <c r="AE52" s="23"/>
      <c r="AF52" s="23">
        <f>AF57+AF62+AF67</f>
        <v>0</v>
      </c>
      <c r="AG52" s="23"/>
      <c r="AH52" s="23"/>
      <c r="AI52" s="23">
        <f>AI57+AI62+AI67</f>
        <v>0</v>
      </c>
      <c r="AJ52" s="23"/>
      <c r="AK52" s="23"/>
      <c r="AL52" s="23">
        <f>AL57+AL62+AL67</f>
        <v>0</v>
      </c>
      <c r="AM52" s="23"/>
      <c r="AN52" s="23"/>
      <c r="AO52" s="23">
        <f>AO57+AO62+AO67</f>
        <v>0</v>
      </c>
      <c r="AP52" s="23"/>
      <c r="AQ52" s="23"/>
      <c r="AR52" s="33"/>
      <c r="AS52" s="33"/>
    </row>
    <row r="53" spans="1:45" ht="24" x14ac:dyDescent="0.3">
      <c r="A53" s="105"/>
      <c r="B53" s="105"/>
      <c r="C53" s="105"/>
      <c r="D53" s="35" t="s">
        <v>4</v>
      </c>
      <c r="E53" s="23">
        <f t="shared" si="36"/>
        <v>0</v>
      </c>
      <c r="F53" s="23">
        <f t="shared" si="36"/>
        <v>0</v>
      </c>
      <c r="G53" s="23"/>
      <c r="H53" s="23">
        <f t="shared" ref="H53:I55" si="40">H58+H63+H68</f>
        <v>0</v>
      </c>
      <c r="I53" s="23">
        <f t="shared" si="40"/>
        <v>0</v>
      </c>
      <c r="J53" s="23"/>
      <c r="K53" s="23">
        <f t="shared" ref="K53:L54" si="41">K58+K63+K68</f>
        <v>0</v>
      </c>
      <c r="L53" s="23">
        <f t="shared" si="41"/>
        <v>0</v>
      </c>
      <c r="M53" s="23"/>
      <c r="N53" s="23">
        <f t="shared" ref="N53:O55" si="42">N58+N63+N68</f>
        <v>0</v>
      </c>
      <c r="O53" s="23">
        <f t="shared" si="42"/>
        <v>0</v>
      </c>
      <c r="P53" s="23"/>
      <c r="Q53" s="23">
        <f t="shared" ref="Q53:R55" si="43">Q58+Q63+Q68</f>
        <v>0</v>
      </c>
      <c r="R53" s="23">
        <f t="shared" si="43"/>
        <v>0</v>
      </c>
      <c r="S53" s="23"/>
      <c r="T53" s="23">
        <f t="shared" ref="T53:U55" si="44">T58+T63+T68</f>
        <v>0</v>
      </c>
      <c r="U53" s="23">
        <f t="shared" si="44"/>
        <v>0</v>
      </c>
      <c r="V53" s="23"/>
      <c r="W53" s="23">
        <f t="shared" ref="W53:X55" si="45">W58+W63+W68</f>
        <v>0</v>
      </c>
      <c r="X53" s="23">
        <f t="shared" si="45"/>
        <v>0</v>
      </c>
      <c r="Y53" s="23"/>
      <c r="Z53" s="23">
        <f t="shared" ref="Z53:Z55" si="46">Z58+Z63+Z68</f>
        <v>0</v>
      </c>
      <c r="AA53" s="23"/>
      <c r="AB53" s="23"/>
      <c r="AC53" s="23">
        <f t="shared" ref="AC53:AC55" si="47">AC58+AC63+AC68</f>
        <v>0</v>
      </c>
      <c r="AD53" s="23"/>
      <c r="AE53" s="23"/>
      <c r="AF53" s="23">
        <f t="shared" ref="AF53:AG55" si="48">AF58+AF63+AF68</f>
        <v>0</v>
      </c>
      <c r="AG53" s="23"/>
      <c r="AH53" s="23"/>
      <c r="AI53" s="23">
        <f t="shared" ref="AI53:AI55" si="49">AI58+AI63+AI68</f>
        <v>0</v>
      </c>
      <c r="AJ53" s="23"/>
      <c r="AK53" s="23"/>
      <c r="AL53" s="23">
        <f t="shared" ref="AL53:AL55" si="50">AL58+AL63+AL68</f>
        <v>0</v>
      </c>
      <c r="AM53" s="23"/>
      <c r="AN53" s="23"/>
      <c r="AO53" s="23">
        <f t="shared" ref="AO53:AO55" si="51">AO58+AO63+AO68</f>
        <v>0</v>
      </c>
      <c r="AP53" s="23"/>
      <c r="AQ53" s="23"/>
      <c r="AR53" s="33"/>
      <c r="AS53" s="33"/>
    </row>
    <row r="54" spans="1:45" ht="12.6" customHeight="1" x14ac:dyDescent="0.3">
      <c r="A54" s="105"/>
      <c r="B54" s="105"/>
      <c r="C54" s="105"/>
      <c r="D54" s="35" t="s">
        <v>44</v>
      </c>
      <c r="E54" s="23">
        <f t="shared" si="36"/>
        <v>0</v>
      </c>
      <c r="F54" s="23">
        <f t="shared" si="36"/>
        <v>0</v>
      </c>
      <c r="G54" s="23"/>
      <c r="H54" s="23">
        <f t="shared" si="40"/>
        <v>0</v>
      </c>
      <c r="I54" s="23">
        <f t="shared" si="40"/>
        <v>0</v>
      </c>
      <c r="J54" s="23"/>
      <c r="K54" s="23">
        <f t="shared" si="41"/>
        <v>0</v>
      </c>
      <c r="L54" s="23">
        <f t="shared" si="41"/>
        <v>0</v>
      </c>
      <c r="M54" s="23"/>
      <c r="N54" s="23">
        <f t="shared" si="42"/>
        <v>0</v>
      </c>
      <c r="O54" s="23">
        <f t="shared" si="42"/>
        <v>0</v>
      </c>
      <c r="P54" s="23"/>
      <c r="Q54" s="23">
        <f t="shared" si="43"/>
        <v>0</v>
      </c>
      <c r="R54" s="23">
        <f t="shared" si="43"/>
        <v>0</v>
      </c>
      <c r="S54" s="23"/>
      <c r="T54" s="23">
        <f t="shared" si="44"/>
        <v>0</v>
      </c>
      <c r="U54" s="23">
        <f t="shared" si="44"/>
        <v>0</v>
      </c>
      <c r="V54" s="23"/>
      <c r="W54" s="23">
        <f t="shared" si="45"/>
        <v>0</v>
      </c>
      <c r="X54" s="23">
        <f t="shared" si="45"/>
        <v>0</v>
      </c>
      <c r="Y54" s="23"/>
      <c r="Z54" s="23">
        <f t="shared" si="46"/>
        <v>0</v>
      </c>
      <c r="AA54" s="23"/>
      <c r="AB54" s="23"/>
      <c r="AC54" s="23">
        <f t="shared" si="47"/>
        <v>0</v>
      </c>
      <c r="AD54" s="23"/>
      <c r="AE54" s="23"/>
      <c r="AF54" s="23">
        <f t="shared" si="48"/>
        <v>0</v>
      </c>
      <c r="AG54" s="23">
        <f t="shared" si="48"/>
        <v>0</v>
      </c>
      <c r="AH54" s="23"/>
      <c r="AI54" s="23">
        <f t="shared" si="49"/>
        <v>0</v>
      </c>
      <c r="AJ54" s="23"/>
      <c r="AK54" s="23"/>
      <c r="AL54" s="23">
        <f t="shared" si="50"/>
        <v>0</v>
      </c>
      <c r="AM54" s="23"/>
      <c r="AN54" s="23"/>
      <c r="AO54" s="23">
        <f t="shared" si="51"/>
        <v>0</v>
      </c>
      <c r="AP54" s="23"/>
      <c r="AQ54" s="23"/>
      <c r="AR54" s="91"/>
      <c r="AS54" s="91"/>
    </row>
    <row r="55" spans="1:45" x14ac:dyDescent="0.3">
      <c r="A55" s="105"/>
      <c r="B55" s="105"/>
      <c r="C55" s="105"/>
      <c r="D55" s="35" t="s">
        <v>22</v>
      </c>
      <c r="E55" s="23">
        <f t="shared" si="36"/>
        <v>0</v>
      </c>
      <c r="F55" s="23">
        <f t="shared" si="36"/>
        <v>0</v>
      </c>
      <c r="G55" s="23"/>
      <c r="H55" s="23">
        <f t="shared" si="40"/>
        <v>0</v>
      </c>
      <c r="I55" s="23">
        <f t="shared" si="40"/>
        <v>0</v>
      </c>
      <c r="J55" s="23"/>
      <c r="K55" s="23"/>
      <c r="L55" s="23"/>
      <c r="M55" s="23"/>
      <c r="N55" s="23">
        <f t="shared" si="42"/>
        <v>0</v>
      </c>
      <c r="O55" s="23">
        <f t="shared" si="42"/>
        <v>0</v>
      </c>
      <c r="P55" s="23"/>
      <c r="Q55" s="23">
        <f t="shared" si="43"/>
        <v>0</v>
      </c>
      <c r="R55" s="23">
        <f t="shared" si="43"/>
        <v>0</v>
      </c>
      <c r="S55" s="23"/>
      <c r="T55" s="23">
        <f t="shared" si="44"/>
        <v>0</v>
      </c>
      <c r="U55" s="23">
        <f t="shared" si="44"/>
        <v>0</v>
      </c>
      <c r="V55" s="23"/>
      <c r="W55" s="23">
        <f t="shared" si="45"/>
        <v>0</v>
      </c>
      <c r="X55" s="23">
        <f t="shared" si="45"/>
        <v>0</v>
      </c>
      <c r="Y55" s="23"/>
      <c r="Z55" s="23">
        <f t="shared" si="46"/>
        <v>0</v>
      </c>
      <c r="AA55" s="23"/>
      <c r="AB55" s="23"/>
      <c r="AC55" s="23">
        <f t="shared" si="47"/>
        <v>0</v>
      </c>
      <c r="AD55" s="23"/>
      <c r="AE55" s="23"/>
      <c r="AF55" s="23">
        <f t="shared" si="48"/>
        <v>0</v>
      </c>
      <c r="AG55" s="23"/>
      <c r="AH55" s="23"/>
      <c r="AI55" s="23">
        <f t="shared" si="49"/>
        <v>0</v>
      </c>
      <c r="AJ55" s="23"/>
      <c r="AK55" s="23"/>
      <c r="AL55" s="23">
        <f t="shared" si="50"/>
        <v>0</v>
      </c>
      <c r="AM55" s="23"/>
      <c r="AN55" s="23"/>
      <c r="AO55" s="23">
        <f t="shared" si="51"/>
        <v>0</v>
      </c>
      <c r="AP55" s="23"/>
      <c r="AQ55" s="23"/>
      <c r="AR55" s="33"/>
      <c r="AS55" s="33"/>
    </row>
    <row r="56" spans="1:45" ht="15" customHeight="1" x14ac:dyDescent="0.3">
      <c r="A56" s="105" t="s">
        <v>127</v>
      </c>
      <c r="B56" s="105" t="s">
        <v>131</v>
      </c>
      <c r="C56" s="105" t="s">
        <v>138</v>
      </c>
      <c r="D56" s="35" t="s">
        <v>3</v>
      </c>
      <c r="E56" s="23">
        <f t="shared" si="36"/>
        <v>0</v>
      </c>
      <c r="F56" s="23">
        <f t="shared" si="36"/>
        <v>0</v>
      </c>
      <c r="G56" s="23"/>
      <c r="H56" s="23">
        <f>H57+H58+H59+H60</f>
        <v>0</v>
      </c>
      <c r="I56" s="23"/>
      <c r="J56" s="23"/>
      <c r="K56" s="23">
        <f t="shared" ref="K56:AO56" si="52">K57+K58+K59+K60</f>
        <v>0</v>
      </c>
      <c r="L56" s="23"/>
      <c r="M56" s="23"/>
      <c r="N56" s="23">
        <f t="shared" si="52"/>
        <v>0</v>
      </c>
      <c r="O56" s="23"/>
      <c r="P56" s="23"/>
      <c r="Q56" s="23">
        <f t="shared" si="52"/>
        <v>0</v>
      </c>
      <c r="R56" s="23"/>
      <c r="S56" s="23"/>
      <c r="T56" s="23">
        <f t="shared" si="52"/>
        <v>0</v>
      </c>
      <c r="U56" s="23"/>
      <c r="V56" s="23"/>
      <c r="W56" s="23">
        <f t="shared" si="52"/>
        <v>0</v>
      </c>
      <c r="X56" s="23"/>
      <c r="Y56" s="23"/>
      <c r="Z56" s="23">
        <f t="shared" si="52"/>
        <v>0</v>
      </c>
      <c r="AA56" s="23"/>
      <c r="AB56" s="23"/>
      <c r="AC56" s="23">
        <f t="shared" si="52"/>
        <v>0</v>
      </c>
      <c r="AD56" s="23"/>
      <c r="AE56" s="23"/>
      <c r="AF56" s="23">
        <f t="shared" si="52"/>
        <v>0</v>
      </c>
      <c r="AG56" s="23"/>
      <c r="AH56" s="23"/>
      <c r="AI56" s="23">
        <f t="shared" si="52"/>
        <v>0</v>
      </c>
      <c r="AJ56" s="23"/>
      <c r="AK56" s="23"/>
      <c r="AL56" s="23">
        <f t="shared" si="52"/>
        <v>0</v>
      </c>
      <c r="AM56" s="23"/>
      <c r="AN56" s="23"/>
      <c r="AO56" s="23">
        <f t="shared" si="52"/>
        <v>0</v>
      </c>
      <c r="AP56" s="23"/>
      <c r="AQ56" s="23"/>
      <c r="AR56" s="33"/>
      <c r="AS56" s="33"/>
    </row>
    <row r="57" spans="1:45" ht="15.75" customHeight="1" x14ac:dyDescent="0.3">
      <c r="A57" s="105"/>
      <c r="B57" s="105"/>
      <c r="C57" s="105"/>
      <c r="D57" s="35" t="s">
        <v>21</v>
      </c>
      <c r="E57" s="23">
        <f t="shared" ref="E57:F87" si="53">H57+K57+N57+Q57+T57+W57+Z57+AC57+AF57+AI57+AL57+AO57</f>
        <v>0</v>
      </c>
      <c r="F57" s="23">
        <f t="shared" si="53"/>
        <v>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33"/>
      <c r="AS57" s="33"/>
    </row>
    <row r="58" spans="1:45" ht="24" x14ac:dyDescent="0.3">
      <c r="A58" s="105"/>
      <c r="B58" s="105"/>
      <c r="C58" s="105"/>
      <c r="D58" s="35" t="s">
        <v>4</v>
      </c>
      <c r="E58" s="23">
        <f t="shared" si="53"/>
        <v>0</v>
      </c>
      <c r="F58" s="23">
        <f t="shared" si="53"/>
        <v>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33"/>
      <c r="AS58" s="33"/>
    </row>
    <row r="59" spans="1:45" x14ac:dyDescent="0.3">
      <c r="A59" s="105"/>
      <c r="B59" s="105"/>
      <c r="C59" s="105"/>
      <c r="D59" s="35" t="s">
        <v>44</v>
      </c>
      <c r="E59" s="23">
        <f t="shared" si="53"/>
        <v>0</v>
      </c>
      <c r="F59" s="23">
        <f t="shared" si="53"/>
        <v>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33"/>
      <c r="AS59" s="33"/>
    </row>
    <row r="60" spans="1:45" x14ac:dyDescent="0.3">
      <c r="A60" s="105"/>
      <c r="B60" s="105"/>
      <c r="C60" s="105"/>
      <c r="D60" s="35" t="s">
        <v>22</v>
      </c>
      <c r="E60" s="23">
        <f t="shared" si="53"/>
        <v>0</v>
      </c>
      <c r="F60" s="23">
        <f t="shared" si="53"/>
        <v>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33"/>
      <c r="AS60" s="33"/>
    </row>
    <row r="61" spans="1:45" ht="14.4" customHeight="1" x14ac:dyDescent="0.3">
      <c r="A61" s="105" t="s">
        <v>128</v>
      </c>
      <c r="B61" s="105" t="s">
        <v>132</v>
      </c>
      <c r="C61" s="105" t="s">
        <v>5</v>
      </c>
      <c r="D61" s="35" t="s">
        <v>3</v>
      </c>
      <c r="E61" s="23">
        <f t="shared" si="53"/>
        <v>0</v>
      </c>
      <c r="F61" s="23">
        <f t="shared" si="53"/>
        <v>0</v>
      </c>
      <c r="G61" s="23"/>
      <c r="H61" s="23">
        <f>H62+H63+H64+H65</f>
        <v>0</v>
      </c>
      <c r="I61" s="23"/>
      <c r="J61" s="23"/>
      <c r="K61" s="23">
        <f t="shared" ref="K61" si="54">K62+K63+K64+K65</f>
        <v>0</v>
      </c>
      <c r="L61" s="23"/>
      <c r="M61" s="23"/>
      <c r="N61" s="23">
        <f t="shared" ref="N61" si="55">N62+N63+N64+N65</f>
        <v>0</v>
      </c>
      <c r="O61" s="23"/>
      <c r="P61" s="23"/>
      <c r="Q61" s="23">
        <f t="shared" ref="Q61" si="56">Q62+Q63+Q64+Q65</f>
        <v>0</v>
      </c>
      <c r="R61" s="23"/>
      <c r="S61" s="23"/>
      <c r="T61" s="23">
        <f t="shared" ref="T61" si="57">T62+T63+T64+T65</f>
        <v>0</v>
      </c>
      <c r="U61" s="23"/>
      <c r="V61" s="23"/>
      <c r="W61" s="23">
        <f t="shared" ref="W61" si="58">W62+W63+W64+W65</f>
        <v>0</v>
      </c>
      <c r="X61" s="23"/>
      <c r="Y61" s="23"/>
      <c r="Z61" s="23">
        <f t="shared" ref="Z61" si="59">Z62+Z63+Z64+Z65</f>
        <v>0</v>
      </c>
      <c r="AA61" s="23"/>
      <c r="AB61" s="23"/>
      <c r="AC61" s="23">
        <f t="shared" ref="AC61" si="60">AC62+AC63+AC64+AC65</f>
        <v>0</v>
      </c>
      <c r="AD61" s="23"/>
      <c r="AE61" s="23"/>
      <c r="AF61" s="23">
        <f t="shared" ref="AF61" si="61">AF62+AF63+AF64+AF65</f>
        <v>0</v>
      </c>
      <c r="AG61" s="23"/>
      <c r="AH61" s="23"/>
      <c r="AI61" s="23">
        <f t="shared" ref="AI61" si="62">AI62+AI63+AI64+AI65</f>
        <v>0</v>
      </c>
      <c r="AJ61" s="23"/>
      <c r="AK61" s="23"/>
      <c r="AL61" s="23">
        <f t="shared" ref="AL61" si="63">AL62+AL63+AL64+AL65</f>
        <v>0</v>
      </c>
      <c r="AM61" s="23"/>
      <c r="AN61" s="23"/>
      <c r="AO61" s="23">
        <f t="shared" ref="AO61" si="64">AO62+AO63+AO64+AO65</f>
        <v>0</v>
      </c>
      <c r="AP61" s="23"/>
      <c r="AQ61" s="23"/>
      <c r="AR61" s="33"/>
      <c r="AS61" s="33"/>
    </row>
    <row r="62" spans="1:45" x14ac:dyDescent="0.3">
      <c r="A62" s="105"/>
      <c r="B62" s="105"/>
      <c r="C62" s="105"/>
      <c r="D62" s="35" t="s">
        <v>21</v>
      </c>
      <c r="E62" s="23">
        <f t="shared" si="53"/>
        <v>0</v>
      </c>
      <c r="F62" s="23">
        <f t="shared" si="53"/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33"/>
      <c r="AS62" s="33"/>
    </row>
    <row r="63" spans="1:45" ht="24" x14ac:dyDescent="0.3">
      <c r="A63" s="105"/>
      <c r="B63" s="105"/>
      <c r="C63" s="105"/>
      <c r="D63" s="35" t="s">
        <v>4</v>
      </c>
      <c r="E63" s="23">
        <f t="shared" si="53"/>
        <v>0</v>
      </c>
      <c r="F63" s="23">
        <f t="shared" si="53"/>
        <v>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33"/>
      <c r="AS63" s="33"/>
    </row>
    <row r="64" spans="1:45" x14ac:dyDescent="0.3">
      <c r="A64" s="105"/>
      <c r="B64" s="105"/>
      <c r="C64" s="105"/>
      <c r="D64" s="35" t="s">
        <v>44</v>
      </c>
      <c r="E64" s="23">
        <f t="shared" si="53"/>
        <v>0</v>
      </c>
      <c r="F64" s="23">
        <f t="shared" si="53"/>
        <v>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33"/>
      <c r="AS64" s="33"/>
    </row>
    <row r="65" spans="1:45" x14ac:dyDescent="0.3">
      <c r="A65" s="105"/>
      <c r="B65" s="105"/>
      <c r="C65" s="105"/>
      <c r="D65" s="35" t="s">
        <v>22</v>
      </c>
      <c r="E65" s="23">
        <f t="shared" si="53"/>
        <v>0</v>
      </c>
      <c r="F65" s="23">
        <f t="shared" si="53"/>
        <v>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33"/>
      <c r="AS65" s="33"/>
    </row>
    <row r="66" spans="1:45" ht="14.4" customHeight="1" x14ac:dyDescent="0.3">
      <c r="A66" s="105" t="s">
        <v>129</v>
      </c>
      <c r="B66" s="105" t="s">
        <v>133</v>
      </c>
      <c r="C66" s="105" t="s">
        <v>138</v>
      </c>
      <c r="D66" s="35" t="s">
        <v>3</v>
      </c>
      <c r="E66" s="23">
        <f t="shared" si="53"/>
        <v>0</v>
      </c>
      <c r="F66" s="23">
        <f t="shared" si="53"/>
        <v>0</v>
      </c>
      <c r="G66" s="23"/>
      <c r="H66" s="23">
        <f>H67+H68+H69+H70</f>
        <v>0</v>
      </c>
      <c r="I66" s="23"/>
      <c r="J66" s="23"/>
      <c r="K66" s="23">
        <f t="shared" ref="K66" si="65">K67+K68+K69+K70</f>
        <v>0</v>
      </c>
      <c r="L66" s="23"/>
      <c r="M66" s="23"/>
      <c r="N66" s="23">
        <f t="shared" ref="N66" si="66">N67+N68+N69+N70</f>
        <v>0</v>
      </c>
      <c r="O66" s="23"/>
      <c r="P66" s="23"/>
      <c r="Q66" s="23">
        <f t="shared" ref="Q66" si="67">Q67+Q68+Q69+Q70</f>
        <v>0</v>
      </c>
      <c r="R66" s="23"/>
      <c r="S66" s="23"/>
      <c r="T66" s="23">
        <f t="shared" ref="T66" si="68">T67+T68+T69+T70</f>
        <v>0</v>
      </c>
      <c r="U66" s="23"/>
      <c r="V66" s="23"/>
      <c r="W66" s="23">
        <f t="shared" ref="W66" si="69">W67+W68+W69+W70</f>
        <v>0</v>
      </c>
      <c r="X66" s="23"/>
      <c r="Y66" s="23"/>
      <c r="Z66" s="23">
        <f t="shared" ref="Z66" si="70">Z67+Z68+Z69+Z70</f>
        <v>0</v>
      </c>
      <c r="AA66" s="23"/>
      <c r="AB66" s="23"/>
      <c r="AC66" s="23">
        <f t="shared" ref="AC66" si="71">AC67+AC68+AC69+AC70</f>
        <v>0</v>
      </c>
      <c r="AD66" s="23"/>
      <c r="AE66" s="23"/>
      <c r="AF66" s="23">
        <f t="shared" ref="AF66" si="72">AF67+AF68+AF69+AF70</f>
        <v>0</v>
      </c>
      <c r="AG66" s="23"/>
      <c r="AH66" s="23"/>
      <c r="AI66" s="23">
        <f t="shared" ref="AI66:AJ66" si="73">AI67+AI68+AI69+AI70</f>
        <v>0</v>
      </c>
      <c r="AJ66" s="23">
        <f t="shared" si="73"/>
        <v>0</v>
      </c>
      <c r="AK66" s="23"/>
      <c r="AL66" s="23">
        <f t="shared" ref="AL66" si="74">AL67+AL68+AL69+AL70</f>
        <v>0</v>
      </c>
      <c r="AM66" s="23"/>
      <c r="AN66" s="23"/>
      <c r="AO66" s="23">
        <f t="shared" ref="AO66" si="75">AO67+AO68+AO69+AO70</f>
        <v>0</v>
      </c>
      <c r="AP66" s="23"/>
      <c r="AQ66" s="23"/>
      <c r="AR66" s="33"/>
      <c r="AS66" s="33"/>
    </row>
    <row r="67" spans="1:45" ht="15" customHeight="1" x14ac:dyDescent="0.3">
      <c r="A67" s="105"/>
      <c r="B67" s="105"/>
      <c r="C67" s="105"/>
      <c r="D67" s="35" t="s">
        <v>21</v>
      </c>
      <c r="E67" s="23">
        <f t="shared" si="53"/>
        <v>0</v>
      </c>
      <c r="F67" s="23">
        <f t="shared" si="53"/>
        <v>0</v>
      </c>
      <c r="G67" s="2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33"/>
      <c r="AS67" s="33"/>
    </row>
    <row r="68" spans="1:45" ht="24" x14ac:dyDescent="0.3">
      <c r="A68" s="105"/>
      <c r="B68" s="105"/>
      <c r="C68" s="105"/>
      <c r="D68" s="35" t="s">
        <v>4</v>
      </c>
      <c r="E68" s="23">
        <f t="shared" si="53"/>
        <v>0</v>
      </c>
      <c r="F68" s="23">
        <f t="shared" si="53"/>
        <v>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33"/>
      <c r="AS68" s="33"/>
    </row>
    <row r="69" spans="1:45" x14ac:dyDescent="0.3">
      <c r="A69" s="105"/>
      <c r="B69" s="105"/>
      <c r="C69" s="105"/>
      <c r="D69" s="35" t="s">
        <v>44</v>
      </c>
      <c r="E69" s="23">
        <f t="shared" si="53"/>
        <v>0</v>
      </c>
      <c r="F69" s="23">
        <f t="shared" si="53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91"/>
      <c r="AS69" s="91"/>
    </row>
    <row r="70" spans="1:45" ht="18" customHeight="1" x14ac:dyDescent="0.3">
      <c r="A70" s="105"/>
      <c r="B70" s="105"/>
      <c r="C70" s="105"/>
      <c r="D70" s="35" t="s">
        <v>22</v>
      </c>
      <c r="E70" s="23">
        <f t="shared" si="53"/>
        <v>0</v>
      </c>
      <c r="F70" s="23">
        <f t="shared" si="53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33"/>
      <c r="AS70" s="33"/>
    </row>
    <row r="71" spans="1:45" ht="13.2" customHeight="1" x14ac:dyDescent="0.3">
      <c r="A71" s="94" t="s">
        <v>50</v>
      </c>
      <c r="B71" s="94" t="s">
        <v>87</v>
      </c>
      <c r="C71" s="94" t="s">
        <v>5</v>
      </c>
      <c r="D71" s="35" t="s">
        <v>3</v>
      </c>
      <c r="E71" s="23">
        <f t="shared" si="53"/>
        <v>1955.4</v>
      </c>
      <c r="F71" s="23">
        <f t="shared" si="53"/>
        <v>698.3</v>
      </c>
      <c r="G71" s="23">
        <f>F71/E71*100</f>
        <v>35.711363403907129</v>
      </c>
      <c r="H71" s="23">
        <f>H72+H73+H74+H75</f>
        <v>0</v>
      </c>
      <c r="I71" s="23"/>
      <c r="J71" s="23"/>
      <c r="K71" s="23">
        <f t="shared" ref="K71:AO71" si="76">K72+K73+K74+K75</f>
        <v>0</v>
      </c>
      <c r="L71" s="23">
        <f t="shared" si="76"/>
        <v>0</v>
      </c>
      <c r="M71" s="23"/>
      <c r="N71" s="23">
        <f t="shared" si="76"/>
        <v>0</v>
      </c>
      <c r="O71" s="23">
        <f t="shared" si="76"/>
        <v>0</v>
      </c>
      <c r="P71" s="23"/>
      <c r="Q71" s="23">
        <f t="shared" si="76"/>
        <v>260</v>
      </c>
      <c r="R71" s="23">
        <f t="shared" si="76"/>
        <v>260</v>
      </c>
      <c r="S71" s="23">
        <f>R71/Q71*100</f>
        <v>100</v>
      </c>
      <c r="T71" s="23">
        <f t="shared" si="76"/>
        <v>0</v>
      </c>
      <c r="U71" s="23">
        <f t="shared" si="76"/>
        <v>0</v>
      </c>
      <c r="V71" s="23"/>
      <c r="W71" s="23">
        <f t="shared" si="76"/>
        <v>0</v>
      </c>
      <c r="X71" s="23">
        <f t="shared" si="76"/>
        <v>0</v>
      </c>
      <c r="Y71" s="23"/>
      <c r="Z71" s="23">
        <f t="shared" si="76"/>
        <v>250</v>
      </c>
      <c r="AA71" s="23">
        <f t="shared" si="76"/>
        <v>250</v>
      </c>
      <c r="AB71" s="23">
        <f>AA71/Z71*100</f>
        <v>100</v>
      </c>
      <c r="AC71" s="23">
        <f t="shared" si="76"/>
        <v>0</v>
      </c>
      <c r="AD71" s="23">
        <f t="shared" si="76"/>
        <v>0</v>
      </c>
      <c r="AE71" s="23"/>
      <c r="AF71" s="23">
        <f t="shared" si="76"/>
        <v>1445.4</v>
      </c>
      <c r="AG71" s="23">
        <f t="shared" si="76"/>
        <v>188.3</v>
      </c>
      <c r="AH71" s="23">
        <f>AG71/AF71*100</f>
        <v>13.027535630275356</v>
      </c>
      <c r="AI71" s="23">
        <f t="shared" si="76"/>
        <v>0</v>
      </c>
      <c r="AJ71" s="23">
        <f t="shared" si="76"/>
        <v>0</v>
      </c>
      <c r="AK71" s="23" t="e">
        <f>AJ71/AI71*100</f>
        <v>#DIV/0!</v>
      </c>
      <c r="AL71" s="23">
        <f t="shared" si="76"/>
        <v>0</v>
      </c>
      <c r="AM71" s="23">
        <f t="shared" si="76"/>
        <v>0</v>
      </c>
      <c r="AN71" s="23"/>
      <c r="AO71" s="23">
        <f t="shared" si="76"/>
        <v>0</v>
      </c>
      <c r="AP71" s="23"/>
      <c r="AQ71" s="21" t="e">
        <f t="shared" ref="AQ71:AQ80" si="77">AP71/AO71</f>
        <v>#DIV/0!</v>
      </c>
      <c r="AR71" s="33"/>
      <c r="AS71" s="33"/>
    </row>
    <row r="72" spans="1:45" ht="13.2" customHeight="1" x14ac:dyDescent="0.3">
      <c r="A72" s="96"/>
      <c r="B72" s="96"/>
      <c r="C72" s="96"/>
      <c r="D72" s="35" t="s">
        <v>21</v>
      </c>
      <c r="E72" s="23">
        <f t="shared" si="53"/>
        <v>0</v>
      </c>
      <c r="F72" s="23">
        <f t="shared" si="53"/>
        <v>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1"/>
      <c r="W72" s="23"/>
      <c r="X72" s="23"/>
      <c r="Y72" s="21"/>
      <c r="Z72" s="23"/>
      <c r="AA72" s="23"/>
      <c r="AB72" s="23"/>
      <c r="AC72" s="23"/>
      <c r="AD72" s="23"/>
      <c r="AE72" s="21"/>
      <c r="AF72" s="23"/>
      <c r="AG72" s="23"/>
      <c r="AH72" s="21"/>
      <c r="AI72" s="23"/>
      <c r="AJ72" s="23"/>
      <c r="AK72" s="21"/>
      <c r="AL72" s="23"/>
      <c r="AM72" s="23"/>
      <c r="AN72" s="21"/>
      <c r="AO72" s="23"/>
      <c r="AP72" s="23"/>
      <c r="AQ72" s="21"/>
      <c r="AR72" s="33"/>
      <c r="AS72" s="33"/>
    </row>
    <row r="73" spans="1:45" ht="24" x14ac:dyDescent="0.3">
      <c r="A73" s="96"/>
      <c r="B73" s="96"/>
      <c r="C73" s="96"/>
      <c r="D73" s="35" t="s">
        <v>4</v>
      </c>
      <c r="E73" s="23">
        <f t="shared" si="53"/>
        <v>510</v>
      </c>
      <c r="F73" s="23">
        <f t="shared" si="53"/>
        <v>510</v>
      </c>
      <c r="G73" s="23">
        <f t="shared" ref="G73:G74" si="78">F73/E73*100</f>
        <v>100</v>
      </c>
      <c r="H73" s="39"/>
      <c r="I73" s="39"/>
      <c r="J73" s="39"/>
      <c r="K73" s="39"/>
      <c r="L73" s="39"/>
      <c r="M73" s="23"/>
      <c r="N73" s="39"/>
      <c r="O73" s="39"/>
      <c r="P73" s="23"/>
      <c r="Q73" s="23">
        <v>260</v>
      </c>
      <c r="R73" s="23">
        <v>260</v>
      </c>
      <c r="S73" s="23">
        <f t="shared" ref="S73" si="79">R73/Q73*100</f>
        <v>100</v>
      </c>
      <c r="T73" s="23"/>
      <c r="U73" s="23"/>
      <c r="V73" s="23"/>
      <c r="W73" s="23"/>
      <c r="X73" s="23"/>
      <c r="Y73" s="23"/>
      <c r="Z73" s="23">
        <v>250</v>
      </c>
      <c r="AA73" s="23">
        <v>250</v>
      </c>
      <c r="AB73" s="23">
        <f t="shared" ref="AB73" si="80">AA73/Z73*100</f>
        <v>100</v>
      </c>
      <c r="AC73" s="23"/>
      <c r="AD73" s="23"/>
      <c r="AE73" s="23"/>
      <c r="AF73" s="23"/>
      <c r="AG73" s="23"/>
      <c r="AH73" s="23"/>
      <c r="AI73" s="23"/>
      <c r="AJ73" s="23"/>
      <c r="AK73" s="23" t="e">
        <f>AJ73/AI73*100</f>
        <v>#DIV/0!</v>
      </c>
      <c r="AL73" s="39"/>
      <c r="AM73" s="39"/>
      <c r="AN73" s="23"/>
      <c r="AO73" s="39"/>
      <c r="AP73" s="39"/>
      <c r="AQ73" s="21"/>
      <c r="AR73" s="91" t="s">
        <v>162</v>
      </c>
      <c r="AS73" s="33"/>
    </row>
    <row r="74" spans="1:45" ht="73.8" customHeight="1" x14ac:dyDescent="0.3">
      <c r="A74" s="96"/>
      <c r="B74" s="96"/>
      <c r="C74" s="96"/>
      <c r="D74" s="35" t="s">
        <v>44</v>
      </c>
      <c r="E74" s="23">
        <f t="shared" si="53"/>
        <v>1445.4</v>
      </c>
      <c r="F74" s="23">
        <f t="shared" si="53"/>
        <v>188.3</v>
      </c>
      <c r="G74" s="23">
        <f t="shared" si="78"/>
        <v>13.027535630275356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>
        <v>1445.4</v>
      </c>
      <c r="AG74" s="23">
        <v>188.3</v>
      </c>
      <c r="AH74" s="23">
        <f>AG74/AF74*100</f>
        <v>13.027535630275356</v>
      </c>
      <c r="AI74" s="23"/>
      <c r="AJ74" s="23"/>
      <c r="AK74" s="23" t="e">
        <f>AJ74/AI74*100</f>
        <v>#DIV/0!</v>
      </c>
      <c r="AL74" s="23"/>
      <c r="AM74" s="23"/>
      <c r="AN74" s="23"/>
      <c r="AO74" s="23"/>
      <c r="AP74" s="23"/>
      <c r="AQ74" s="21" t="e">
        <f t="shared" si="77"/>
        <v>#DIV/0!</v>
      </c>
      <c r="AR74" s="91" t="s">
        <v>186</v>
      </c>
      <c r="AS74" s="91" t="s">
        <v>203</v>
      </c>
    </row>
    <row r="75" spans="1:45" ht="12.6" customHeight="1" x14ac:dyDescent="0.3">
      <c r="A75" s="96"/>
      <c r="B75" s="96"/>
      <c r="C75" s="96"/>
      <c r="D75" s="35" t="s">
        <v>22</v>
      </c>
      <c r="E75" s="23">
        <f t="shared" si="53"/>
        <v>0</v>
      </c>
      <c r="F75" s="23">
        <f t="shared" si="53"/>
        <v>0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33"/>
      <c r="AS75" s="33"/>
    </row>
    <row r="76" spans="1:45" ht="101.4" customHeight="1" x14ac:dyDescent="0.3">
      <c r="A76" s="95"/>
      <c r="B76" s="95"/>
      <c r="C76" s="95"/>
      <c r="D76" s="36" t="s">
        <v>126</v>
      </c>
      <c r="E76" s="23">
        <f t="shared" si="53"/>
        <v>0</v>
      </c>
      <c r="F76" s="23">
        <f t="shared" si="53"/>
        <v>1553.6</v>
      </c>
      <c r="G76" s="23"/>
      <c r="H76" s="23"/>
      <c r="I76" s="23"/>
      <c r="J76" s="23"/>
      <c r="K76" s="23"/>
      <c r="L76" s="23"/>
      <c r="M76" s="23"/>
      <c r="N76" s="23"/>
      <c r="O76" s="23">
        <v>464.6</v>
      </c>
      <c r="P76" s="23"/>
      <c r="Q76" s="23"/>
      <c r="R76" s="23"/>
      <c r="S76" s="23"/>
      <c r="T76" s="23"/>
      <c r="U76" s="23"/>
      <c r="V76" s="23"/>
      <c r="W76" s="23"/>
      <c r="X76" s="23">
        <v>233.2</v>
      </c>
      <c r="Y76" s="23"/>
      <c r="Z76" s="23"/>
      <c r="AA76" s="23">
        <v>372.8</v>
      </c>
      <c r="AB76" s="23"/>
      <c r="AC76" s="23"/>
      <c r="AD76" s="23">
        <v>352.7</v>
      </c>
      <c r="AE76" s="23"/>
      <c r="AF76" s="23"/>
      <c r="AG76" s="23">
        <v>130.30000000000001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91" t="s">
        <v>169</v>
      </c>
      <c r="AS76" s="91" t="s">
        <v>187</v>
      </c>
    </row>
    <row r="77" spans="1:45" ht="13.2" customHeight="1" x14ac:dyDescent="0.3">
      <c r="A77" s="94" t="s">
        <v>51</v>
      </c>
      <c r="B77" s="105" t="s">
        <v>88</v>
      </c>
      <c r="C77" s="105" t="s">
        <v>5</v>
      </c>
      <c r="D77" s="35" t="s">
        <v>3</v>
      </c>
      <c r="E77" s="23">
        <f t="shared" si="53"/>
        <v>220.5</v>
      </c>
      <c r="F77" s="23">
        <f t="shared" si="53"/>
        <v>220.5</v>
      </c>
      <c r="G77" s="23">
        <f>F77/E77*100</f>
        <v>100</v>
      </c>
      <c r="H77" s="23">
        <f>H78+H79+H80+H81</f>
        <v>0</v>
      </c>
      <c r="I77" s="23">
        <f>I78+I79+I80+I81</f>
        <v>0</v>
      </c>
      <c r="J77" s="23"/>
      <c r="K77" s="23">
        <f t="shared" ref="K77:AO77" si="81">K78+K79+K80+K81</f>
        <v>0</v>
      </c>
      <c r="L77" s="23">
        <f t="shared" si="81"/>
        <v>0</v>
      </c>
      <c r="M77" s="23"/>
      <c r="N77" s="23">
        <f t="shared" si="81"/>
        <v>190.5</v>
      </c>
      <c r="O77" s="23">
        <f t="shared" si="81"/>
        <v>190.5</v>
      </c>
      <c r="P77" s="23">
        <f>O77/N77*100</f>
        <v>100</v>
      </c>
      <c r="Q77" s="23">
        <f t="shared" si="81"/>
        <v>30</v>
      </c>
      <c r="R77" s="23">
        <f t="shared" si="81"/>
        <v>30</v>
      </c>
      <c r="S77" s="23">
        <f>R77/Q77*100</f>
        <v>100</v>
      </c>
      <c r="T77" s="23">
        <f t="shared" si="81"/>
        <v>0</v>
      </c>
      <c r="U77" s="23">
        <f t="shared" si="81"/>
        <v>0</v>
      </c>
      <c r="V77" s="23"/>
      <c r="W77" s="23">
        <f t="shared" si="81"/>
        <v>0</v>
      </c>
      <c r="X77" s="23"/>
      <c r="Y77" s="21"/>
      <c r="Z77" s="23">
        <f t="shared" si="81"/>
        <v>0</v>
      </c>
      <c r="AA77" s="23">
        <f t="shared" si="81"/>
        <v>0</v>
      </c>
      <c r="AB77" s="23"/>
      <c r="AC77" s="23">
        <f t="shared" si="81"/>
        <v>0</v>
      </c>
      <c r="AD77" s="23">
        <f t="shared" si="81"/>
        <v>0</v>
      </c>
      <c r="AE77" s="23"/>
      <c r="AF77" s="23">
        <f t="shared" si="81"/>
        <v>0</v>
      </c>
      <c r="AG77" s="23">
        <f t="shared" si="81"/>
        <v>0</v>
      </c>
      <c r="AH77" s="23"/>
      <c r="AI77" s="23">
        <f t="shared" si="81"/>
        <v>0</v>
      </c>
      <c r="AJ77" s="23">
        <f t="shared" si="81"/>
        <v>0</v>
      </c>
      <c r="AK77" s="23"/>
      <c r="AL77" s="23">
        <f t="shared" si="81"/>
        <v>0</v>
      </c>
      <c r="AM77" s="23"/>
      <c r="AN77" s="23"/>
      <c r="AO77" s="23">
        <f t="shared" si="81"/>
        <v>0</v>
      </c>
      <c r="AP77" s="23"/>
      <c r="AQ77" s="21" t="e">
        <f t="shared" si="77"/>
        <v>#DIV/0!</v>
      </c>
      <c r="AR77" s="33"/>
      <c r="AS77" s="33"/>
    </row>
    <row r="78" spans="1:45" x14ac:dyDescent="0.3">
      <c r="A78" s="96"/>
      <c r="B78" s="105"/>
      <c r="C78" s="105"/>
      <c r="D78" s="35" t="s">
        <v>21</v>
      </c>
      <c r="E78" s="23">
        <f t="shared" si="53"/>
        <v>0</v>
      </c>
      <c r="F78" s="23">
        <f t="shared" si="53"/>
        <v>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1"/>
      <c r="AR78" s="33"/>
      <c r="AS78" s="33"/>
    </row>
    <row r="79" spans="1:45" ht="24" x14ac:dyDescent="0.3">
      <c r="A79" s="96"/>
      <c r="B79" s="105"/>
      <c r="C79" s="105"/>
      <c r="D79" s="35" t="s">
        <v>4</v>
      </c>
      <c r="E79" s="23">
        <f t="shared" si="53"/>
        <v>0</v>
      </c>
      <c r="F79" s="23">
        <f t="shared" si="53"/>
        <v>0</v>
      </c>
      <c r="G79" s="23"/>
      <c r="H79" s="39"/>
      <c r="I79" s="39"/>
      <c r="J79" s="23"/>
      <c r="K79" s="39"/>
      <c r="L79" s="39"/>
      <c r="M79" s="23"/>
      <c r="N79" s="39"/>
      <c r="O79" s="39"/>
      <c r="P79" s="23"/>
      <c r="Q79" s="39"/>
      <c r="R79" s="39"/>
      <c r="S79" s="23"/>
      <c r="T79" s="39"/>
      <c r="U79" s="39"/>
      <c r="V79" s="23"/>
      <c r="W79" s="39"/>
      <c r="X79" s="39"/>
      <c r="Y79" s="21"/>
      <c r="Z79" s="39"/>
      <c r="AA79" s="39"/>
      <c r="AB79" s="23"/>
      <c r="AC79" s="39"/>
      <c r="AD79" s="39"/>
      <c r="AE79" s="23"/>
      <c r="AF79" s="39"/>
      <c r="AG79" s="39"/>
      <c r="AH79" s="23"/>
      <c r="AI79" s="39"/>
      <c r="AJ79" s="39"/>
      <c r="AK79" s="23"/>
      <c r="AL79" s="39"/>
      <c r="AM79" s="39"/>
      <c r="AN79" s="23"/>
      <c r="AO79" s="39"/>
      <c r="AP79" s="39"/>
      <c r="AQ79" s="21"/>
      <c r="AR79" s="33"/>
      <c r="AS79" s="33"/>
    </row>
    <row r="80" spans="1:45" ht="25.2" customHeight="1" x14ac:dyDescent="0.3">
      <c r="A80" s="96"/>
      <c r="B80" s="105"/>
      <c r="C80" s="105"/>
      <c r="D80" s="35" t="s">
        <v>44</v>
      </c>
      <c r="E80" s="23">
        <f t="shared" si="53"/>
        <v>220.5</v>
      </c>
      <c r="F80" s="23">
        <f t="shared" si="53"/>
        <v>220.5</v>
      </c>
      <c r="G80" s="23">
        <f t="shared" ref="G80" si="82">F80/E80*100</f>
        <v>100</v>
      </c>
      <c r="H80" s="23"/>
      <c r="I80" s="23">
        <v>0</v>
      </c>
      <c r="J80" s="23"/>
      <c r="K80" s="23"/>
      <c r="L80" s="23"/>
      <c r="M80" s="23"/>
      <c r="N80" s="23">
        <f>220.5-30</f>
        <v>190.5</v>
      </c>
      <c r="O80" s="23">
        <v>190.5</v>
      </c>
      <c r="P80" s="23">
        <f t="shared" ref="P80" si="83">O80/N80*100</f>
        <v>100</v>
      </c>
      <c r="Q80" s="23">
        <v>30</v>
      </c>
      <c r="R80" s="23">
        <v>30</v>
      </c>
      <c r="S80" s="23">
        <f t="shared" ref="S80" si="84">R80/Q80*100</f>
        <v>100</v>
      </c>
      <c r="T80" s="23"/>
      <c r="U80" s="23"/>
      <c r="V80" s="23"/>
      <c r="W80" s="23"/>
      <c r="X80" s="23"/>
      <c r="Y80" s="21"/>
      <c r="Z80" s="23"/>
      <c r="AA80" s="23"/>
      <c r="AB80" s="23"/>
      <c r="AC80" s="23"/>
      <c r="AD80" s="23">
        <v>0</v>
      </c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1" t="e">
        <f t="shared" si="77"/>
        <v>#DIV/0!</v>
      </c>
      <c r="AR80" s="91" t="s">
        <v>153</v>
      </c>
      <c r="AS80" s="91"/>
    </row>
    <row r="81" spans="1:45" x14ac:dyDescent="0.3">
      <c r="A81" s="95"/>
      <c r="B81" s="105"/>
      <c r="C81" s="105"/>
      <c r="D81" s="35" t="s">
        <v>22</v>
      </c>
      <c r="E81" s="23">
        <f t="shared" si="53"/>
        <v>0</v>
      </c>
      <c r="F81" s="23">
        <f t="shared" si="53"/>
        <v>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33"/>
      <c r="AS81" s="33"/>
    </row>
    <row r="82" spans="1:45" ht="12.6" customHeight="1" x14ac:dyDescent="0.3">
      <c r="A82" s="109" t="s">
        <v>8</v>
      </c>
      <c r="B82" s="110"/>
      <c r="C82" s="111"/>
      <c r="D82" s="36" t="s">
        <v>3</v>
      </c>
      <c r="E82" s="37">
        <f t="shared" si="53"/>
        <v>177634.69999999998</v>
      </c>
      <c r="F82" s="37">
        <f t="shared" si="53"/>
        <v>163949.19999999998</v>
      </c>
      <c r="G82" s="37">
        <f>F82/E82*100</f>
        <v>92.295705737674012</v>
      </c>
      <c r="H82" s="37">
        <f>H84+H83+H85+H86</f>
        <v>0</v>
      </c>
      <c r="I82" s="37">
        <f>I84+I83+I85+I86</f>
        <v>0</v>
      </c>
      <c r="J82" s="37"/>
      <c r="K82" s="37">
        <f>K84+K83+K85+K86</f>
        <v>0</v>
      </c>
      <c r="L82" s="37">
        <f>L84+L83+L85+L86</f>
        <v>0</v>
      </c>
      <c r="M82" s="37"/>
      <c r="N82" s="37">
        <f>N84+N83+N85+N86</f>
        <v>190.5</v>
      </c>
      <c r="O82" s="37">
        <f>O84+O83+O85+O86</f>
        <v>190.5</v>
      </c>
      <c r="P82" s="37">
        <f>O82/N82*100</f>
        <v>100</v>
      </c>
      <c r="Q82" s="37">
        <f>Q84+Q83+Q85+Q86</f>
        <v>22303.7</v>
      </c>
      <c r="R82" s="37">
        <f>R84+R83+R85+R86</f>
        <v>22303.7</v>
      </c>
      <c r="S82" s="37">
        <f>R82/Q82*100</f>
        <v>100</v>
      </c>
      <c r="T82" s="37">
        <f>T84+T83+T85+T86</f>
        <v>39999.800000000003</v>
      </c>
      <c r="U82" s="37">
        <f>U84+U83+U85+U86</f>
        <v>39999.800000000003</v>
      </c>
      <c r="V82" s="37">
        <f>U82/T82*100</f>
        <v>100</v>
      </c>
      <c r="W82" s="37">
        <f>W84+W83+W85+W86</f>
        <v>54899.9</v>
      </c>
      <c r="X82" s="37">
        <f>X84+X83+X85+X86</f>
        <v>54899.9</v>
      </c>
      <c r="Y82" s="37">
        <f>X82/W82*100</f>
        <v>100</v>
      </c>
      <c r="Z82" s="37">
        <f>Z84+Z83+Z85+Z86</f>
        <v>57241.5</v>
      </c>
      <c r="AA82" s="37">
        <f>AA84+AA83+AA85+AA86</f>
        <v>12043.4</v>
      </c>
      <c r="AB82" s="37">
        <f>AA82/Z82*100</f>
        <v>21.039630338128802</v>
      </c>
      <c r="AC82" s="37">
        <f>AC84+AC83+AC85+AC86</f>
        <v>1553.4</v>
      </c>
      <c r="AD82" s="37">
        <f>AD84+AD83+AD85+AD86</f>
        <v>895.3</v>
      </c>
      <c r="AE82" s="37">
        <f>AD82/AC82*100</f>
        <v>57.634865456418169</v>
      </c>
      <c r="AF82" s="37">
        <f>AF84+AF83+AF85+AF86</f>
        <v>1445.4</v>
      </c>
      <c r="AG82" s="37">
        <f>AG84+AG83+AG85+AG86</f>
        <v>33616.6</v>
      </c>
      <c r="AH82" s="37">
        <f>AG82/AF82*100</f>
        <v>2325.7644942576449</v>
      </c>
      <c r="AI82" s="37">
        <f>AI84+AI83+AI85+AI86</f>
        <v>0.5</v>
      </c>
      <c r="AJ82" s="37">
        <f>AJ84+AJ83+AJ85+AJ86</f>
        <v>0</v>
      </c>
      <c r="AK82" s="37">
        <f>AJ82/AI82*100</f>
        <v>0</v>
      </c>
      <c r="AL82" s="37">
        <f>AL84+AL83+AL85+AL86</f>
        <v>0</v>
      </c>
      <c r="AM82" s="37">
        <f>AM84+AM83+AM85+AM86</f>
        <v>0</v>
      </c>
      <c r="AN82" s="37"/>
      <c r="AO82" s="37">
        <f>AO84+AO83+AO85+AO86</f>
        <v>0</v>
      </c>
      <c r="AP82" s="37">
        <f>AP84+AP83+AP85+AP86</f>
        <v>0</v>
      </c>
      <c r="AQ82" s="22" t="e">
        <f t="shared" ref="AQ82:AQ85" si="85">AP82/AO82</f>
        <v>#DIV/0!</v>
      </c>
      <c r="AR82" s="33"/>
      <c r="AS82" s="33"/>
    </row>
    <row r="83" spans="1:45" x14ac:dyDescent="0.3">
      <c r="A83" s="112"/>
      <c r="B83" s="113"/>
      <c r="C83" s="114"/>
      <c r="D83" s="36" t="s">
        <v>21</v>
      </c>
      <c r="E83" s="37">
        <f t="shared" si="53"/>
        <v>56413.8</v>
      </c>
      <c r="F83" s="37">
        <f t="shared" si="53"/>
        <v>52763.4</v>
      </c>
      <c r="G83" s="37">
        <f>F83/E83*100</f>
        <v>93.529242844835835</v>
      </c>
      <c r="H83" s="37">
        <f t="shared" ref="H83:I86" si="86">H41+H46+H72+H78+H52</f>
        <v>0</v>
      </c>
      <c r="I83" s="37">
        <f t="shared" si="86"/>
        <v>0</v>
      </c>
      <c r="J83" s="37"/>
      <c r="K83" s="37">
        <f t="shared" ref="K83:L86" si="87">K41+K46+K72+K78+K52</f>
        <v>0</v>
      </c>
      <c r="L83" s="37">
        <f t="shared" si="87"/>
        <v>0</v>
      </c>
      <c r="M83" s="37"/>
      <c r="N83" s="37">
        <f t="shared" ref="N83:O86" si="88">N41+N46+N72+N78+N52</f>
        <v>0</v>
      </c>
      <c r="O83" s="37">
        <f t="shared" si="88"/>
        <v>0</v>
      </c>
      <c r="P83" s="37"/>
      <c r="Q83" s="37">
        <f t="shared" ref="Q83:R86" si="89">Q41+Q46+Q72+Q78+Q52</f>
        <v>8915.5</v>
      </c>
      <c r="R83" s="37">
        <f t="shared" si="89"/>
        <v>8915.5</v>
      </c>
      <c r="S83" s="37">
        <f t="shared" ref="S83:S85" si="90">R83/Q83*100</f>
        <v>100</v>
      </c>
      <c r="T83" s="37">
        <f t="shared" ref="T83:U86" si="91">T41+T46+T72+T78+T52</f>
        <v>11340</v>
      </c>
      <c r="U83" s="37">
        <f t="shared" si="91"/>
        <v>11340</v>
      </c>
      <c r="V83" s="37">
        <f>U83/T83*100</f>
        <v>100</v>
      </c>
      <c r="W83" s="37">
        <f t="shared" ref="W83:X86" si="92">W41+W46+W72+W78+W52</f>
        <v>16490.5</v>
      </c>
      <c r="X83" s="37">
        <f t="shared" si="92"/>
        <v>16490.5</v>
      </c>
      <c r="Y83" s="37">
        <f>X83/W83*100</f>
        <v>100</v>
      </c>
      <c r="Z83" s="37">
        <f t="shared" ref="Z83:AA86" si="93">Z41+Z46+Z72+Z78+Z52</f>
        <v>19667.8</v>
      </c>
      <c r="AA83" s="37">
        <f t="shared" si="93"/>
        <v>4776.3</v>
      </c>
      <c r="AB83" s="37">
        <f>AA83/Z83*100</f>
        <v>24.284871719256859</v>
      </c>
      <c r="AC83" s="37">
        <f t="shared" ref="AC83:AD86" si="94">AC41+AC46+AC72+AC78+AC52</f>
        <v>0</v>
      </c>
      <c r="AD83" s="37">
        <f t="shared" si="94"/>
        <v>362.6</v>
      </c>
      <c r="AE83" s="37"/>
      <c r="AF83" s="37">
        <f t="shared" ref="AF83:AG86" si="95">AF41+AF46+AF72+AF78+AF52</f>
        <v>0</v>
      </c>
      <c r="AG83" s="37">
        <f t="shared" si="95"/>
        <v>10878.5</v>
      </c>
      <c r="AH83" s="37"/>
      <c r="AI83" s="37">
        <f t="shared" ref="AI83:AJ86" si="96">AI41+AI46+AI72+AI78+AI52</f>
        <v>0</v>
      </c>
      <c r="AJ83" s="37">
        <f t="shared" si="96"/>
        <v>0</v>
      </c>
      <c r="AK83" s="37"/>
      <c r="AL83" s="37">
        <f t="shared" ref="AL83:AM86" si="97">AL41+AL46+AL72+AL78+AL52</f>
        <v>0</v>
      </c>
      <c r="AM83" s="37">
        <f t="shared" si="97"/>
        <v>0</v>
      </c>
      <c r="AN83" s="37"/>
      <c r="AO83" s="37">
        <f t="shared" ref="AO83:AP86" si="98">AO41+AO46+AO72+AO78+AO52</f>
        <v>0</v>
      </c>
      <c r="AP83" s="37">
        <f t="shared" si="98"/>
        <v>0</v>
      </c>
      <c r="AQ83" s="22"/>
      <c r="AR83" s="33"/>
      <c r="AS83" s="33"/>
    </row>
    <row r="84" spans="1:45" ht="23.4" customHeight="1" x14ac:dyDescent="0.3">
      <c r="A84" s="112"/>
      <c r="B84" s="113"/>
      <c r="C84" s="114"/>
      <c r="D84" s="36" t="s">
        <v>4</v>
      </c>
      <c r="E84" s="37">
        <f t="shared" si="53"/>
        <v>93024.5</v>
      </c>
      <c r="F84" s="37">
        <f t="shared" si="53"/>
        <v>88562.9</v>
      </c>
      <c r="G84" s="37">
        <f>F84/E84*100</f>
        <v>95.203844148584508</v>
      </c>
      <c r="H84" s="37">
        <f t="shared" si="86"/>
        <v>0</v>
      </c>
      <c r="I84" s="37">
        <f t="shared" si="86"/>
        <v>0</v>
      </c>
      <c r="J84" s="37"/>
      <c r="K84" s="37">
        <f t="shared" si="87"/>
        <v>0</v>
      </c>
      <c r="L84" s="37">
        <f t="shared" si="87"/>
        <v>0</v>
      </c>
      <c r="M84" s="37"/>
      <c r="N84" s="37">
        <f t="shared" si="88"/>
        <v>0</v>
      </c>
      <c r="O84" s="37">
        <f t="shared" si="88"/>
        <v>0</v>
      </c>
      <c r="P84" s="37"/>
      <c r="Q84" s="37">
        <f t="shared" si="89"/>
        <v>11156.8</v>
      </c>
      <c r="R84" s="37">
        <f t="shared" si="89"/>
        <v>11156.8</v>
      </c>
      <c r="S84" s="37">
        <f t="shared" si="90"/>
        <v>100</v>
      </c>
      <c r="T84" s="37">
        <f t="shared" si="91"/>
        <v>24659.8</v>
      </c>
      <c r="U84" s="37">
        <f t="shared" si="91"/>
        <v>24659.8</v>
      </c>
      <c r="V84" s="37">
        <f>U84/T84*100</f>
        <v>100</v>
      </c>
      <c r="W84" s="37">
        <f t="shared" si="92"/>
        <v>32919.5</v>
      </c>
      <c r="X84" s="37">
        <f t="shared" si="92"/>
        <v>32919.5</v>
      </c>
      <c r="Y84" s="37">
        <f>X84/W84*100</f>
        <v>100</v>
      </c>
      <c r="Z84" s="37">
        <f t="shared" si="93"/>
        <v>24288.399999999998</v>
      </c>
      <c r="AA84" s="37">
        <f t="shared" si="93"/>
        <v>6087.7</v>
      </c>
      <c r="AB84" s="37">
        <f>AA84/Z84*100</f>
        <v>25.064228191235323</v>
      </c>
      <c r="AC84" s="37">
        <f t="shared" si="94"/>
        <v>0</v>
      </c>
      <c r="AD84" s="37">
        <f t="shared" si="94"/>
        <v>443.2</v>
      </c>
      <c r="AE84" s="37"/>
      <c r="AF84" s="37">
        <f t="shared" si="95"/>
        <v>0</v>
      </c>
      <c r="AG84" s="37">
        <f t="shared" si="95"/>
        <v>13295.9</v>
      </c>
      <c r="AH84" s="37"/>
      <c r="AI84" s="37">
        <f t="shared" si="96"/>
        <v>0</v>
      </c>
      <c r="AJ84" s="37">
        <f t="shared" si="96"/>
        <v>0</v>
      </c>
      <c r="AK84" s="37" t="e">
        <f t="shared" ref="AK84:AK85" si="99">AJ84/AI84*100</f>
        <v>#DIV/0!</v>
      </c>
      <c r="AL84" s="37">
        <f t="shared" si="97"/>
        <v>0</v>
      </c>
      <c r="AM84" s="37">
        <f t="shared" si="97"/>
        <v>0</v>
      </c>
      <c r="AN84" s="37"/>
      <c r="AO84" s="37">
        <f t="shared" si="98"/>
        <v>0</v>
      </c>
      <c r="AP84" s="37">
        <f t="shared" si="98"/>
        <v>0</v>
      </c>
      <c r="AQ84" s="22"/>
      <c r="AR84" s="33"/>
      <c r="AS84" s="33"/>
    </row>
    <row r="85" spans="1:45" x14ac:dyDescent="0.3">
      <c r="A85" s="112"/>
      <c r="B85" s="113"/>
      <c r="C85" s="114"/>
      <c r="D85" s="36" t="s">
        <v>44</v>
      </c>
      <c r="E85" s="37">
        <f t="shared" si="53"/>
        <v>28196.400000000001</v>
      </c>
      <c r="F85" s="37">
        <f t="shared" si="53"/>
        <v>22622.899999999998</v>
      </c>
      <c r="G85" s="37">
        <f t="shared" ref="G85" si="100">F85/E85*100</f>
        <v>80.233292193329632</v>
      </c>
      <c r="H85" s="37">
        <f t="shared" si="86"/>
        <v>0</v>
      </c>
      <c r="I85" s="37">
        <f t="shared" si="86"/>
        <v>0</v>
      </c>
      <c r="J85" s="37"/>
      <c r="K85" s="37">
        <f t="shared" si="87"/>
        <v>0</v>
      </c>
      <c r="L85" s="37">
        <f t="shared" si="87"/>
        <v>0</v>
      </c>
      <c r="M85" s="37"/>
      <c r="N85" s="37">
        <f t="shared" si="88"/>
        <v>190.5</v>
      </c>
      <c r="O85" s="37">
        <f t="shared" si="88"/>
        <v>190.5</v>
      </c>
      <c r="P85" s="37">
        <f t="shared" ref="P85" si="101">O85/N85*100</f>
        <v>100</v>
      </c>
      <c r="Q85" s="37">
        <f t="shared" si="89"/>
        <v>2231.4</v>
      </c>
      <c r="R85" s="37">
        <f t="shared" si="89"/>
        <v>2231.4</v>
      </c>
      <c r="S85" s="37">
        <f t="shared" si="90"/>
        <v>100</v>
      </c>
      <c r="T85" s="37">
        <f t="shared" si="91"/>
        <v>4000</v>
      </c>
      <c r="U85" s="37">
        <f t="shared" si="91"/>
        <v>4000</v>
      </c>
      <c r="V85" s="37">
        <f t="shared" ref="V85" si="102">U85/T85*100</f>
        <v>100</v>
      </c>
      <c r="W85" s="37">
        <f t="shared" si="92"/>
        <v>5489.9</v>
      </c>
      <c r="X85" s="37">
        <f t="shared" si="92"/>
        <v>5489.9</v>
      </c>
      <c r="Y85" s="37">
        <f t="shared" ref="Y85" si="103">X85/W85*100</f>
        <v>100</v>
      </c>
      <c r="Z85" s="37">
        <f t="shared" si="93"/>
        <v>13285.3</v>
      </c>
      <c r="AA85" s="37">
        <f t="shared" si="93"/>
        <v>1179.4000000000001</v>
      </c>
      <c r="AB85" s="37">
        <f t="shared" ref="AB85" si="104">AA85/Z85*100</f>
        <v>8.8774811257555353</v>
      </c>
      <c r="AC85" s="37">
        <f t="shared" si="94"/>
        <v>1553.4</v>
      </c>
      <c r="AD85" s="37">
        <f t="shared" si="94"/>
        <v>89.5</v>
      </c>
      <c r="AE85" s="37">
        <f t="shared" ref="AE85" si="105">AD85/AC85*100</f>
        <v>5.7615552980558773</v>
      </c>
      <c r="AF85" s="37">
        <f t="shared" si="95"/>
        <v>1445.4</v>
      </c>
      <c r="AG85" s="37">
        <f t="shared" si="95"/>
        <v>9442.1999999999989</v>
      </c>
      <c r="AH85" s="37">
        <f t="shared" ref="AH85" si="106">AG85/AF85*100</f>
        <v>653.25861353258597</v>
      </c>
      <c r="AI85" s="37">
        <f t="shared" si="96"/>
        <v>0.5</v>
      </c>
      <c r="AJ85" s="37">
        <f t="shared" si="96"/>
        <v>0</v>
      </c>
      <c r="AK85" s="37">
        <f t="shared" si="99"/>
        <v>0</v>
      </c>
      <c r="AL85" s="37">
        <f t="shared" si="97"/>
        <v>0</v>
      </c>
      <c r="AM85" s="37">
        <f t="shared" si="97"/>
        <v>0</v>
      </c>
      <c r="AN85" s="37"/>
      <c r="AO85" s="37">
        <f t="shared" si="98"/>
        <v>0</v>
      </c>
      <c r="AP85" s="37">
        <f t="shared" si="98"/>
        <v>0</v>
      </c>
      <c r="AQ85" s="22" t="e">
        <f t="shared" si="85"/>
        <v>#DIV/0!</v>
      </c>
      <c r="AR85" s="33"/>
      <c r="AS85" s="33"/>
    </row>
    <row r="86" spans="1:45" x14ac:dyDescent="0.3">
      <c r="A86" s="112"/>
      <c r="B86" s="113"/>
      <c r="C86" s="114"/>
      <c r="D86" s="36" t="s">
        <v>22</v>
      </c>
      <c r="E86" s="37">
        <f t="shared" si="53"/>
        <v>0</v>
      </c>
      <c r="F86" s="37">
        <f t="shared" si="53"/>
        <v>0</v>
      </c>
      <c r="G86" s="37"/>
      <c r="H86" s="37">
        <f t="shared" si="86"/>
        <v>0</v>
      </c>
      <c r="I86" s="37">
        <f t="shared" si="86"/>
        <v>0</v>
      </c>
      <c r="J86" s="37"/>
      <c r="K86" s="37">
        <f t="shared" si="87"/>
        <v>0</v>
      </c>
      <c r="L86" s="37">
        <f t="shared" si="87"/>
        <v>0</v>
      </c>
      <c r="M86" s="37"/>
      <c r="N86" s="37">
        <f t="shared" si="88"/>
        <v>0</v>
      </c>
      <c r="O86" s="37">
        <f t="shared" si="88"/>
        <v>0</v>
      </c>
      <c r="P86" s="37"/>
      <c r="Q86" s="37">
        <f t="shared" si="89"/>
        <v>0</v>
      </c>
      <c r="R86" s="37">
        <f t="shared" si="89"/>
        <v>0</v>
      </c>
      <c r="S86" s="37"/>
      <c r="T86" s="37">
        <f t="shared" si="91"/>
        <v>0</v>
      </c>
      <c r="U86" s="37">
        <f t="shared" si="91"/>
        <v>0</v>
      </c>
      <c r="V86" s="37"/>
      <c r="W86" s="37">
        <f t="shared" si="92"/>
        <v>0</v>
      </c>
      <c r="X86" s="37">
        <f t="shared" si="92"/>
        <v>0</v>
      </c>
      <c r="Y86" s="37"/>
      <c r="Z86" s="37">
        <f t="shared" si="93"/>
        <v>0</v>
      </c>
      <c r="AA86" s="37">
        <f t="shared" si="93"/>
        <v>0</v>
      </c>
      <c r="AB86" s="37"/>
      <c r="AC86" s="37">
        <f t="shared" si="94"/>
        <v>0</v>
      </c>
      <c r="AD86" s="37">
        <f t="shared" si="94"/>
        <v>0</v>
      </c>
      <c r="AE86" s="37"/>
      <c r="AF86" s="37">
        <f t="shared" si="95"/>
        <v>0</v>
      </c>
      <c r="AG86" s="37">
        <f t="shared" si="95"/>
        <v>0</v>
      </c>
      <c r="AH86" s="37"/>
      <c r="AI86" s="37">
        <f t="shared" si="96"/>
        <v>0</v>
      </c>
      <c r="AJ86" s="37">
        <f t="shared" si="96"/>
        <v>0</v>
      </c>
      <c r="AK86" s="37"/>
      <c r="AL86" s="37">
        <f t="shared" si="97"/>
        <v>0</v>
      </c>
      <c r="AM86" s="37">
        <f t="shared" si="97"/>
        <v>0</v>
      </c>
      <c r="AN86" s="37"/>
      <c r="AO86" s="37">
        <f t="shared" si="98"/>
        <v>0</v>
      </c>
      <c r="AP86" s="37">
        <f t="shared" si="98"/>
        <v>0</v>
      </c>
      <c r="AQ86" s="23"/>
      <c r="AR86" s="33"/>
      <c r="AS86" s="33"/>
    </row>
    <row r="87" spans="1:45" ht="12.75" customHeight="1" x14ac:dyDescent="0.3">
      <c r="A87" s="115"/>
      <c r="B87" s="116"/>
      <c r="C87" s="117"/>
      <c r="D87" s="36" t="s">
        <v>126</v>
      </c>
      <c r="E87" s="37">
        <f t="shared" si="53"/>
        <v>0</v>
      </c>
      <c r="F87" s="37">
        <f t="shared" si="53"/>
        <v>21134.6</v>
      </c>
      <c r="G87" s="37"/>
      <c r="H87" s="37"/>
      <c r="I87" s="37"/>
      <c r="J87" s="37"/>
      <c r="K87" s="37"/>
      <c r="L87" s="37"/>
      <c r="M87" s="37"/>
      <c r="N87" s="37"/>
      <c r="O87" s="37">
        <f>O50+O76</f>
        <v>4230.7</v>
      </c>
      <c r="P87" s="37"/>
      <c r="Q87" s="37"/>
      <c r="R87" s="37">
        <f>R50+R76</f>
        <v>835.4</v>
      </c>
      <c r="S87" s="37"/>
      <c r="T87" s="37"/>
      <c r="U87" s="37">
        <f>U50+U76</f>
        <v>3742.8</v>
      </c>
      <c r="V87" s="37"/>
      <c r="W87" s="37"/>
      <c r="X87" s="37">
        <f>X50+X76</f>
        <v>233.2</v>
      </c>
      <c r="Y87" s="37"/>
      <c r="Z87" s="37"/>
      <c r="AA87" s="37">
        <f>AA50+AA76</f>
        <v>372.8</v>
      </c>
      <c r="AB87" s="37"/>
      <c r="AC87" s="37"/>
      <c r="AD87" s="37">
        <f>AD50+AD76</f>
        <v>352.7</v>
      </c>
      <c r="AE87" s="37"/>
      <c r="AF87" s="37"/>
      <c r="AG87" s="37">
        <f>AG50+AG76</f>
        <v>11367</v>
      </c>
      <c r="AH87" s="37"/>
      <c r="AI87" s="37"/>
      <c r="AJ87" s="37">
        <f>AJ76</f>
        <v>0</v>
      </c>
      <c r="AK87" s="37"/>
      <c r="AL87" s="37"/>
      <c r="AM87" s="37"/>
      <c r="AN87" s="37"/>
      <c r="AO87" s="37"/>
      <c r="AP87" s="37"/>
      <c r="AQ87" s="23"/>
      <c r="AR87" s="33"/>
      <c r="AS87" s="33"/>
    </row>
    <row r="88" spans="1:45" ht="16.5" customHeight="1" x14ac:dyDescent="0.3">
      <c r="A88" s="35" t="s">
        <v>52</v>
      </c>
      <c r="B88" s="34" t="s">
        <v>9</v>
      </c>
      <c r="C88" s="34"/>
      <c r="D88" s="34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34"/>
      <c r="AQ88" s="34"/>
      <c r="AR88" s="33"/>
      <c r="AS88" s="33"/>
    </row>
    <row r="89" spans="1:45" ht="13.8" customHeight="1" x14ac:dyDescent="0.3">
      <c r="A89" s="105" t="s">
        <v>53</v>
      </c>
      <c r="B89" s="105" t="s">
        <v>89</v>
      </c>
      <c r="C89" s="105" t="s">
        <v>5</v>
      </c>
      <c r="D89" s="35" t="s">
        <v>3</v>
      </c>
      <c r="E89" s="23">
        <f t="shared" ref="E89:F104" si="107">H89+K89+N89+Q89+T89+W89+Z89+AC89+AF89+AI89+AL89+AO89</f>
        <v>45</v>
      </c>
      <c r="F89" s="23">
        <f t="shared" si="107"/>
        <v>15</v>
      </c>
      <c r="G89" s="23">
        <f>F89/E89*100</f>
        <v>33.333333333333329</v>
      </c>
      <c r="H89" s="23">
        <f>H90+H91+H92+H93</f>
        <v>5</v>
      </c>
      <c r="I89" s="23">
        <f>I90+I91+I92+I93</f>
        <v>0</v>
      </c>
      <c r="J89" s="23">
        <f>I89/H89*100</f>
        <v>0</v>
      </c>
      <c r="K89" s="23">
        <f t="shared" ref="K89:AO89" si="108">K90+K91+K92+K93</f>
        <v>0</v>
      </c>
      <c r="L89" s="23">
        <f t="shared" si="108"/>
        <v>0</v>
      </c>
      <c r="M89" s="23"/>
      <c r="N89" s="23">
        <f t="shared" si="108"/>
        <v>0</v>
      </c>
      <c r="O89" s="23">
        <f t="shared" si="108"/>
        <v>5</v>
      </c>
      <c r="P89" s="23"/>
      <c r="Q89" s="23">
        <f t="shared" si="108"/>
        <v>10</v>
      </c>
      <c r="R89" s="23">
        <f t="shared" si="108"/>
        <v>0</v>
      </c>
      <c r="S89" s="23">
        <f>R89/Q89*100</f>
        <v>0</v>
      </c>
      <c r="T89" s="23">
        <f t="shared" si="108"/>
        <v>0</v>
      </c>
      <c r="U89" s="23">
        <f t="shared" si="108"/>
        <v>10</v>
      </c>
      <c r="V89" s="23"/>
      <c r="W89" s="23">
        <f t="shared" si="108"/>
        <v>0</v>
      </c>
      <c r="X89" s="23">
        <f t="shared" si="108"/>
        <v>0</v>
      </c>
      <c r="Y89" s="23"/>
      <c r="Z89" s="23">
        <f t="shared" si="108"/>
        <v>0</v>
      </c>
      <c r="AA89" s="23">
        <f t="shared" si="108"/>
        <v>0</v>
      </c>
      <c r="AB89" s="21"/>
      <c r="AC89" s="23">
        <f t="shared" si="108"/>
        <v>0</v>
      </c>
      <c r="AD89" s="23">
        <f t="shared" si="108"/>
        <v>0</v>
      </c>
      <c r="AE89" s="21"/>
      <c r="AF89" s="23">
        <f t="shared" si="108"/>
        <v>10</v>
      </c>
      <c r="AG89" s="23">
        <f t="shared" si="108"/>
        <v>0</v>
      </c>
      <c r="AH89" s="21"/>
      <c r="AI89" s="23">
        <f t="shared" si="108"/>
        <v>10</v>
      </c>
      <c r="AJ89" s="23">
        <f t="shared" si="108"/>
        <v>0</v>
      </c>
      <c r="AK89" s="23">
        <f>AJ89/AI89*100</f>
        <v>0</v>
      </c>
      <c r="AL89" s="23">
        <f t="shared" si="108"/>
        <v>10</v>
      </c>
      <c r="AM89" s="23">
        <f t="shared" si="108"/>
        <v>0</v>
      </c>
      <c r="AN89" s="23"/>
      <c r="AO89" s="23">
        <f t="shared" si="108"/>
        <v>0</v>
      </c>
      <c r="AP89" s="23"/>
      <c r="AQ89" s="21" t="e">
        <f t="shared" ref="AQ89:AQ92" si="109">AP89/AO89</f>
        <v>#DIV/0!</v>
      </c>
      <c r="AR89" s="33"/>
      <c r="AS89" s="33"/>
    </row>
    <row r="90" spans="1:45" ht="13.5" customHeight="1" x14ac:dyDescent="0.3">
      <c r="A90" s="105"/>
      <c r="B90" s="105"/>
      <c r="C90" s="105"/>
      <c r="D90" s="35" t="s">
        <v>21</v>
      </c>
      <c r="E90" s="23">
        <f t="shared" si="107"/>
        <v>0</v>
      </c>
      <c r="F90" s="23">
        <f t="shared" si="107"/>
        <v>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1"/>
      <c r="AC90" s="23"/>
      <c r="AD90" s="23"/>
      <c r="AE90" s="21"/>
      <c r="AF90" s="23"/>
      <c r="AG90" s="23"/>
      <c r="AH90" s="21"/>
      <c r="AI90" s="23"/>
      <c r="AJ90" s="23"/>
      <c r="AK90" s="23"/>
      <c r="AL90" s="23"/>
      <c r="AM90" s="23"/>
      <c r="AN90" s="23"/>
      <c r="AO90" s="23"/>
      <c r="AP90" s="23"/>
      <c r="AQ90" s="21"/>
      <c r="AR90" s="33"/>
      <c r="AS90" s="33"/>
    </row>
    <row r="91" spans="1:45" ht="15" customHeight="1" x14ac:dyDescent="0.3">
      <c r="A91" s="105"/>
      <c r="B91" s="105"/>
      <c r="C91" s="105"/>
      <c r="D91" s="35" t="s">
        <v>4</v>
      </c>
      <c r="E91" s="23">
        <f t="shared" si="107"/>
        <v>0</v>
      </c>
      <c r="F91" s="23">
        <f t="shared" si="107"/>
        <v>0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1"/>
      <c r="AC91" s="23"/>
      <c r="AD91" s="23"/>
      <c r="AE91" s="21"/>
      <c r="AF91" s="23"/>
      <c r="AG91" s="23"/>
      <c r="AH91" s="21"/>
      <c r="AI91" s="23"/>
      <c r="AJ91" s="23"/>
      <c r="AK91" s="23"/>
      <c r="AL91" s="23"/>
      <c r="AM91" s="23"/>
      <c r="AN91" s="23"/>
      <c r="AO91" s="23"/>
      <c r="AP91" s="23"/>
      <c r="AQ91" s="21"/>
      <c r="AR91" s="40"/>
      <c r="AS91" s="40"/>
    </row>
    <row r="92" spans="1:45" ht="24.6" x14ac:dyDescent="0.3">
      <c r="A92" s="105"/>
      <c r="B92" s="105"/>
      <c r="C92" s="105"/>
      <c r="D92" s="35" t="s">
        <v>44</v>
      </c>
      <c r="E92" s="23">
        <f t="shared" si="107"/>
        <v>45</v>
      </c>
      <c r="F92" s="23">
        <f t="shared" si="107"/>
        <v>15</v>
      </c>
      <c r="G92" s="23">
        <f t="shared" ref="G92" si="110">F92/E92*100</f>
        <v>33.333333333333329</v>
      </c>
      <c r="H92" s="23">
        <v>5</v>
      </c>
      <c r="I92" s="23"/>
      <c r="J92" s="23">
        <f t="shared" ref="J92" si="111">I92/H92*100</f>
        <v>0</v>
      </c>
      <c r="K92" s="23"/>
      <c r="L92" s="23"/>
      <c r="M92" s="23"/>
      <c r="N92" s="23"/>
      <c r="O92" s="23">
        <v>5</v>
      </c>
      <c r="P92" s="23"/>
      <c r="Q92" s="23">
        <v>10</v>
      </c>
      <c r="R92" s="23">
        <v>0</v>
      </c>
      <c r="S92" s="23">
        <f t="shared" ref="S92" si="112">R92/Q92*100</f>
        <v>0</v>
      </c>
      <c r="T92" s="23"/>
      <c r="U92" s="23">
        <v>10</v>
      </c>
      <c r="V92" s="23"/>
      <c r="W92" s="23"/>
      <c r="X92" s="23"/>
      <c r="Y92" s="23"/>
      <c r="Z92" s="23"/>
      <c r="AA92" s="23"/>
      <c r="AB92" s="21"/>
      <c r="AC92" s="23"/>
      <c r="AD92" s="23"/>
      <c r="AE92" s="21"/>
      <c r="AF92" s="23">
        <v>10</v>
      </c>
      <c r="AG92" s="23">
        <v>0</v>
      </c>
      <c r="AH92" s="21"/>
      <c r="AI92" s="23">
        <v>10</v>
      </c>
      <c r="AJ92" s="23"/>
      <c r="AK92" s="23">
        <f t="shared" ref="AK92" si="113">AJ92/AI92*100</f>
        <v>0</v>
      </c>
      <c r="AL92" s="23">
        <v>10</v>
      </c>
      <c r="AM92" s="23"/>
      <c r="AN92" s="23"/>
      <c r="AO92" s="23"/>
      <c r="AP92" s="23"/>
      <c r="AQ92" s="21" t="e">
        <f t="shared" si="109"/>
        <v>#DIV/0!</v>
      </c>
      <c r="AR92" s="91" t="s">
        <v>154</v>
      </c>
      <c r="AS92" s="40" t="s">
        <v>188</v>
      </c>
    </row>
    <row r="93" spans="1:45" ht="12" customHeight="1" x14ac:dyDescent="0.3">
      <c r="A93" s="105"/>
      <c r="B93" s="105"/>
      <c r="C93" s="105"/>
      <c r="D93" s="35" t="s">
        <v>22</v>
      </c>
      <c r="E93" s="23">
        <f t="shared" si="107"/>
        <v>0</v>
      </c>
      <c r="F93" s="23">
        <f t="shared" si="107"/>
        <v>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33"/>
      <c r="AS93" s="33"/>
    </row>
    <row r="94" spans="1:45" ht="15" customHeight="1" x14ac:dyDescent="0.3">
      <c r="A94" s="105" t="s">
        <v>54</v>
      </c>
      <c r="B94" s="105" t="s">
        <v>90</v>
      </c>
      <c r="C94" s="105" t="s">
        <v>5</v>
      </c>
      <c r="D94" s="35" t="s">
        <v>3</v>
      </c>
      <c r="E94" s="23">
        <f t="shared" si="107"/>
        <v>894.39999999999986</v>
      </c>
      <c r="F94" s="23">
        <f t="shared" si="107"/>
        <v>316.99999999999994</v>
      </c>
      <c r="G94" s="23">
        <f>F94/E94*100</f>
        <v>35.442754919499102</v>
      </c>
      <c r="H94" s="23">
        <f>H95+H96+H97+H98</f>
        <v>126.69999999999999</v>
      </c>
      <c r="I94" s="23">
        <f>I95+I96+I97+I98</f>
        <v>87.1</v>
      </c>
      <c r="J94" s="23">
        <f>I94/H94*100</f>
        <v>68.745067087608518</v>
      </c>
      <c r="K94" s="23">
        <f t="shared" ref="K94:AO94" si="114">K95+K96+K97+K98</f>
        <v>0</v>
      </c>
      <c r="L94" s="23">
        <f t="shared" si="114"/>
        <v>49.5</v>
      </c>
      <c r="M94" s="21"/>
      <c r="N94" s="23">
        <f t="shared" si="114"/>
        <v>0</v>
      </c>
      <c r="O94" s="23">
        <f t="shared" si="114"/>
        <v>-9.9</v>
      </c>
      <c r="P94" s="23"/>
      <c r="Q94" s="23">
        <f t="shared" si="114"/>
        <v>11.8</v>
      </c>
      <c r="R94" s="23">
        <f t="shared" si="114"/>
        <v>0</v>
      </c>
      <c r="S94" s="23"/>
      <c r="T94" s="23">
        <f t="shared" si="114"/>
        <v>410.5</v>
      </c>
      <c r="U94" s="23">
        <f t="shared" si="114"/>
        <v>0</v>
      </c>
      <c r="V94" s="23">
        <f>U94/T94*100</f>
        <v>0</v>
      </c>
      <c r="W94" s="23">
        <f t="shared" si="114"/>
        <v>165.60000000000002</v>
      </c>
      <c r="X94" s="23">
        <f t="shared" si="114"/>
        <v>126.1</v>
      </c>
      <c r="Y94" s="23">
        <f>X94/W94*100</f>
        <v>76.147342995169069</v>
      </c>
      <c r="Z94" s="23">
        <f t="shared" si="114"/>
        <v>0</v>
      </c>
      <c r="AA94" s="23">
        <f t="shared" si="114"/>
        <v>-30.5</v>
      </c>
      <c r="AB94" s="23"/>
      <c r="AC94" s="23">
        <f t="shared" si="114"/>
        <v>75.8</v>
      </c>
      <c r="AD94" s="23">
        <f t="shared" si="114"/>
        <v>69.8</v>
      </c>
      <c r="AE94" s="23">
        <f>AD94/AC94*100</f>
        <v>92.084432717678098</v>
      </c>
      <c r="AF94" s="23">
        <f t="shared" si="114"/>
        <v>11.8</v>
      </c>
      <c r="AG94" s="23">
        <f t="shared" si="114"/>
        <v>24.9</v>
      </c>
      <c r="AH94" s="23">
        <f>AG94/AF94*100</f>
        <v>211.01694915254234</v>
      </c>
      <c r="AI94" s="23">
        <f t="shared" si="114"/>
        <v>11.8</v>
      </c>
      <c r="AJ94" s="23">
        <f t="shared" si="114"/>
        <v>0</v>
      </c>
      <c r="AK94" s="23">
        <f>AJ94/AI94*100</f>
        <v>0</v>
      </c>
      <c r="AL94" s="23">
        <f t="shared" si="114"/>
        <v>68.599999999999994</v>
      </c>
      <c r="AM94" s="23">
        <f t="shared" si="114"/>
        <v>0</v>
      </c>
      <c r="AN94" s="23"/>
      <c r="AO94" s="23">
        <f t="shared" si="114"/>
        <v>11.8</v>
      </c>
      <c r="AP94" s="23"/>
      <c r="AQ94" s="21">
        <f t="shared" ref="AQ94:AQ97" si="115">AP94/AO94</f>
        <v>0</v>
      </c>
      <c r="AR94" s="33"/>
      <c r="AS94" s="33"/>
    </row>
    <row r="95" spans="1:45" ht="13.8" customHeight="1" x14ac:dyDescent="0.3">
      <c r="A95" s="105"/>
      <c r="B95" s="105"/>
      <c r="C95" s="105"/>
      <c r="D95" s="35" t="s">
        <v>21</v>
      </c>
      <c r="E95" s="23">
        <f t="shared" si="107"/>
        <v>0</v>
      </c>
      <c r="F95" s="23">
        <f t="shared" si="107"/>
        <v>0</v>
      </c>
      <c r="G95" s="23"/>
      <c r="H95" s="23"/>
      <c r="I95" s="23"/>
      <c r="J95" s="23"/>
      <c r="K95" s="23"/>
      <c r="L95" s="23"/>
      <c r="M95" s="2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1"/>
      <c r="AR95" s="33"/>
      <c r="AS95" s="33"/>
    </row>
    <row r="96" spans="1:45" ht="26.4" customHeight="1" x14ac:dyDescent="0.3">
      <c r="A96" s="105"/>
      <c r="B96" s="105"/>
      <c r="C96" s="105"/>
      <c r="D96" s="35" t="s">
        <v>4</v>
      </c>
      <c r="E96" s="23">
        <f t="shared" si="107"/>
        <v>0</v>
      </c>
      <c r="F96" s="23">
        <f t="shared" si="107"/>
        <v>0</v>
      </c>
      <c r="G96" s="23"/>
      <c r="H96" s="23"/>
      <c r="I96" s="23"/>
      <c r="J96" s="23"/>
      <c r="K96" s="23"/>
      <c r="L96" s="23"/>
      <c r="M96" s="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1"/>
      <c r="AR96" s="33"/>
      <c r="AS96" s="33"/>
    </row>
    <row r="97" spans="1:45" ht="132.6" customHeight="1" x14ac:dyDescent="0.3">
      <c r="A97" s="105"/>
      <c r="B97" s="105"/>
      <c r="C97" s="105"/>
      <c r="D97" s="35" t="s">
        <v>44</v>
      </c>
      <c r="E97" s="23">
        <f t="shared" si="107"/>
        <v>894.39999999999986</v>
      </c>
      <c r="F97" s="23">
        <f t="shared" si="107"/>
        <v>316.99999999999994</v>
      </c>
      <c r="G97" s="23">
        <f t="shared" ref="G97" si="116">F97/E97*100</f>
        <v>35.442754919499102</v>
      </c>
      <c r="H97" s="23">
        <f>485.2-358.5</f>
        <v>126.69999999999999</v>
      </c>
      <c r="I97" s="23">
        <v>87.1</v>
      </c>
      <c r="J97" s="23">
        <f t="shared" ref="J97" si="117">I97/H97*100</f>
        <v>68.745067087608518</v>
      </c>
      <c r="K97" s="23"/>
      <c r="L97" s="23">
        <v>49.5</v>
      </c>
      <c r="M97" s="21"/>
      <c r="N97" s="23"/>
      <c r="O97" s="23">
        <v>-9.9</v>
      </c>
      <c r="P97" s="23"/>
      <c r="Q97" s="23">
        <v>11.8</v>
      </c>
      <c r="R97" s="23">
        <v>0</v>
      </c>
      <c r="S97" s="23"/>
      <c r="T97" s="23">
        <f>11.8+398.7</f>
        <v>410.5</v>
      </c>
      <c r="U97" s="23">
        <v>0</v>
      </c>
      <c r="V97" s="23">
        <f t="shared" ref="V97" si="118">U97/T97*100</f>
        <v>0</v>
      </c>
      <c r="W97" s="23">
        <f>147.8+17.8</f>
        <v>165.60000000000002</v>
      </c>
      <c r="X97" s="23">
        <v>126.1</v>
      </c>
      <c r="Y97" s="23">
        <f t="shared" ref="Y97" si="119">X97/W97*100</f>
        <v>76.147342995169069</v>
      </c>
      <c r="Z97" s="23"/>
      <c r="AA97" s="23">
        <v>-30.5</v>
      </c>
      <c r="AB97" s="23"/>
      <c r="AC97" s="23">
        <v>75.8</v>
      </c>
      <c r="AD97" s="23">
        <v>69.8</v>
      </c>
      <c r="AE97" s="23">
        <f t="shared" ref="AE97" si="120">AD97/AC97*100</f>
        <v>92.084432717678098</v>
      </c>
      <c r="AF97" s="23">
        <v>11.8</v>
      </c>
      <c r="AG97" s="23">
        <v>24.9</v>
      </c>
      <c r="AH97" s="23">
        <f t="shared" ref="AH97" si="121">AG97/AF97*100</f>
        <v>211.01694915254234</v>
      </c>
      <c r="AI97" s="23">
        <v>11.8</v>
      </c>
      <c r="AJ97" s="23"/>
      <c r="AK97" s="23">
        <f t="shared" ref="AK97" si="122">AJ97/AI97*100</f>
        <v>0</v>
      </c>
      <c r="AL97" s="23">
        <v>68.599999999999994</v>
      </c>
      <c r="AM97" s="23"/>
      <c r="AN97" s="23"/>
      <c r="AO97" s="23">
        <v>11.8</v>
      </c>
      <c r="AP97" s="23"/>
      <c r="AQ97" s="21">
        <f t="shared" si="115"/>
        <v>0</v>
      </c>
      <c r="AR97" s="55" t="s">
        <v>163</v>
      </c>
      <c r="AS97" s="91" t="s">
        <v>204</v>
      </c>
    </row>
    <row r="98" spans="1:45" ht="14.4" customHeight="1" x14ac:dyDescent="0.3">
      <c r="A98" s="105"/>
      <c r="B98" s="105"/>
      <c r="C98" s="105"/>
      <c r="D98" s="35" t="s">
        <v>22</v>
      </c>
      <c r="E98" s="23">
        <f t="shared" si="107"/>
        <v>0</v>
      </c>
      <c r="F98" s="23">
        <f t="shared" si="107"/>
        <v>0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33"/>
      <c r="AS98" s="33"/>
    </row>
    <row r="99" spans="1:45" ht="13.2" customHeight="1" x14ac:dyDescent="0.3">
      <c r="A99" s="105" t="s">
        <v>55</v>
      </c>
      <c r="B99" s="105" t="s">
        <v>91</v>
      </c>
      <c r="C99" s="105" t="s">
        <v>5</v>
      </c>
      <c r="D99" s="35" t="s">
        <v>3</v>
      </c>
      <c r="E99" s="23">
        <f t="shared" si="107"/>
        <v>0</v>
      </c>
      <c r="F99" s="23">
        <f t="shared" si="107"/>
        <v>0</v>
      </c>
      <c r="G99" s="23"/>
      <c r="H99" s="23">
        <f>H100+H101+H102+H103</f>
        <v>0</v>
      </c>
      <c r="I99" s="23"/>
      <c r="J99" s="23"/>
      <c r="K99" s="23">
        <f t="shared" ref="K99:AO99" si="123">K100+K101+K102+K103</f>
        <v>0</v>
      </c>
      <c r="L99" s="23"/>
      <c r="M99" s="23"/>
      <c r="N99" s="23">
        <f t="shared" si="123"/>
        <v>0</v>
      </c>
      <c r="O99" s="23"/>
      <c r="P99" s="23"/>
      <c r="Q99" s="23">
        <f t="shared" si="123"/>
        <v>0</v>
      </c>
      <c r="R99" s="23"/>
      <c r="S99" s="23"/>
      <c r="T99" s="23">
        <f t="shared" si="123"/>
        <v>0</v>
      </c>
      <c r="U99" s="23"/>
      <c r="V99" s="23"/>
      <c r="W99" s="23">
        <f t="shared" si="123"/>
        <v>0</v>
      </c>
      <c r="X99" s="23">
        <f t="shared" si="123"/>
        <v>0</v>
      </c>
      <c r="Y99" s="23"/>
      <c r="Z99" s="23">
        <f t="shared" si="123"/>
        <v>0</v>
      </c>
      <c r="AA99" s="23">
        <f t="shared" si="123"/>
        <v>0</v>
      </c>
      <c r="AB99" s="23"/>
      <c r="AC99" s="23">
        <f t="shared" si="123"/>
        <v>0</v>
      </c>
      <c r="AD99" s="23"/>
      <c r="AE99" s="23"/>
      <c r="AF99" s="23">
        <f t="shared" si="123"/>
        <v>0</v>
      </c>
      <c r="AG99" s="23"/>
      <c r="AH99" s="23"/>
      <c r="AI99" s="23">
        <f t="shared" si="123"/>
        <v>0</v>
      </c>
      <c r="AJ99" s="23"/>
      <c r="AK99" s="23"/>
      <c r="AL99" s="23">
        <f t="shared" si="123"/>
        <v>0</v>
      </c>
      <c r="AM99" s="23"/>
      <c r="AN99" s="23"/>
      <c r="AO99" s="23">
        <f t="shared" si="123"/>
        <v>0</v>
      </c>
      <c r="AP99" s="23"/>
      <c r="AQ99" s="23"/>
      <c r="AR99" s="33"/>
      <c r="AS99" s="33"/>
    </row>
    <row r="100" spans="1:45" ht="12.6" customHeight="1" x14ac:dyDescent="0.3">
      <c r="A100" s="105"/>
      <c r="B100" s="105"/>
      <c r="C100" s="105"/>
      <c r="D100" s="35" t="s">
        <v>21</v>
      </c>
      <c r="E100" s="23">
        <f t="shared" si="107"/>
        <v>0</v>
      </c>
      <c r="F100" s="23">
        <f t="shared" si="107"/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33"/>
      <c r="AS100" s="33"/>
    </row>
    <row r="101" spans="1:45" ht="24" x14ac:dyDescent="0.3">
      <c r="A101" s="105"/>
      <c r="B101" s="105"/>
      <c r="C101" s="105"/>
      <c r="D101" s="35" t="s">
        <v>4</v>
      </c>
      <c r="E101" s="23">
        <f t="shared" si="107"/>
        <v>0</v>
      </c>
      <c r="F101" s="23">
        <f t="shared" si="107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33"/>
      <c r="AS101" s="33"/>
    </row>
    <row r="102" spans="1:45" ht="24.6" customHeight="1" x14ac:dyDescent="0.3">
      <c r="A102" s="105"/>
      <c r="B102" s="105"/>
      <c r="C102" s="105"/>
      <c r="D102" s="35" t="s">
        <v>44</v>
      </c>
      <c r="E102" s="23">
        <f t="shared" si="107"/>
        <v>0</v>
      </c>
      <c r="F102" s="23">
        <f t="shared" si="107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>
        <f>24-24</f>
        <v>0</v>
      </c>
      <c r="X102" s="23">
        <v>0</v>
      </c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33"/>
      <c r="AS102" s="91"/>
    </row>
    <row r="103" spans="1:45" ht="15.75" customHeight="1" x14ac:dyDescent="0.3">
      <c r="A103" s="105"/>
      <c r="B103" s="105"/>
      <c r="C103" s="105"/>
      <c r="D103" s="35" t="s">
        <v>22</v>
      </c>
      <c r="E103" s="23">
        <f t="shared" si="107"/>
        <v>0</v>
      </c>
      <c r="F103" s="23">
        <f t="shared" si="107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33"/>
      <c r="AS103" s="33"/>
    </row>
    <row r="104" spans="1:45" ht="12" customHeight="1" x14ac:dyDescent="0.3">
      <c r="A104" s="105" t="s">
        <v>56</v>
      </c>
      <c r="B104" s="105" t="s">
        <v>92</v>
      </c>
      <c r="C104" s="105" t="s">
        <v>5</v>
      </c>
      <c r="D104" s="35" t="s">
        <v>3</v>
      </c>
      <c r="E104" s="23">
        <f t="shared" si="107"/>
        <v>115</v>
      </c>
      <c r="F104" s="23">
        <f t="shared" si="107"/>
        <v>100.4</v>
      </c>
      <c r="G104" s="23">
        <f>F104/E104*100</f>
        <v>87.304347826086953</v>
      </c>
      <c r="H104" s="23">
        <f>H105+H106+H107+H108</f>
        <v>0</v>
      </c>
      <c r="I104" s="23"/>
      <c r="J104" s="21"/>
      <c r="K104" s="23">
        <f t="shared" ref="K104:AO104" si="124">K105+K106+K107+K108</f>
        <v>0</v>
      </c>
      <c r="L104" s="23">
        <f t="shared" si="124"/>
        <v>0</v>
      </c>
      <c r="M104" s="23"/>
      <c r="N104" s="23">
        <f t="shared" si="124"/>
        <v>7</v>
      </c>
      <c r="O104" s="23">
        <f t="shared" si="124"/>
        <v>7</v>
      </c>
      <c r="P104" s="23">
        <f>O104/N104*100</f>
        <v>100</v>
      </c>
      <c r="Q104" s="23">
        <f t="shared" si="124"/>
        <v>8</v>
      </c>
      <c r="R104" s="23">
        <f t="shared" si="124"/>
        <v>8</v>
      </c>
      <c r="S104" s="23">
        <f>R104/Q104*100</f>
        <v>100</v>
      </c>
      <c r="T104" s="23">
        <f t="shared" si="124"/>
        <v>100</v>
      </c>
      <c r="U104" s="23">
        <f t="shared" si="124"/>
        <v>85.4</v>
      </c>
      <c r="V104" s="23">
        <f>U104/T104*100</f>
        <v>85.4</v>
      </c>
      <c r="W104" s="23">
        <f t="shared" si="124"/>
        <v>0</v>
      </c>
      <c r="X104" s="23">
        <f t="shared" si="124"/>
        <v>0</v>
      </c>
      <c r="Y104" s="23"/>
      <c r="Z104" s="23">
        <f t="shared" si="124"/>
        <v>0</v>
      </c>
      <c r="AA104" s="23">
        <f t="shared" si="124"/>
        <v>0</v>
      </c>
      <c r="AB104" s="23"/>
      <c r="AC104" s="23">
        <f t="shared" si="124"/>
        <v>0</v>
      </c>
      <c r="AD104" s="23">
        <f t="shared" si="124"/>
        <v>0</v>
      </c>
      <c r="AE104" s="23"/>
      <c r="AF104" s="23">
        <f t="shared" si="124"/>
        <v>0</v>
      </c>
      <c r="AG104" s="23">
        <f t="shared" si="124"/>
        <v>0</v>
      </c>
      <c r="AH104" s="23"/>
      <c r="AI104" s="23">
        <f t="shared" si="124"/>
        <v>0</v>
      </c>
      <c r="AJ104" s="23">
        <f t="shared" si="124"/>
        <v>0</v>
      </c>
      <c r="AK104" s="23" t="e">
        <f>AJ104/AI104*100</f>
        <v>#DIV/0!</v>
      </c>
      <c r="AL104" s="23">
        <f t="shared" si="124"/>
        <v>0</v>
      </c>
      <c r="AM104" s="23">
        <f t="shared" si="124"/>
        <v>0</v>
      </c>
      <c r="AN104" s="23"/>
      <c r="AO104" s="23">
        <f t="shared" si="124"/>
        <v>0</v>
      </c>
      <c r="AP104" s="23"/>
      <c r="AQ104" s="21" t="e">
        <f t="shared" ref="AQ104:AQ107" si="125">AP104/AO104</f>
        <v>#DIV/0!</v>
      </c>
      <c r="AR104" s="33"/>
      <c r="AS104" s="33"/>
    </row>
    <row r="105" spans="1:45" x14ac:dyDescent="0.3">
      <c r="A105" s="105"/>
      <c r="B105" s="105"/>
      <c r="C105" s="105"/>
      <c r="D105" s="35" t="s">
        <v>21</v>
      </c>
      <c r="E105" s="23">
        <f t="shared" ref="E105:F143" si="126">H105+K105+N105+Q105+T105+W105+Z105+AC105+AF105+AI105+AL105+AO105</f>
        <v>0</v>
      </c>
      <c r="F105" s="23">
        <f t="shared" si="126"/>
        <v>0</v>
      </c>
      <c r="G105" s="23"/>
      <c r="H105" s="23"/>
      <c r="I105" s="23"/>
      <c r="J105" s="21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1"/>
      <c r="AR105" s="33"/>
      <c r="AS105" s="33"/>
    </row>
    <row r="106" spans="1:45" ht="24" x14ac:dyDescent="0.3">
      <c r="A106" s="105"/>
      <c r="B106" s="105"/>
      <c r="C106" s="105"/>
      <c r="D106" s="35" t="s">
        <v>4</v>
      </c>
      <c r="E106" s="23">
        <f t="shared" si="126"/>
        <v>0</v>
      </c>
      <c r="F106" s="23">
        <f t="shared" si="126"/>
        <v>0</v>
      </c>
      <c r="G106" s="23"/>
      <c r="H106" s="57"/>
      <c r="I106" s="57"/>
      <c r="J106" s="21"/>
      <c r="K106" s="23"/>
      <c r="L106" s="57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57"/>
      <c r="AH106" s="23"/>
      <c r="AI106" s="57"/>
      <c r="AJ106" s="23">
        <v>0</v>
      </c>
      <c r="AK106" s="23" t="e">
        <f t="shared" ref="AK106:AK107" si="127">AJ106/AI106*100</f>
        <v>#DIV/0!</v>
      </c>
      <c r="AL106" s="23"/>
      <c r="AM106" s="57"/>
      <c r="AN106" s="23"/>
      <c r="AO106" s="57"/>
      <c r="AP106" s="57"/>
      <c r="AQ106" s="21"/>
      <c r="AR106" s="40"/>
      <c r="AS106" s="40"/>
    </row>
    <row r="107" spans="1:45" ht="25.8" customHeight="1" x14ac:dyDescent="0.3">
      <c r="A107" s="105"/>
      <c r="B107" s="105"/>
      <c r="C107" s="105"/>
      <c r="D107" s="35" t="s">
        <v>44</v>
      </c>
      <c r="E107" s="23">
        <f t="shared" si="126"/>
        <v>115</v>
      </c>
      <c r="F107" s="23">
        <f t="shared" si="126"/>
        <v>100.4</v>
      </c>
      <c r="G107" s="23">
        <f t="shared" ref="G107" si="128">F107/E107*100</f>
        <v>87.304347826086953</v>
      </c>
      <c r="H107" s="23"/>
      <c r="I107" s="23"/>
      <c r="J107" s="21"/>
      <c r="K107" s="23"/>
      <c r="L107" s="23"/>
      <c r="M107" s="23"/>
      <c r="N107" s="23">
        <f>15-8</f>
        <v>7</v>
      </c>
      <c r="O107" s="23">
        <v>7</v>
      </c>
      <c r="P107" s="23">
        <f t="shared" ref="P107" si="129">O107/N107*100</f>
        <v>100</v>
      </c>
      <c r="Q107" s="23">
        <v>8</v>
      </c>
      <c r="R107" s="23">
        <v>8</v>
      </c>
      <c r="S107" s="23">
        <f t="shared" ref="S107" si="130">R107/Q107*100</f>
        <v>100</v>
      </c>
      <c r="T107" s="23">
        <v>100</v>
      </c>
      <c r="U107" s="23">
        <v>85.4</v>
      </c>
      <c r="V107" s="23">
        <f t="shared" ref="V107" si="131">U107/T107*100</f>
        <v>85.4</v>
      </c>
      <c r="W107" s="23"/>
      <c r="X107" s="23"/>
      <c r="Y107" s="23"/>
      <c r="Z107" s="23">
        <f>100-100</f>
        <v>0</v>
      </c>
      <c r="AA107" s="23">
        <v>0</v>
      </c>
      <c r="AB107" s="23"/>
      <c r="AC107" s="23"/>
      <c r="AD107" s="23"/>
      <c r="AE107" s="23"/>
      <c r="AF107" s="23"/>
      <c r="AG107" s="23"/>
      <c r="AH107" s="23"/>
      <c r="AI107" s="23"/>
      <c r="AJ107" s="23">
        <v>0</v>
      </c>
      <c r="AK107" s="23" t="e">
        <f t="shared" si="127"/>
        <v>#DIV/0!</v>
      </c>
      <c r="AL107" s="23"/>
      <c r="AM107" s="23"/>
      <c r="AN107" s="23"/>
      <c r="AO107" s="23"/>
      <c r="AP107" s="23"/>
      <c r="AQ107" s="21" t="e">
        <f t="shared" si="125"/>
        <v>#DIV/0!</v>
      </c>
      <c r="AR107" s="91" t="s">
        <v>164</v>
      </c>
      <c r="AS107" s="91" t="s">
        <v>165</v>
      </c>
    </row>
    <row r="108" spans="1:45" ht="15.75" customHeight="1" x14ac:dyDescent="0.3">
      <c r="A108" s="105"/>
      <c r="B108" s="105"/>
      <c r="C108" s="105"/>
      <c r="D108" s="35" t="s">
        <v>22</v>
      </c>
      <c r="E108" s="23">
        <f t="shared" si="126"/>
        <v>0</v>
      </c>
      <c r="F108" s="23">
        <f t="shared" si="126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33"/>
      <c r="AS108" s="33"/>
    </row>
    <row r="109" spans="1:45" ht="15.75" customHeight="1" x14ac:dyDescent="0.3">
      <c r="A109" s="105" t="s">
        <v>57</v>
      </c>
      <c r="B109" s="105" t="s">
        <v>93</v>
      </c>
      <c r="C109" s="105" t="s">
        <v>5</v>
      </c>
      <c r="D109" s="35" t="s">
        <v>3</v>
      </c>
      <c r="E109" s="23">
        <f>H109+K109+N109+Q109+T109+W109+Z109+AC109+AF109+AI109+AL109+AO109</f>
        <v>10</v>
      </c>
      <c r="F109" s="23">
        <f>I109+L109+O109+R109+U109+X109+AA109+AD109+AG109+AJ109+AM109+AP109</f>
        <v>0</v>
      </c>
      <c r="G109" s="23">
        <f>F109/E109*100</f>
        <v>0</v>
      </c>
      <c r="H109" s="23">
        <f>H110+H111+H112+H113</f>
        <v>0</v>
      </c>
      <c r="I109" s="23"/>
      <c r="J109" s="21"/>
      <c r="K109" s="23">
        <f t="shared" ref="K109:AO109" si="132">K110+K111+K112+K113</f>
        <v>0</v>
      </c>
      <c r="L109" s="23"/>
      <c r="M109" s="21"/>
      <c r="N109" s="23">
        <f t="shared" si="132"/>
        <v>0</v>
      </c>
      <c r="O109" s="23"/>
      <c r="P109" s="21"/>
      <c r="Q109" s="23">
        <f t="shared" si="132"/>
        <v>0</v>
      </c>
      <c r="R109" s="23">
        <f t="shared" si="132"/>
        <v>0</v>
      </c>
      <c r="S109" s="21"/>
      <c r="T109" s="23">
        <f t="shared" si="132"/>
        <v>0</v>
      </c>
      <c r="U109" s="23"/>
      <c r="V109" s="21"/>
      <c r="W109" s="23">
        <f t="shared" si="132"/>
        <v>0</v>
      </c>
      <c r="X109" s="23">
        <f t="shared" si="132"/>
        <v>0</v>
      </c>
      <c r="Y109" s="21"/>
      <c r="Z109" s="23">
        <f t="shared" si="132"/>
        <v>0</v>
      </c>
      <c r="AA109" s="23">
        <f t="shared" si="132"/>
        <v>0</v>
      </c>
      <c r="AB109" s="21"/>
      <c r="AC109" s="23">
        <f t="shared" si="132"/>
        <v>0</v>
      </c>
      <c r="AD109" s="23"/>
      <c r="AE109" s="21"/>
      <c r="AF109" s="23">
        <f>AF110+AF111+AF112+AF113</f>
        <v>0</v>
      </c>
      <c r="AG109" s="23">
        <f>AG110+AG111+AG112+AG113</f>
        <v>0</v>
      </c>
      <c r="AH109" s="23"/>
      <c r="AI109" s="23">
        <f t="shared" si="132"/>
        <v>0</v>
      </c>
      <c r="AJ109" s="23"/>
      <c r="AK109" s="21"/>
      <c r="AL109" s="23">
        <f t="shared" si="132"/>
        <v>10</v>
      </c>
      <c r="AM109" s="23"/>
      <c r="AN109" s="23"/>
      <c r="AO109" s="23">
        <f t="shared" si="132"/>
        <v>0</v>
      </c>
      <c r="AP109" s="23"/>
      <c r="AQ109" s="21" t="e">
        <f t="shared" ref="AQ109:AQ112" si="133">AP109/AO109</f>
        <v>#DIV/0!</v>
      </c>
      <c r="AR109" s="33"/>
      <c r="AS109" s="33"/>
    </row>
    <row r="110" spans="1:45" x14ac:dyDescent="0.3">
      <c r="A110" s="105"/>
      <c r="B110" s="105"/>
      <c r="C110" s="105"/>
      <c r="D110" s="35" t="s">
        <v>21</v>
      </c>
      <c r="E110" s="23">
        <f t="shared" si="126"/>
        <v>0</v>
      </c>
      <c r="F110" s="23">
        <f t="shared" si="126"/>
        <v>0</v>
      </c>
      <c r="G110" s="23"/>
      <c r="H110" s="23"/>
      <c r="I110" s="23"/>
      <c r="J110" s="21"/>
      <c r="K110" s="23"/>
      <c r="L110" s="23"/>
      <c r="M110" s="21"/>
      <c r="N110" s="23"/>
      <c r="O110" s="23"/>
      <c r="P110" s="21"/>
      <c r="Q110" s="23"/>
      <c r="R110" s="23"/>
      <c r="S110" s="21"/>
      <c r="T110" s="23"/>
      <c r="U110" s="23"/>
      <c r="V110" s="21"/>
      <c r="W110" s="23"/>
      <c r="X110" s="23"/>
      <c r="Y110" s="21"/>
      <c r="Z110" s="23"/>
      <c r="AA110" s="23"/>
      <c r="AB110" s="21"/>
      <c r="AC110" s="23"/>
      <c r="AD110" s="23"/>
      <c r="AE110" s="21"/>
      <c r="AF110" s="23"/>
      <c r="AG110" s="23"/>
      <c r="AH110" s="23"/>
      <c r="AI110" s="23"/>
      <c r="AJ110" s="23"/>
      <c r="AK110" s="21"/>
      <c r="AL110" s="23"/>
      <c r="AM110" s="23"/>
      <c r="AN110" s="21"/>
      <c r="AO110" s="23"/>
      <c r="AP110" s="23"/>
      <c r="AQ110" s="21"/>
      <c r="AR110" s="33"/>
      <c r="AS110" s="33"/>
    </row>
    <row r="111" spans="1:45" ht="24" x14ac:dyDescent="0.3">
      <c r="A111" s="105"/>
      <c r="B111" s="105"/>
      <c r="C111" s="105"/>
      <c r="D111" s="35" t="s">
        <v>4</v>
      </c>
      <c r="E111" s="23">
        <f t="shared" si="126"/>
        <v>0</v>
      </c>
      <c r="F111" s="23">
        <f t="shared" si="126"/>
        <v>0</v>
      </c>
      <c r="G111" s="23"/>
      <c r="H111" s="23"/>
      <c r="I111" s="23"/>
      <c r="J111" s="21"/>
      <c r="K111" s="23"/>
      <c r="L111" s="23"/>
      <c r="M111" s="21"/>
      <c r="N111" s="23"/>
      <c r="O111" s="23"/>
      <c r="P111" s="21"/>
      <c r="Q111" s="23"/>
      <c r="R111" s="23"/>
      <c r="S111" s="21"/>
      <c r="T111" s="23"/>
      <c r="U111" s="23"/>
      <c r="V111" s="21"/>
      <c r="W111" s="23"/>
      <c r="X111" s="23"/>
      <c r="Y111" s="21"/>
      <c r="Z111" s="23"/>
      <c r="AA111" s="23"/>
      <c r="AB111" s="21"/>
      <c r="AC111" s="23"/>
      <c r="AD111" s="23"/>
      <c r="AE111" s="21"/>
      <c r="AF111" s="23"/>
      <c r="AG111" s="23"/>
      <c r="AH111" s="23"/>
      <c r="AI111" s="23"/>
      <c r="AJ111" s="23"/>
      <c r="AK111" s="21"/>
      <c r="AL111" s="23"/>
      <c r="AM111" s="23"/>
      <c r="AN111" s="21"/>
      <c r="AO111" s="23"/>
      <c r="AP111" s="23"/>
      <c r="AQ111" s="21"/>
      <c r="AR111" s="33"/>
      <c r="AS111" s="33"/>
    </row>
    <row r="112" spans="1:45" x14ac:dyDescent="0.3">
      <c r="A112" s="105"/>
      <c r="B112" s="105"/>
      <c r="C112" s="105"/>
      <c r="D112" s="35" t="s">
        <v>44</v>
      </c>
      <c r="E112" s="23">
        <f t="shared" si="126"/>
        <v>10</v>
      </c>
      <c r="F112" s="23">
        <f t="shared" si="126"/>
        <v>0</v>
      </c>
      <c r="G112" s="23">
        <f t="shared" ref="G112" si="134">F112/E112*100</f>
        <v>0</v>
      </c>
      <c r="H112" s="23"/>
      <c r="I112" s="23"/>
      <c r="J112" s="21"/>
      <c r="K112" s="23"/>
      <c r="L112" s="23"/>
      <c r="M112" s="21"/>
      <c r="N112" s="23"/>
      <c r="O112" s="23"/>
      <c r="P112" s="21"/>
      <c r="Q112" s="23">
        <f>42.5-42.5</f>
        <v>0</v>
      </c>
      <c r="R112" s="23"/>
      <c r="S112" s="21"/>
      <c r="T112" s="23"/>
      <c r="U112" s="23"/>
      <c r="V112" s="21"/>
      <c r="W112" s="23"/>
      <c r="X112" s="23"/>
      <c r="Y112" s="21"/>
      <c r="Z112" s="23"/>
      <c r="AA112" s="23"/>
      <c r="AB112" s="21"/>
      <c r="AC112" s="23"/>
      <c r="AD112" s="23"/>
      <c r="AE112" s="21"/>
      <c r="AF112" s="23"/>
      <c r="AG112" s="23"/>
      <c r="AH112" s="23"/>
      <c r="AI112" s="23"/>
      <c r="AJ112" s="23"/>
      <c r="AK112" s="21"/>
      <c r="AL112" s="23">
        <v>10</v>
      </c>
      <c r="AM112" s="23"/>
      <c r="AN112" s="21"/>
      <c r="AO112" s="23"/>
      <c r="AP112" s="23"/>
      <c r="AQ112" s="21" t="e">
        <f t="shared" si="133"/>
        <v>#DIV/0!</v>
      </c>
      <c r="AR112" s="40"/>
      <c r="AS112" s="91"/>
    </row>
    <row r="113" spans="1:45" ht="15.75" customHeight="1" x14ac:dyDescent="0.3">
      <c r="A113" s="105"/>
      <c r="B113" s="105"/>
      <c r="C113" s="105"/>
      <c r="D113" s="35" t="s">
        <v>22</v>
      </c>
      <c r="E113" s="23">
        <f t="shared" si="126"/>
        <v>0</v>
      </c>
      <c r="F113" s="23">
        <f t="shared" si="126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33"/>
      <c r="AS113" s="33"/>
    </row>
    <row r="114" spans="1:45" ht="12.6" customHeight="1" x14ac:dyDescent="0.3">
      <c r="A114" s="105" t="s">
        <v>58</v>
      </c>
      <c r="B114" s="105" t="s">
        <v>94</v>
      </c>
      <c r="C114" s="105" t="s">
        <v>5</v>
      </c>
      <c r="D114" s="35" t="s">
        <v>3</v>
      </c>
      <c r="E114" s="23">
        <f t="shared" si="126"/>
        <v>42</v>
      </c>
      <c r="F114" s="23">
        <f t="shared" si="126"/>
        <v>42</v>
      </c>
      <c r="G114" s="23">
        <f>F114/E114*100</f>
        <v>100</v>
      </c>
      <c r="H114" s="23">
        <f>H115+H116+H117+H118</f>
        <v>0</v>
      </c>
      <c r="I114" s="23"/>
      <c r="J114" s="21"/>
      <c r="K114" s="23">
        <f t="shared" ref="K114:AO114" si="135">K115+K116+K117+K118</f>
        <v>0</v>
      </c>
      <c r="L114" s="23"/>
      <c r="M114" s="21"/>
      <c r="N114" s="23">
        <f t="shared" si="135"/>
        <v>0</v>
      </c>
      <c r="O114" s="23">
        <f t="shared" si="135"/>
        <v>0</v>
      </c>
      <c r="P114" s="23"/>
      <c r="Q114" s="23">
        <f t="shared" si="135"/>
        <v>42</v>
      </c>
      <c r="R114" s="23">
        <f t="shared" si="135"/>
        <v>42</v>
      </c>
      <c r="S114" s="23">
        <f>R114/Q114*100</f>
        <v>100</v>
      </c>
      <c r="T114" s="23">
        <f t="shared" si="135"/>
        <v>0</v>
      </c>
      <c r="U114" s="23">
        <f t="shared" si="135"/>
        <v>0</v>
      </c>
      <c r="V114" s="23"/>
      <c r="W114" s="23">
        <f t="shared" si="135"/>
        <v>0</v>
      </c>
      <c r="X114" s="23">
        <f t="shared" si="135"/>
        <v>0</v>
      </c>
      <c r="Y114" s="21"/>
      <c r="Z114" s="23">
        <f t="shared" si="135"/>
        <v>0</v>
      </c>
      <c r="AA114" s="23">
        <f t="shared" si="135"/>
        <v>0</v>
      </c>
      <c r="AB114" s="21"/>
      <c r="AC114" s="23">
        <f t="shared" si="135"/>
        <v>0</v>
      </c>
      <c r="AD114" s="23">
        <f t="shared" si="135"/>
        <v>0</v>
      </c>
      <c r="AE114" s="21"/>
      <c r="AF114" s="23">
        <f t="shared" si="135"/>
        <v>0</v>
      </c>
      <c r="AG114" s="23">
        <f t="shared" si="135"/>
        <v>0</v>
      </c>
      <c r="AH114" s="23"/>
      <c r="AI114" s="23">
        <f t="shared" si="135"/>
        <v>0</v>
      </c>
      <c r="AJ114" s="23">
        <f t="shared" si="135"/>
        <v>0</v>
      </c>
      <c r="AK114" s="21"/>
      <c r="AL114" s="23">
        <f t="shared" si="135"/>
        <v>0</v>
      </c>
      <c r="AM114" s="23"/>
      <c r="AN114" s="21"/>
      <c r="AO114" s="23">
        <f t="shared" si="135"/>
        <v>0</v>
      </c>
      <c r="AP114" s="23"/>
      <c r="AQ114" s="21" t="e">
        <f t="shared" ref="AQ114:AQ117" si="136">AP114/AO114</f>
        <v>#DIV/0!</v>
      </c>
      <c r="AR114" s="33"/>
      <c r="AS114" s="33"/>
    </row>
    <row r="115" spans="1:45" x14ac:dyDescent="0.3">
      <c r="A115" s="105"/>
      <c r="B115" s="105"/>
      <c r="C115" s="105"/>
      <c r="D115" s="35" t="s">
        <v>21</v>
      </c>
      <c r="E115" s="23">
        <f t="shared" si="126"/>
        <v>0</v>
      </c>
      <c r="F115" s="23">
        <f t="shared" si="126"/>
        <v>0</v>
      </c>
      <c r="G115" s="23"/>
      <c r="H115" s="23"/>
      <c r="I115" s="23"/>
      <c r="J115" s="21"/>
      <c r="K115" s="23"/>
      <c r="L115" s="23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1"/>
      <c r="Z115" s="23"/>
      <c r="AA115" s="23"/>
      <c r="AB115" s="21"/>
      <c r="AC115" s="23"/>
      <c r="AD115" s="23"/>
      <c r="AE115" s="21"/>
      <c r="AF115" s="23"/>
      <c r="AG115" s="23"/>
      <c r="AH115" s="23"/>
      <c r="AI115" s="23"/>
      <c r="AJ115" s="23"/>
      <c r="AK115" s="21"/>
      <c r="AL115" s="23"/>
      <c r="AM115" s="23"/>
      <c r="AN115" s="21"/>
      <c r="AO115" s="23"/>
      <c r="AP115" s="23"/>
      <c r="AQ115" s="21"/>
      <c r="AR115" s="33"/>
      <c r="AS115" s="33"/>
    </row>
    <row r="116" spans="1:45" ht="24" x14ac:dyDescent="0.3">
      <c r="A116" s="105"/>
      <c r="B116" s="105"/>
      <c r="C116" s="105"/>
      <c r="D116" s="35" t="s">
        <v>4</v>
      </c>
      <c r="E116" s="23">
        <f t="shared" si="126"/>
        <v>0</v>
      </c>
      <c r="F116" s="23">
        <f t="shared" si="126"/>
        <v>0</v>
      </c>
      <c r="G116" s="23"/>
      <c r="H116" s="23"/>
      <c r="I116" s="23"/>
      <c r="J116" s="21"/>
      <c r="K116" s="23"/>
      <c r="L116" s="23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1"/>
      <c r="Z116" s="23"/>
      <c r="AA116" s="23"/>
      <c r="AB116" s="21"/>
      <c r="AC116" s="23"/>
      <c r="AD116" s="23"/>
      <c r="AE116" s="21"/>
      <c r="AF116" s="23"/>
      <c r="AG116" s="23"/>
      <c r="AH116" s="23"/>
      <c r="AI116" s="23"/>
      <c r="AJ116" s="23"/>
      <c r="AK116" s="21"/>
      <c r="AL116" s="23"/>
      <c r="AM116" s="23"/>
      <c r="AN116" s="21"/>
      <c r="AO116" s="23"/>
      <c r="AP116" s="23"/>
      <c r="AQ116" s="21"/>
      <c r="AR116" s="33"/>
      <c r="AS116" s="33"/>
    </row>
    <row r="117" spans="1:45" x14ac:dyDescent="0.3">
      <c r="A117" s="105"/>
      <c r="B117" s="105"/>
      <c r="C117" s="105"/>
      <c r="D117" s="35" t="s">
        <v>44</v>
      </c>
      <c r="E117" s="23">
        <f t="shared" si="126"/>
        <v>42</v>
      </c>
      <c r="F117" s="23">
        <f t="shared" si="126"/>
        <v>42</v>
      </c>
      <c r="G117" s="23">
        <f t="shared" ref="G117" si="137">F117/E117*100</f>
        <v>100</v>
      </c>
      <c r="H117" s="23"/>
      <c r="I117" s="23"/>
      <c r="J117" s="21"/>
      <c r="K117" s="23"/>
      <c r="L117" s="23"/>
      <c r="M117" s="21"/>
      <c r="N117" s="23">
        <f>42-42</f>
        <v>0</v>
      </c>
      <c r="O117" s="23"/>
      <c r="P117" s="23"/>
      <c r="Q117" s="23">
        <v>42</v>
      </c>
      <c r="R117" s="23">
        <v>42</v>
      </c>
      <c r="S117" s="23">
        <f t="shared" ref="S117" si="138">R117/Q117*100</f>
        <v>100</v>
      </c>
      <c r="T117" s="23">
        <f>42.5-42.5</f>
        <v>0</v>
      </c>
      <c r="U117" s="23">
        <v>0</v>
      </c>
      <c r="V117" s="23"/>
      <c r="W117" s="23"/>
      <c r="X117" s="23"/>
      <c r="Y117" s="21"/>
      <c r="Z117" s="23"/>
      <c r="AA117" s="23"/>
      <c r="AB117" s="21"/>
      <c r="AC117" s="23"/>
      <c r="AD117" s="23"/>
      <c r="AE117" s="21"/>
      <c r="AF117" s="23"/>
      <c r="AG117" s="23"/>
      <c r="AH117" s="23"/>
      <c r="AI117" s="23">
        <f>17.8-17.8</f>
        <v>0</v>
      </c>
      <c r="AJ117" s="23">
        <v>0</v>
      </c>
      <c r="AK117" s="21"/>
      <c r="AL117" s="23"/>
      <c r="AM117" s="23"/>
      <c r="AN117" s="21"/>
      <c r="AO117" s="23"/>
      <c r="AP117" s="23"/>
      <c r="AQ117" s="21" t="e">
        <f t="shared" si="136"/>
        <v>#DIV/0!</v>
      </c>
      <c r="AR117" s="91"/>
      <c r="AS117" s="91"/>
    </row>
    <row r="118" spans="1:45" ht="15.75" customHeight="1" x14ac:dyDescent="0.3">
      <c r="A118" s="105"/>
      <c r="B118" s="105"/>
      <c r="C118" s="105"/>
      <c r="D118" s="35" t="s">
        <v>22</v>
      </c>
      <c r="E118" s="23">
        <f t="shared" si="126"/>
        <v>0</v>
      </c>
      <c r="F118" s="23">
        <f t="shared" si="126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33"/>
      <c r="AS118" s="33"/>
    </row>
    <row r="119" spans="1:45" ht="13.8" customHeight="1" x14ac:dyDescent="0.3">
      <c r="A119" s="105" t="s">
        <v>59</v>
      </c>
      <c r="B119" s="105" t="s">
        <v>143</v>
      </c>
      <c r="C119" s="105" t="s">
        <v>5</v>
      </c>
      <c r="D119" s="35" t="s">
        <v>3</v>
      </c>
      <c r="E119" s="23">
        <f t="shared" si="126"/>
        <v>808866.10000000009</v>
      </c>
      <c r="F119" s="23">
        <f t="shared" si="126"/>
        <v>514440.30000000005</v>
      </c>
      <c r="G119" s="23">
        <f>F119/E119*100</f>
        <v>63.600180549042662</v>
      </c>
      <c r="H119" s="23">
        <f>H120+H121+H122+H123</f>
        <v>18541.5</v>
      </c>
      <c r="I119" s="23">
        <f>I120+I121+I122+I123</f>
        <v>18541.5</v>
      </c>
      <c r="J119" s="23">
        <f>I119/H119*100</f>
        <v>100</v>
      </c>
      <c r="K119" s="23">
        <f t="shared" ref="K119:AO119" si="139">K120+K121+K122+K123</f>
        <v>56516.700000000004</v>
      </c>
      <c r="L119" s="23">
        <f t="shared" si="139"/>
        <v>57016.700000000004</v>
      </c>
      <c r="M119" s="23">
        <f>L119/K119*100</f>
        <v>100.8846942585112</v>
      </c>
      <c r="N119" s="23">
        <f t="shared" si="139"/>
        <v>53825.5</v>
      </c>
      <c r="O119" s="23">
        <f t="shared" si="139"/>
        <v>53325.5</v>
      </c>
      <c r="P119" s="23">
        <f>O119/N119*100</f>
        <v>99.071072261288791</v>
      </c>
      <c r="Q119" s="23">
        <f t="shared" si="139"/>
        <v>59666.600000000006</v>
      </c>
      <c r="R119" s="23">
        <f t="shared" si="139"/>
        <v>59486</v>
      </c>
      <c r="S119" s="23">
        <f>R119/Q119*100</f>
        <v>99.697318097562118</v>
      </c>
      <c r="T119" s="23">
        <f t="shared" si="139"/>
        <v>69199.600000000006</v>
      </c>
      <c r="U119" s="23">
        <f t="shared" si="139"/>
        <v>68568.7</v>
      </c>
      <c r="V119" s="23">
        <f>U119/T119*100</f>
        <v>99.08828952768512</v>
      </c>
      <c r="W119" s="23">
        <f t="shared" si="139"/>
        <v>142268.19999999998</v>
      </c>
      <c r="X119" s="23">
        <f t="shared" si="139"/>
        <v>142720.29999999999</v>
      </c>
      <c r="Y119" s="23">
        <f>X119/W119*100</f>
        <v>100.31778008015846</v>
      </c>
      <c r="Z119" s="23">
        <f t="shared" si="139"/>
        <v>57864.200000000004</v>
      </c>
      <c r="AA119" s="23">
        <f t="shared" si="139"/>
        <v>57322.200000000004</v>
      </c>
      <c r="AB119" s="23">
        <f>AA119/Z119*100</f>
        <v>99.063324127871809</v>
      </c>
      <c r="AC119" s="23">
        <f t="shared" si="139"/>
        <v>27549.200000000001</v>
      </c>
      <c r="AD119" s="23">
        <f t="shared" si="139"/>
        <v>26834.399999999998</v>
      </c>
      <c r="AE119" s="23">
        <f>AD119/AC119*100</f>
        <v>97.405369302919851</v>
      </c>
      <c r="AF119" s="23">
        <f>AF120+AF121+AF122+AF123</f>
        <v>32773.9</v>
      </c>
      <c r="AG119" s="23">
        <f t="shared" si="139"/>
        <v>30624.999999999996</v>
      </c>
      <c r="AH119" s="23">
        <f>AG119/AF119*100</f>
        <v>93.443258202411045</v>
      </c>
      <c r="AI119" s="23">
        <f t="shared" si="139"/>
        <v>56765.4</v>
      </c>
      <c r="AJ119" s="23">
        <f t="shared" si="139"/>
        <v>0</v>
      </c>
      <c r="AK119" s="23">
        <f>AJ119/AI119*100</f>
        <v>0</v>
      </c>
      <c r="AL119" s="23">
        <f t="shared" si="139"/>
        <v>52279.8</v>
      </c>
      <c r="AM119" s="23">
        <f t="shared" si="139"/>
        <v>0</v>
      </c>
      <c r="AN119" s="23">
        <f>AM119/AL119*100</f>
        <v>0</v>
      </c>
      <c r="AO119" s="23">
        <f t="shared" si="139"/>
        <v>181615.49999999997</v>
      </c>
      <c r="AP119" s="23"/>
      <c r="AQ119" s="21">
        <f t="shared" ref="AQ119:AQ122" si="140">AP119/AO119</f>
        <v>0</v>
      </c>
      <c r="AR119" s="33"/>
      <c r="AS119" s="33"/>
    </row>
    <row r="120" spans="1:45" ht="60" x14ac:dyDescent="0.3">
      <c r="A120" s="105"/>
      <c r="B120" s="105"/>
      <c r="C120" s="105"/>
      <c r="D120" s="35" t="s">
        <v>21</v>
      </c>
      <c r="E120" s="23">
        <f t="shared" si="126"/>
        <v>34060.299999999996</v>
      </c>
      <c r="F120" s="23">
        <f t="shared" si="126"/>
        <v>24694.899999999994</v>
      </c>
      <c r="G120" s="23">
        <f>F120/E120*100</f>
        <v>72.503471783865663</v>
      </c>
      <c r="H120" s="23">
        <v>2727</v>
      </c>
      <c r="I120" s="23">
        <v>2727</v>
      </c>
      <c r="J120" s="23">
        <f>I120/H120*100</f>
        <v>100</v>
      </c>
      <c r="K120" s="23">
        <v>2741.4</v>
      </c>
      <c r="L120" s="23">
        <v>2741.4</v>
      </c>
      <c r="M120" s="23">
        <f>L120/K120*100</f>
        <v>100</v>
      </c>
      <c r="N120" s="23">
        <v>2740.2</v>
      </c>
      <c r="O120" s="23">
        <v>2740.2</v>
      </c>
      <c r="P120" s="23">
        <f>O120/N120*100</f>
        <v>100</v>
      </c>
      <c r="Q120" s="23">
        <v>2840.8</v>
      </c>
      <c r="R120" s="23">
        <v>2660.2</v>
      </c>
      <c r="S120" s="23">
        <f>R120/Q120*100</f>
        <v>93.642635877217671</v>
      </c>
      <c r="T120" s="23">
        <v>3979.8</v>
      </c>
      <c r="U120" s="23">
        <v>3348.9</v>
      </c>
      <c r="V120" s="23">
        <f>U120/T120*100</f>
        <v>84.147444595205783</v>
      </c>
      <c r="W120" s="23">
        <f>6973.1+161.8</f>
        <v>7134.9000000000005</v>
      </c>
      <c r="X120" s="23">
        <v>7587</v>
      </c>
      <c r="Y120" s="23">
        <f t="shared" ref="Y120:Y122" si="141">X120/W120*100</f>
        <v>106.33645881512004</v>
      </c>
      <c r="Z120" s="23">
        <v>0</v>
      </c>
      <c r="AA120" s="23">
        <v>0</v>
      </c>
      <c r="AB120" s="23"/>
      <c r="AC120" s="23">
        <v>728.5</v>
      </c>
      <c r="AD120" s="23">
        <v>250.6</v>
      </c>
      <c r="AE120" s="23">
        <f>AD120/AC120*100</f>
        <v>34.399450926561428</v>
      </c>
      <c r="AF120" s="23">
        <v>2921.8</v>
      </c>
      <c r="AG120" s="23">
        <v>2639.6</v>
      </c>
      <c r="AH120" s="23">
        <f t="shared" ref="AH120:AH121" si="142">AG120/AF120*100</f>
        <v>90.341570264905187</v>
      </c>
      <c r="AI120" s="23">
        <v>2851.8</v>
      </c>
      <c r="AJ120" s="23"/>
      <c r="AK120" s="23">
        <f>AJ120/AI120*100</f>
        <v>0</v>
      </c>
      <c r="AL120" s="23">
        <v>2851.8</v>
      </c>
      <c r="AM120" s="23"/>
      <c r="AN120" s="23"/>
      <c r="AO120" s="23">
        <f>2389.3+153</f>
        <v>2542.3000000000002</v>
      </c>
      <c r="AP120" s="23"/>
      <c r="AQ120" s="21"/>
      <c r="AR120" s="91" t="s">
        <v>179</v>
      </c>
      <c r="AS120" s="91" t="s">
        <v>213</v>
      </c>
    </row>
    <row r="121" spans="1:45" ht="85.8" customHeight="1" x14ac:dyDescent="0.3">
      <c r="A121" s="105"/>
      <c r="B121" s="105"/>
      <c r="C121" s="105"/>
      <c r="D121" s="35" t="s">
        <v>4</v>
      </c>
      <c r="E121" s="23">
        <f t="shared" si="126"/>
        <v>723738.5</v>
      </c>
      <c r="F121" s="23">
        <f t="shared" si="126"/>
        <v>457728.39999999997</v>
      </c>
      <c r="G121" s="23">
        <f t="shared" ref="G121:G122" si="143">F121/E121*100</f>
        <v>63.244998020693934</v>
      </c>
      <c r="H121" s="23">
        <v>15330</v>
      </c>
      <c r="I121" s="23">
        <v>15330</v>
      </c>
      <c r="J121" s="23">
        <f t="shared" ref="J121:J122" si="144">I121/H121*100</f>
        <v>100</v>
      </c>
      <c r="K121" s="23">
        <v>46599.3</v>
      </c>
      <c r="L121" s="23">
        <v>46599.3</v>
      </c>
      <c r="M121" s="23">
        <f t="shared" ref="M121:M141" si="145">L121/K121*100</f>
        <v>100</v>
      </c>
      <c r="N121" s="23">
        <v>47298.5</v>
      </c>
      <c r="O121" s="23">
        <v>47298.5</v>
      </c>
      <c r="P121" s="23">
        <f t="shared" ref="P121:P122" si="146">O121/N121*100</f>
        <v>100</v>
      </c>
      <c r="Q121" s="23">
        <v>49997</v>
      </c>
      <c r="R121" s="23">
        <v>49997</v>
      </c>
      <c r="S121" s="23">
        <f t="shared" ref="S121:S122" si="147">R121/Q121*100</f>
        <v>100</v>
      </c>
      <c r="T121" s="23">
        <v>63290</v>
      </c>
      <c r="U121" s="23">
        <v>63290</v>
      </c>
      <c r="V121" s="23">
        <f t="shared" ref="V121:V122" si="148">U121/T121*100</f>
        <v>100</v>
      </c>
      <c r="W121" s="23">
        <v>133151.29999999999</v>
      </c>
      <c r="X121" s="23">
        <v>133151.29999999999</v>
      </c>
      <c r="Y121" s="23">
        <f t="shared" si="141"/>
        <v>100</v>
      </c>
      <c r="Z121" s="23">
        <v>52253.8</v>
      </c>
      <c r="AA121" s="23">
        <v>52253.8</v>
      </c>
      <c r="AB121" s="23">
        <f t="shared" ref="AB121:AB122" si="149">AA121/Z121*100</f>
        <v>100</v>
      </c>
      <c r="AC121" s="23">
        <v>23319.7</v>
      </c>
      <c r="AD121" s="23">
        <v>23989.7</v>
      </c>
      <c r="AE121" s="23">
        <f t="shared" ref="AE121:AE122" si="150">AD121/AC121*100</f>
        <v>102.87310728697196</v>
      </c>
      <c r="AF121" s="23">
        <f>26718.8+500+730</f>
        <v>27948.799999999999</v>
      </c>
      <c r="AG121" s="23">
        <v>25818.799999999999</v>
      </c>
      <c r="AH121" s="23">
        <f t="shared" si="142"/>
        <v>92.37892145637737</v>
      </c>
      <c r="AI121" s="23">
        <v>47174</v>
      </c>
      <c r="AJ121" s="23"/>
      <c r="AK121" s="23">
        <f t="shared" ref="AK121:AK122" si="151">AJ121/AI121*100</f>
        <v>0</v>
      </c>
      <c r="AL121" s="23">
        <v>45831.199999999997</v>
      </c>
      <c r="AM121" s="23"/>
      <c r="AN121" s="23"/>
      <c r="AO121" s="23">
        <f>71661.4+105848.5+6765-12000-730</f>
        <v>171544.9</v>
      </c>
      <c r="AP121" s="23"/>
      <c r="AQ121" s="21">
        <f t="shared" si="140"/>
        <v>0</v>
      </c>
      <c r="AR121" s="91" t="s">
        <v>180</v>
      </c>
      <c r="AS121" s="33"/>
    </row>
    <row r="122" spans="1:45" ht="61.8" customHeight="1" x14ac:dyDescent="0.3">
      <c r="A122" s="105"/>
      <c r="B122" s="105"/>
      <c r="C122" s="105"/>
      <c r="D122" s="35" t="s">
        <v>44</v>
      </c>
      <c r="E122" s="23">
        <f t="shared" si="126"/>
        <v>51067.3</v>
      </c>
      <c r="F122" s="23">
        <f t="shared" si="126"/>
        <v>32016.999999999993</v>
      </c>
      <c r="G122" s="23">
        <f t="shared" si="143"/>
        <v>62.695697638214654</v>
      </c>
      <c r="H122" s="23">
        <v>484.5</v>
      </c>
      <c r="I122" s="23">
        <v>484.5</v>
      </c>
      <c r="J122" s="23">
        <f t="shared" si="144"/>
        <v>100</v>
      </c>
      <c r="K122" s="23">
        <v>7176</v>
      </c>
      <c r="L122" s="23">
        <v>7676</v>
      </c>
      <c r="M122" s="23">
        <f t="shared" si="145"/>
        <v>106.96767001114826</v>
      </c>
      <c r="N122" s="23">
        <f>4537.2-750.4</f>
        <v>3786.7999999999997</v>
      </c>
      <c r="O122" s="23">
        <v>3286.8</v>
      </c>
      <c r="P122" s="23">
        <f t="shared" si="146"/>
        <v>86.796239569029268</v>
      </c>
      <c r="Q122" s="23">
        <v>6828.8</v>
      </c>
      <c r="R122" s="23">
        <v>6828.8</v>
      </c>
      <c r="S122" s="23">
        <f t="shared" si="147"/>
        <v>100</v>
      </c>
      <c r="T122" s="23">
        <v>1929.8</v>
      </c>
      <c r="U122" s="23">
        <v>1929.8</v>
      </c>
      <c r="V122" s="23">
        <f t="shared" si="148"/>
        <v>100</v>
      </c>
      <c r="W122" s="23">
        <v>1982</v>
      </c>
      <c r="X122" s="23">
        <v>1982</v>
      </c>
      <c r="Y122" s="23">
        <f t="shared" si="141"/>
        <v>100</v>
      </c>
      <c r="Z122" s="23">
        <f>5304.8+305.6</f>
        <v>5610.4000000000005</v>
      </c>
      <c r="AA122" s="23">
        <v>5068.3999999999996</v>
      </c>
      <c r="AB122" s="23">
        <f t="shared" si="149"/>
        <v>90.339369741907873</v>
      </c>
      <c r="AC122" s="23">
        <v>3501</v>
      </c>
      <c r="AD122" s="23">
        <v>2594.1</v>
      </c>
      <c r="AE122" s="23">
        <f t="shared" si="150"/>
        <v>74.095972579263076</v>
      </c>
      <c r="AF122" s="23">
        <v>1903.3</v>
      </c>
      <c r="AG122" s="23">
        <v>2166.6</v>
      </c>
      <c r="AH122" s="23">
        <f>AG122/AF122*100</f>
        <v>113.83386749330111</v>
      </c>
      <c r="AI122" s="23">
        <v>6739.6</v>
      </c>
      <c r="AJ122" s="23"/>
      <c r="AK122" s="23">
        <f t="shared" si="151"/>
        <v>0</v>
      </c>
      <c r="AL122" s="23">
        <v>3596.8</v>
      </c>
      <c r="AM122" s="23"/>
      <c r="AN122" s="23"/>
      <c r="AO122" s="23">
        <f>7171+357.3</f>
        <v>7528.3</v>
      </c>
      <c r="AP122" s="23"/>
      <c r="AQ122" s="21">
        <f t="shared" si="140"/>
        <v>0</v>
      </c>
      <c r="AR122" s="91" t="s">
        <v>181</v>
      </c>
      <c r="AS122" s="91" t="s">
        <v>205</v>
      </c>
    </row>
    <row r="123" spans="1:45" ht="15.75" customHeight="1" x14ac:dyDescent="0.3">
      <c r="A123" s="105"/>
      <c r="B123" s="105"/>
      <c r="C123" s="105"/>
      <c r="D123" s="35" t="s">
        <v>22</v>
      </c>
      <c r="E123" s="23">
        <f t="shared" si="126"/>
        <v>0</v>
      </c>
      <c r="F123" s="76">
        <f t="shared" si="126"/>
        <v>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33"/>
      <c r="AS123" s="33"/>
    </row>
    <row r="124" spans="1:45" ht="13.8" customHeight="1" x14ac:dyDescent="0.3">
      <c r="A124" s="107" t="s">
        <v>142</v>
      </c>
      <c r="B124" s="105" t="s">
        <v>144</v>
      </c>
      <c r="C124" s="105" t="s">
        <v>5</v>
      </c>
      <c r="D124" s="35" t="s">
        <v>3</v>
      </c>
      <c r="E124" s="23">
        <f t="shared" si="126"/>
        <v>34060.299999999996</v>
      </c>
      <c r="F124" s="23">
        <f t="shared" si="126"/>
        <v>24694.899999999994</v>
      </c>
      <c r="G124" s="23">
        <f>F124/E124*100</f>
        <v>72.503471783865663</v>
      </c>
      <c r="H124" s="23">
        <f>H125+H126+H127+H128</f>
        <v>2727</v>
      </c>
      <c r="I124" s="23">
        <f>I125+I126+I127+I128</f>
        <v>2727</v>
      </c>
      <c r="J124" s="23">
        <f>I124/H124*100</f>
        <v>100</v>
      </c>
      <c r="K124" s="23">
        <f t="shared" ref="K124:L124" si="152">K125+K126+K127+K128</f>
        <v>2741.4</v>
      </c>
      <c r="L124" s="23">
        <f t="shared" si="152"/>
        <v>2741.4</v>
      </c>
      <c r="M124" s="23">
        <f>L124/K124*100</f>
        <v>100</v>
      </c>
      <c r="N124" s="23">
        <f t="shared" ref="N124:O124" si="153">N125+N126+N127+N128</f>
        <v>2740.2</v>
      </c>
      <c r="O124" s="23">
        <f t="shared" si="153"/>
        <v>2740.2</v>
      </c>
      <c r="P124" s="23">
        <f>O124/N124*100</f>
        <v>100</v>
      </c>
      <c r="Q124" s="23">
        <f t="shared" ref="Q124:R124" si="154">Q125+Q126+Q127+Q128</f>
        <v>2840.8</v>
      </c>
      <c r="R124" s="23">
        <f t="shared" si="154"/>
        <v>2660.2</v>
      </c>
      <c r="S124" s="23">
        <f>R124/Q124*100</f>
        <v>93.642635877217671</v>
      </c>
      <c r="T124" s="23">
        <f t="shared" ref="T124:U124" si="155">T125+T126+T127+T128</f>
        <v>3979.8</v>
      </c>
      <c r="U124" s="23">
        <f t="shared" si="155"/>
        <v>3348.9</v>
      </c>
      <c r="V124" s="23">
        <f>U124/T124*100</f>
        <v>84.147444595205783</v>
      </c>
      <c r="W124" s="23">
        <f t="shared" ref="W124:X124" si="156">W125+W126+W127+W128</f>
        <v>7134.9000000000005</v>
      </c>
      <c r="X124" s="23">
        <f t="shared" si="156"/>
        <v>7587</v>
      </c>
      <c r="Y124" s="23">
        <f>X124/W124*100</f>
        <v>106.33645881512004</v>
      </c>
      <c r="Z124" s="23">
        <f t="shared" ref="Z124:AA124" si="157">Z125+Z126+Z127+Z128</f>
        <v>0</v>
      </c>
      <c r="AA124" s="23">
        <f t="shared" si="157"/>
        <v>0</v>
      </c>
      <c r="AB124" s="23"/>
      <c r="AC124" s="23">
        <f t="shared" ref="AC124:AD124" si="158">AC125+AC126+AC127+AC128</f>
        <v>728.5</v>
      </c>
      <c r="AD124" s="23">
        <f t="shared" si="158"/>
        <v>250.6</v>
      </c>
      <c r="AE124" s="23">
        <f>AD124/AC124*100</f>
        <v>34.399450926561428</v>
      </c>
      <c r="AF124" s="23">
        <f>AF125+AF126+AF127+AF128</f>
        <v>2921.8</v>
      </c>
      <c r="AG124" s="23">
        <f t="shared" ref="AG124" si="159">AG125+AG126+AG127+AG128</f>
        <v>2639.6</v>
      </c>
      <c r="AH124" s="23">
        <f>AG124/AF124*100</f>
        <v>90.341570264905187</v>
      </c>
      <c r="AI124" s="23">
        <f t="shared" ref="AI124:AJ124" si="160">AI125+AI126+AI127+AI128</f>
        <v>2851.8</v>
      </c>
      <c r="AJ124" s="23">
        <f t="shared" si="160"/>
        <v>0</v>
      </c>
      <c r="AK124" s="23">
        <f>AJ124/AI124*100</f>
        <v>0</v>
      </c>
      <c r="AL124" s="23">
        <f t="shared" ref="AL124:AM124" si="161">AL125+AL126+AL127+AL128</f>
        <v>2851.8</v>
      </c>
      <c r="AM124" s="23">
        <f t="shared" si="161"/>
        <v>0</v>
      </c>
      <c r="AN124" s="23">
        <f>AM124/AL124*100</f>
        <v>0</v>
      </c>
      <c r="AO124" s="23">
        <f t="shared" ref="AO124" si="162">AO125+AO126+AO127+AO128</f>
        <v>2542.3000000000002</v>
      </c>
      <c r="AP124" s="23"/>
      <c r="AQ124" s="21">
        <f t="shared" ref="AQ124" si="163">AP124/AO124</f>
        <v>0</v>
      </c>
      <c r="AR124" s="33"/>
      <c r="AS124" s="33"/>
    </row>
    <row r="125" spans="1:45" ht="60" x14ac:dyDescent="0.3">
      <c r="A125" s="105"/>
      <c r="B125" s="105"/>
      <c r="C125" s="105"/>
      <c r="D125" s="35" t="s">
        <v>21</v>
      </c>
      <c r="E125" s="23">
        <f t="shared" si="126"/>
        <v>34060.299999999996</v>
      </c>
      <c r="F125" s="23">
        <f t="shared" si="126"/>
        <v>24694.899999999994</v>
      </c>
      <c r="G125" s="23">
        <f>F125/E125*100</f>
        <v>72.503471783865663</v>
      </c>
      <c r="H125" s="23">
        <v>2727</v>
      </c>
      <c r="I125" s="23">
        <v>2727</v>
      </c>
      <c r="J125" s="23">
        <f>I125/H125*100</f>
        <v>100</v>
      </c>
      <c r="K125" s="23">
        <v>2741.4</v>
      </c>
      <c r="L125" s="23">
        <v>2741.4</v>
      </c>
      <c r="M125" s="23">
        <f>L125/K125*100</f>
        <v>100</v>
      </c>
      <c r="N125" s="23">
        <v>2740.2</v>
      </c>
      <c r="O125" s="23">
        <v>2740.2</v>
      </c>
      <c r="P125" s="23">
        <f>O125/N125*100</f>
        <v>100</v>
      </c>
      <c r="Q125" s="23">
        <v>2840.8</v>
      </c>
      <c r="R125" s="23">
        <v>2660.2</v>
      </c>
      <c r="S125" s="23">
        <f>R125/Q125*100</f>
        <v>93.642635877217671</v>
      </c>
      <c r="T125" s="23">
        <v>3979.8</v>
      </c>
      <c r="U125" s="23">
        <v>3348.9</v>
      </c>
      <c r="V125" s="23">
        <f>U125/T125*100</f>
        <v>84.147444595205783</v>
      </c>
      <c r="W125" s="23">
        <f>6973.1+161.8</f>
        <v>7134.9000000000005</v>
      </c>
      <c r="X125" s="23">
        <v>7587</v>
      </c>
      <c r="Y125" s="23">
        <f t="shared" ref="Y125" si="164">X125/W125*100</f>
        <v>106.33645881512004</v>
      </c>
      <c r="Z125" s="23">
        <v>0</v>
      </c>
      <c r="AA125" s="23">
        <v>0</v>
      </c>
      <c r="AB125" s="23"/>
      <c r="AC125" s="23">
        <v>728.5</v>
      </c>
      <c r="AD125" s="23">
        <v>250.6</v>
      </c>
      <c r="AE125" s="23">
        <f>AD125/AC125*100</f>
        <v>34.399450926561428</v>
      </c>
      <c r="AF125" s="23">
        <v>2921.8</v>
      </c>
      <c r="AG125" s="23">
        <v>2639.6</v>
      </c>
      <c r="AH125" s="23">
        <f t="shared" ref="AH125" si="165">AG125/AF125*100</f>
        <v>90.341570264905187</v>
      </c>
      <c r="AI125" s="23">
        <v>2851.8</v>
      </c>
      <c r="AJ125" s="23"/>
      <c r="AK125" s="23">
        <f>AJ125/AI125*100</f>
        <v>0</v>
      </c>
      <c r="AL125" s="23">
        <v>2851.8</v>
      </c>
      <c r="AM125" s="23"/>
      <c r="AN125" s="23"/>
      <c r="AO125" s="23">
        <f>2389.3+153</f>
        <v>2542.3000000000002</v>
      </c>
      <c r="AP125" s="23"/>
      <c r="AQ125" s="21"/>
      <c r="AR125" s="91" t="s">
        <v>179</v>
      </c>
      <c r="AS125" s="91" t="s">
        <v>213</v>
      </c>
    </row>
    <row r="126" spans="1:45" ht="24" x14ac:dyDescent="0.3">
      <c r="A126" s="105"/>
      <c r="B126" s="105"/>
      <c r="C126" s="105"/>
      <c r="D126" s="35" t="s">
        <v>4</v>
      </c>
      <c r="E126" s="23">
        <f t="shared" si="126"/>
        <v>0</v>
      </c>
      <c r="F126" s="23">
        <f t="shared" si="126"/>
        <v>0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1" t="e">
        <f t="shared" ref="AQ126:AQ127" si="166">AP126/AO126</f>
        <v>#DIV/0!</v>
      </c>
      <c r="AR126" s="91"/>
      <c r="AS126" s="33"/>
    </row>
    <row r="127" spans="1:45" ht="12" customHeight="1" x14ac:dyDescent="0.3">
      <c r="A127" s="105"/>
      <c r="B127" s="105"/>
      <c r="C127" s="105"/>
      <c r="D127" s="35" t="s">
        <v>44</v>
      </c>
      <c r="E127" s="23">
        <f t="shared" si="126"/>
        <v>0</v>
      </c>
      <c r="F127" s="23">
        <f t="shared" si="126"/>
        <v>0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1" t="e">
        <f t="shared" si="166"/>
        <v>#DIV/0!</v>
      </c>
      <c r="AR127" s="91"/>
      <c r="AS127" s="91"/>
    </row>
    <row r="128" spans="1:45" ht="13.8" customHeight="1" x14ac:dyDescent="0.3">
      <c r="A128" s="105"/>
      <c r="B128" s="105"/>
      <c r="C128" s="105"/>
      <c r="D128" s="35" t="s">
        <v>22</v>
      </c>
      <c r="E128" s="23">
        <f t="shared" si="126"/>
        <v>0</v>
      </c>
      <c r="F128" s="76">
        <f t="shared" si="126"/>
        <v>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33"/>
      <c r="AS128" s="33"/>
    </row>
    <row r="129" spans="1:45" ht="15.75" customHeight="1" x14ac:dyDescent="0.3">
      <c r="A129" s="105" t="s">
        <v>60</v>
      </c>
      <c r="B129" s="105" t="s">
        <v>113</v>
      </c>
      <c r="C129" s="105" t="s">
        <v>5</v>
      </c>
      <c r="D129" s="35" t="s">
        <v>3</v>
      </c>
      <c r="E129" s="23">
        <f t="shared" si="126"/>
        <v>32224.6</v>
      </c>
      <c r="F129" s="23">
        <f t="shared" si="126"/>
        <v>23334</v>
      </c>
      <c r="G129" s="23">
        <f>F129/E129*100</f>
        <v>72.41051867207041</v>
      </c>
      <c r="H129" s="23">
        <f>H130+H131+H132+H133</f>
        <v>1420</v>
      </c>
      <c r="I129" s="23">
        <f>I130+I131+I132+I133</f>
        <v>1420</v>
      </c>
      <c r="J129" s="23">
        <f>I129/H129*100</f>
        <v>100</v>
      </c>
      <c r="K129" s="23">
        <f t="shared" ref="K129:AO129" si="167">K130+K131+K132+K133</f>
        <v>2378</v>
      </c>
      <c r="L129" s="23">
        <f t="shared" si="167"/>
        <v>2378</v>
      </c>
      <c r="M129" s="23">
        <f t="shared" si="145"/>
        <v>100</v>
      </c>
      <c r="N129" s="23">
        <f t="shared" si="167"/>
        <v>2436</v>
      </c>
      <c r="O129" s="23">
        <f t="shared" si="167"/>
        <v>2436</v>
      </c>
      <c r="P129" s="23">
        <f>O129/N129*100</f>
        <v>100</v>
      </c>
      <c r="Q129" s="23">
        <f t="shared" si="167"/>
        <v>3005</v>
      </c>
      <c r="R129" s="23">
        <f t="shared" si="167"/>
        <v>3005</v>
      </c>
      <c r="S129" s="23">
        <f>R129/Q129*100</f>
        <v>100</v>
      </c>
      <c r="T129" s="23">
        <f t="shared" si="167"/>
        <v>2000</v>
      </c>
      <c r="U129" s="23">
        <f t="shared" si="167"/>
        <v>2000</v>
      </c>
      <c r="V129" s="23">
        <f>U129/T129*100</f>
        <v>100</v>
      </c>
      <c r="W129" s="23">
        <f t="shared" si="167"/>
        <v>3120</v>
      </c>
      <c r="X129" s="23">
        <f t="shared" si="167"/>
        <v>3120</v>
      </c>
      <c r="Y129" s="23">
        <f>X129/W129*100</f>
        <v>100</v>
      </c>
      <c r="Z129" s="23">
        <f t="shared" si="167"/>
        <v>4496</v>
      </c>
      <c r="AA129" s="23">
        <f t="shared" si="167"/>
        <v>4496</v>
      </c>
      <c r="AB129" s="23">
        <f>AA129/Z129*100</f>
        <v>100</v>
      </c>
      <c r="AC129" s="23">
        <f t="shared" si="167"/>
        <v>1860</v>
      </c>
      <c r="AD129" s="23">
        <f t="shared" si="167"/>
        <v>2860</v>
      </c>
      <c r="AE129" s="23">
        <f>AD129/AC129*100</f>
        <v>153.76344086021504</v>
      </c>
      <c r="AF129" s="23">
        <f t="shared" si="167"/>
        <v>2619</v>
      </c>
      <c r="AG129" s="23">
        <f t="shared" si="167"/>
        <v>1619</v>
      </c>
      <c r="AH129" s="23">
        <f>AG129/AF129*100</f>
        <v>61.817487590683463</v>
      </c>
      <c r="AI129" s="23">
        <f t="shared" si="167"/>
        <v>2939</v>
      </c>
      <c r="AJ129" s="23">
        <f t="shared" si="167"/>
        <v>0</v>
      </c>
      <c r="AK129" s="23">
        <f>AJ129/AI129*100</f>
        <v>0</v>
      </c>
      <c r="AL129" s="23">
        <f t="shared" si="167"/>
        <v>2315</v>
      </c>
      <c r="AM129" s="23">
        <f t="shared" si="167"/>
        <v>0</v>
      </c>
      <c r="AN129" s="23">
        <f>AM129/AL129*100</f>
        <v>0</v>
      </c>
      <c r="AO129" s="23">
        <f t="shared" si="167"/>
        <v>3636.6000000000004</v>
      </c>
      <c r="AP129" s="23"/>
      <c r="AQ129" s="21">
        <f t="shared" ref="AQ129:AQ132" si="168">AP129/AO129</f>
        <v>0</v>
      </c>
      <c r="AR129" s="33"/>
      <c r="AS129" s="33"/>
    </row>
    <row r="130" spans="1:45" ht="14.25" customHeight="1" x14ac:dyDescent="0.3">
      <c r="A130" s="105"/>
      <c r="B130" s="105"/>
      <c r="C130" s="105"/>
      <c r="D130" s="35" t="s">
        <v>21</v>
      </c>
      <c r="E130" s="23">
        <f t="shared" si="126"/>
        <v>0</v>
      </c>
      <c r="F130" s="58">
        <f t="shared" si="126"/>
        <v>0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1"/>
      <c r="AR130" s="33"/>
      <c r="AS130" s="33"/>
    </row>
    <row r="131" spans="1:45" ht="25.95" customHeight="1" x14ac:dyDescent="0.3">
      <c r="A131" s="105"/>
      <c r="B131" s="105"/>
      <c r="C131" s="105"/>
      <c r="D131" s="35" t="s">
        <v>4</v>
      </c>
      <c r="E131" s="23">
        <f t="shared" si="126"/>
        <v>0</v>
      </c>
      <c r="F131" s="23">
        <f t="shared" si="126"/>
        <v>0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1"/>
      <c r="AR131" s="91"/>
      <c r="AS131" s="33"/>
    </row>
    <row r="132" spans="1:45" ht="48" x14ac:dyDescent="0.3">
      <c r="A132" s="105"/>
      <c r="B132" s="105"/>
      <c r="C132" s="105"/>
      <c r="D132" s="35" t="s">
        <v>44</v>
      </c>
      <c r="E132" s="23">
        <f t="shared" si="126"/>
        <v>32224.6</v>
      </c>
      <c r="F132" s="23">
        <f t="shared" si="126"/>
        <v>23334</v>
      </c>
      <c r="G132" s="23">
        <f>F132/E132*100</f>
        <v>72.41051867207041</v>
      </c>
      <c r="H132" s="57">
        <v>1420</v>
      </c>
      <c r="I132" s="57">
        <v>1420</v>
      </c>
      <c r="J132" s="23">
        <f t="shared" ref="J132" si="169">I132/H132*100</f>
        <v>100</v>
      </c>
      <c r="K132" s="23">
        <v>2378</v>
      </c>
      <c r="L132" s="23">
        <v>2378</v>
      </c>
      <c r="M132" s="23">
        <f t="shared" si="145"/>
        <v>100</v>
      </c>
      <c r="N132" s="23">
        <v>2436</v>
      </c>
      <c r="O132" s="23">
        <v>2436</v>
      </c>
      <c r="P132" s="23">
        <f t="shared" ref="P132" si="170">O132/N132*100</f>
        <v>100</v>
      </c>
      <c r="Q132" s="23">
        <v>3005</v>
      </c>
      <c r="R132" s="23">
        <v>3005</v>
      </c>
      <c r="S132" s="23">
        <f t="shared" ref="S132" si="171">R132/Q132*100</f>
        <v>100</v>
      </c>
      <c r="T132" s="23">
        <v>2000</v>
      </c>
      <c r="U132" s="23">
        <v>2000</v>
      </c>
      <c r="V132" s="23">
        <f t="shared" ref="V132" si="172">U132/T132*100</f>
        <v>100</v>
      </c>
      <c r="W132" s="23">
        <f>3334+786-1000</f>
        <v>3120</v>
      </c>
      <c r="X132" s="23">
        <v>3120</v>
      </c>
      <c r="Y132" s="23">
        <f t="shared" ref="Y132" si="173">X132/W132*100</f>
        <v>100</v>
      </c>
      <c r="Z132" s="23">
        <v>4496</v>
      </c>
      <c r="AA132" s="23">
        <v>4496</v>
      </c>
      <c r="AB132" s="23">
        <f t="shared" ref="AB132" si="174">AA132/Z132*100</f>
        <v>100</v>
      </c>
      <c r="AC132" s="23">
        <v>1860</v>
      </c>
      <c r="AD132" s="23">
        <v>2860</v>
      </c>
      <c r="AE132" s="23">
        <f>AD132/AC132*100</f>
        <v>153.76344086021504</v>
      </c>
      <c r="AF132" s="23">
        <f>1969+650</f>
        <v>2619</v>
      </c>
      <c r="AG132" s="23">
        <v>1619</v>
      </c>
      <c r="AH132" s="23">
        <f t="shared" ref="AH132" si="175">AG132/AF132*100</f>
        <v>61.817487590683463</v>
      </c>
      <c r="AI132" s="23">
        <v>2939</v>
      </c>
      <c r="AJ132" s="23"/>
      <c r="AK132" s="23">
        <f t="shared" ref="AK132" si="176">AJ132/AI132*100</f>
        <v>0</v>
      </c>
      <c r="AL132" s="23">
        <v>2315</v>
      </c>
      <c r="AM132" s="23"/>
      <c r="AN132" s="23"/>
      <c r="AO132" s="23">
        <f>2950+712.4+624.2-650</f>
        <v>3636.6000000000004</v>
      </c>
      <c r="AP132" s="23"/>
      <c r="AQ132" s="21">
        <f t="shared" si="168"/>
        <v>0</v>
      </c>
      <c r="AR132" s="91" t="s">
        <v>182</v>
      </c>
      <c r="AS132" s="33"/>
    </row>
    <row r="133" spans="1:45" ht="15.75" customHeight="1" x14ac:dyDescent="0.3">
      <c r="A133" s="105"/>
      <c r="B133" s="105"/>
      <c r="C133" s="105"/>
      <c r="D133" s="35" t="s">
        <v>22</v>
      </c>
      <c r="E133" s="23">
        <f t="shared" si="126"/>
        <v>0</v>
      </c>
      <c r="F133" s="23">
        <f t="shared" si="126"/>
        <v>0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33"/>
      <c r="AS133" s="33"/>
    </row>
    <row r="134" spans="1:45" ht="12.6" customHeight="1" x14ac:dyDescent="0.3">
      <c r="A134" s="105" t="s">
        <v>61</v>
      </c>
      <c r="B134" s="105" t="s">
        <v>95</v>
      </c>
      <c r="C134" s="105" t="s">
        <v>5</v>
      </c>
      <c r="D134" s="35" t="s">
        <v>3</v>
      </c>
      <c r="E134" s="23">
        <f t="shared" si="126"/>
        <v>46476.6</v>
      </c>
      <c r="F134" s="23">
        <f t="shared" si="126"/>
        <v>22827.600000000002</v>
      </c>
      <c r="G134" s="23">
        <f>F134/E134*100</f>
        <v>49.11632950775229</v>
      </c>
      <c r="H134" s="23">
        <f>H135+H136+H137+H138</f>
        <v>1207</v>
      </c>
      <c r="I134" s="23">
        <f>I135+I136+I137+I138</f>
        <v>0</v>
      </c>
      <c r="J134" s="23">
        <f>I134/H134*100</f>
        <v>0</v>
      </c>
      <c r="K134" s="23">
        <f t="shared" ref="K134:AO134" si="177">K135+K136+K137+K138</f>
        <v>5237</v>
      </c>
      <c r="L134" s="23">
        <f t="shared" si="177"/>
        <v>6980.2</v>
      </c>
      <c r="M134" s="23">
        <f t="shared" si="145"/>
        <v>133.28623257590223</v>
      </c>
      <c r="N134" s="23">
        <f t="shared" si="177"/>
        <v>5237</v>
      </c>
      <c r="O134" s="23">
        <f t="shared" si="177"/>
        <v>4700.8</v>
      </c>
      <c r="P134" s="23">
        <f>O134/N134*100</f>
        <v>89.761313729234288</v>
      </c>
      <c r="Q134" s="23">
        <f t="shared" si="177"/>
        <v>4788.3</v>
      </c>
      <c r="R134" s="23">
        <f t="shared" si="177"/>
        <v>4788.3</v>
      </c>
      <c r="S134" s="23">
        <f>R134/Q134*100</f>
        <v>100</v>
      </c>
      <c r="T134" s="23">
        <f t="shared" si="177"/>
        <v>4851.6000000000004</v>
      </c>
      <c r="U134" s="23">
        <f t="shared" si="177"/>
        <v>4851.6000000000004</v>
      </c>
      <c r="V134" s="23">
        <f>U134/T134*100</f>
        <v>100</v>
      </c>
      <c r="W134" s="23">
        <f t="shared" si="177"/>
        <v>1189.7</v>
      </c>
      <c r="X134" s="23">
        <f t="shared" si="177"/>
        <v>1189.7</v>
      </c>
      <c r="Y134" s="23">
        <f>X134/W134*100</f>
        <v>100</v>
      </c>
      <c r="Z134" s="23">
        <f t="shared" si="177"/>
        <v>250</v>
      </c>
      <c r="AA134" s="23">
        <f t="shared" si="177"/>
        <v>148.6</v>
      </c>
      <c r="AB134" s="23">
        <f>AA134/Z134*100</f>
        <v>59.439999999999991</v>
      </c>
      <c r="AC134" s="23">
        <f t="shared" si="177"/>
        <v>250</v>
      </c>
      <c r="AD134" s="23">
        <f t="shared" si="177"/>
        <v>0</v>
      </c>
      <c r="AE134" s="23">
        <f>AD134/AC134*100</f>
        <v>0</v>
      </c>
      <c r="AF134" s="23">
        <f t="shared" si="177"/>
        <v>5988.4</v>
      </c>
      <c r="AG134" s="23">
        <f t="shared" si="177"/>
        <v>168.4</v>
      </c>
      <c r="AH134" s="23">
        <f>AG134/AF134*100</f>
        <v>2.8121033999064862</v>
      </c>
      <c r="AI134" s="23">
        <f t="shared" si="177"/>
        <v>4736</v>
      </c>
      <c r="AJ134" s="23">
        <f t="shared" si="177"/>
        <v>0</v>
      </c>
      <c r="AK134" s="23">
        <f>AJ134/AI134*100</f>
        <v>0</v>
      </c>
      <c r="AL134" s="23">
        <f t="shared" si="177"/>
        <v>4736</v>
      </c>
      <c r="AM134" s="23">
        <f t="shared" si="177"/>
        <v>0</v>
      </c>
      <c r="AN134" s="23">
        <f>AM134/AL134*100</f>
        <v>0</v>
      </c>
      <c r="AO134" s="23">
        <f t="shared" si="177"/>
        <v>8005.6</v>
      </c>
      <c r="AP134" s="23"/>
      <c r="AQ134" s="21">
        <f t="shared" ref="AQ134:AQ137" si="178">AP134/AO134</f>
        <v>0</v>
      </c>
      <c r="AR134" s="33"/>
      <c r="AS134" s="33"/>
    </row>
    <row r="135" spans="1:45" x14ac:dyDescent="0.3">
      <c r="A135" s="105"/>
      <c r="B135" s="105"/>
      <c r="C135" s="105"/>
      <c r="D135" s="35" t="s">
        <v>21</v>
      </c>
      <c r="E135" s="23">
        <f t="shared" si="126"/>
        <v>0</v>
      </c>
      <c r="F135" s="23">
        <f t="shared" si="126"/>
        <v>0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1"/>
      <c r="AR135" s="33"/>
      <c r="AS135" s="33"/>
    </row>
    <row r="136" spans="1:45" ht="24" x14ac:dyDescent="0.3">
      <c r="A136" s="105"/>
      <c r="B136" s="105"/>
      <c r="C136" s="105"/>
      <c r="D136" s="35" t="s">
        <v>4</v>
      </c>
      <c r="E136" s="23">
        <f t="shared" si="126"/>
        <v>0</v>
      </c>
      <c r="F136" s="23">
        <f t="shared" si="126"/>
        <v>0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1"/>
      <c r="AR136" s="33"/>
      <c r="AS136" s="33"/>
    </row>
    <row r="137" spans="1:45" ht="48" x14ac:dyDescent="0.3">
      <c r="A137" s="105"/>
      <c r="B137" s="105"/>
      <c r="C137" s="105"/>
      <c r="D137" s="35" t="s">
        <v>44</v>
      </c>
      <c r="E137" s="23">
        <f t="shared" si="126"/>
        <v>46476.6</v>
      </c>
      <c r="F137" s="23">
        <f t="shared" si="126"/>
        <v>22827.600000000002</v>
      </c>
      <c r="G137" s="23">
        <f t="shared" ref="G137" si="179">F137/E137*100</f>
        <v>49.11632950775229</v>
      </c>
      <c r="H137" s="23">
        <f>3611-2404</f>
        <v>1207</v>
      </c>
      <c r="I137" s="23">
        <v>0</v>
      </c>
      <c r="J137" s="23">
        <f t="shared" ref="J137" si="180">I137/H137*100</f>
        <v>0</v>
      </c>
      <c r="K137" s="23">
        <v>5237</v>
      </c>
      <c r="L137" s="23">
        <v>6980.2</v>
      </c>
      <c r="M137" s="23">
        <f t="shared" si="145"/>
        <v>133.28623257590223</v>
      </c>
      <c r="N137" s="23">
        <v>5237</v>
      </c>
      <c r="O137" s="23">
        <v>4700.8</v>
      </c>
      <c r="P137" s="23">
        <f t="shared" ref="P137" si="181">O137/N137*100</f>
        <v>89.761313729234288</v>
      </c>
      <c r="Q137" s="23">
        <v>4788.3</v>
      </c>
      <c r="R137" s="23">
        <v>4788.3</v>
      </c>
      <c r="S137" s="23">
        <f t="shared" ref="S137" si="182">R137/Q137*100</f>
        <v>100</v>
      </c>
      <c r="T137" s="23">
        <v>4851.6000000000004</v>
      </c>
      <c r="U137" s="23">
        <v>4851.6000000000004</v>
      </c>
      <c r="V137" s="23">
        <f t="shared" ref="V137" si="183">U137/T137*100</f>
        <v>100</v>
      </c>
      <c r="W137" s="23">
        <v>1189.7</v>
      </c>
      <c r="X137" s="23">
        <v>1189.7</v>
      </c>
      <c r="Y137" s="23">
        <f t="shared" ref="Y137" si="184">X137/W137*100</f>
        <v>100</v>
      </c>
      <c r="Z137" s="23">
        <v>250</v>
      </c>
      <c r="AA137" s="23">
        <v>148.6</v>
      </c>
      <c r="AB137" s="23">
        <f>AA137/Z137*100</f>
        <v>59.439999999999991</v>
      </c>
      <c r="AC137" s="23">
        <v>250</v>
      </c>
      <c r="AD137" s="23">
        <v>0</v>
      </c>
      <c r="AE137" s="23">
        <v>0</v>
      </c>
      <c r="AF137" s="23">
        <f>4296+1692.4</f>
        <v>5988.4</v>
      </c>
      <c r="AG137" s="23">
        <v>168.4</v>
      </c>
      <c r="AH137" s="23">
        <f>AG137/AF137*100</f>
        <v>2.8121033999064862</v>
      </c>
      <c r="AI137" s="23">
        <v>4736</v>
      </c>
      <c r="AJ137" s="23"/>
      <c r="AK137" s="23">
        <v>0</v>
      </c>
      <c r="AL137" s="23">
        <v>4736</v>
      </c>
      <c r="AM137" s="23"/>
      <c r="AN137" s="23"/>
      <c r="AO137" s="23">
        <f>5601.6+2404</f>
        <v>8005.6</v>
      </c>
      <c r="AP137" s="23"/>
      <c r="AQ137" s="21">
        <f t="shared" si="178"/>
        <v>0</v>
      </c>
      <c r="AR137" s="91" t="s">
        <v>155</v>
      </c>
      <c r="AS137" s="87" t="s">
        <v>214</v>
      </c>
    </row>
    <row r="138" spans="1:45" ht="15.75" customHeight="1" x14ac:dyDescent="0.3">
      <c r="A138" s="105"/>
      <c r="B138" s="105"/>
      <c r="C138" s="105"/>
      <c r="D138" s="35" t="s">
        <v>22</v>
      </c>
      <c r="E138" s="23">
        <f t="shared" si="126"/>
        <v>0</v>
      </c>
      <c r="F138" s="23">
        <f t="shared" si="126"/>
        <v>0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33"/>
      <c r="AS138" s="33"/>
    </row>
    <row r="139" spans="1:45" ht="13.2" customHeight="1" x14ac:dyDescent="0.3">
      <c r="A139" s="105" t="s">
        <v>62</v>
      </c>
      <c r="B139" s="105" t="s">
        <v>96</v>
      </c>
      <c r="C139" s="105" t="s">
        <v>5</v>
      </c>
      <c r="D139" s="35" t="s">
        <v>3</v>
      </c>
      <c r="E139" s="23">
        <f t="shared" si="126"/>
        <v>3690.4999999999995</v>
      </c>
      <c r="F139" s="23">
        <f t="shared" si="126"/>
        <v>2336.6999999999998</v>
      </c>
      <c r="G139" s="23">
        <f>F139/E139*100</f>
        <v>63.316623763717658</v>
      </c>
      <c r="H139" s="23">
        <f>H140+H141+H142+H143</f>
        <v>0</v>
      </c>
      <c r="I139" s="23"/>
      <c r="J139" s="23"/>
      <c r="K139" s="23">
        <f t="shared" ref="K139:AO139" si="185">K140+K141+K142+K143</f>
        <v>144.80000000000001</v>
      </c>
      <c r="L139" s="23">
        <f t="shared" si="185"/>
        <v>84</v>
      </c>
      <c r="M139" s="23">
        <f t="shared" si="145"/>
        <v>58.011049723756905</v>
      </c>
      <c r="N139" s="23">
        <f t="shared" si="185"/>
        <v>378</v>
      </c>
      <c r="O139" s="23">
        <f t="shared" si="185"/>
        <v>384</v>
      </c>
      <c r="P139" s="23">
        <f>O139/N139*100</f>
        <v>101.58730158730158</v>
      </c>
      <c r="Q139" s="23">
        <f t="shared" si="185"/>
        <v>342.9</v>
      </c>
      <c r="R139" s="23">
        <f t="shared" si="185"/>
        <v>342.9</v>
      </c>
      <c r="S139" s="23">
        <f>R139/Q139*100</f>
        <v>100</v>
      </c>
      <c r="T139" s="23">
        <f t="shared" si="185"/>
        <v>522.20000000000005</v>
      </c>
      <c r="U139" s="23">
        <f t="shared" si="185"/>
        <v>522.20000000000005</v>
      </c>
      <c r="V139" s="23">
        <f>U139/T139*100</f>
        <v>100</v>
      </c>
      <c r="W139" s="23">
        <f t="shared" si="185"/>
        <v>890.8</v>
      </c>
      <c r="X139" s="23">
        <f t="shared" si="185"/>
        <v>941.5</v>
      </c>
      <c r="Y139" s="23">
        <f>X139/W139*100</f>
        <v>105.69151324652</v>
      </c>
      <c r="Z139" s="23">
        <f t="shared" si="185"/>
        <v>0</v>
      </c>
      <c r="AA139" s="23">
        <f t="shared" si="185"/>
        <v>62.1</v>
      </c>
      <c r="AB139" s="23"/>
      <c r="AC139" s="23">
        <f t="shared" si="185"/>
        <v>0</v>
      </c>
      <c r="AD139" s="23">
        <f t="shared" si="185"/>
        <v>0</v>
      </c>
      <c r="AE139" s="23"/>
      <c r="AF139" s="23">
        <f t="shared" si="185"/>
        <v>1406.6</v>
      </c>
      <c r="AG139" s="23">
        <f t="shared" si="185"/>
        <v>0</v>
      </c>
      <c r="AH139" s="23">
        <f>AG139/AF139*100</f>
        <v>0</v>
      </c>
      <c r="AI139" s="23">
        <f t="shared" si="185"/>
        <v>0</v>
      </c>
      <c r="AJ139" s="23">
        <f t="shared" si="185"/>
        <v>0</v>
      </c>
      <c r="AK139" s="23" t="e">
        <f>AJ139/AI139*100</f>
        <v>#DIV/0!</v>
      </c>
      <c r="AL139" s="23">
        <f t="shared" si="185"/>
        <v>0</v>
      </c>
      <c r="AM139" s="23">
        <f t="shared" si="185"/>
        <v>0</v>
      </c>
      <c r="AN139" s="23" t="e">
        <f>AM139/AL139*100</f>
        <v>#DIV/0!</v>
      </c>
      <c r="AO139" s="23">
        <f t="shared" si="185"/>
        <v>5.1999999999999993</v>
      </c>
      <c r="AP139" s="23"/>
      <c r="AQ139" s="21">
        <f t="shared" ref="AQ139:AQ141" si="186">AP139/AO139</f>
        <v>0</v>
      </c>
      <c r="AR139" s="33"/>
      <c r="AS139" s="33"/>
    </row>
    <row r="140" spans="1:45" x14ac:dyDescent="0.3">
      <c r="A140" s="105"/>
      <c r="B140" s="105"/>
      <c r="C140" s="105"/>
      <c r="D140" s="35" t="s">
        <v>21</v>
      </c>
      <c r="E140" s="23">
        <f t="shared" si="126"/>
        <v>0</v>
      </c>
      <c r="F140" s="23">
        <f t="shared" si="126"/>
        <v>0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1"/>
      <c r="AR140" s="33"/>
      <c r="AS140" s="33"/>
    </row>
    <row r="141" spans="1:45" ht="75.599999999999994" customHeight="1" x14ac:dyDescent="0.3">
      <c r="A141" s="105"/>
      <c r="B141" s="105"/>
      <c r="C141" s="105"/>
      <c r="D141" s="35" t="s">
        <v>4</v>
      </c>
      <c r="E141" s="23">
        <f t="shared" si="126"/>
        <v>3690.4999999999995</v>
      </c>
      <c r="F141" s="23">
        <f t="shared" si="126"/>
        <v>2336.6999999999998</v>
      </c>
      <c r="G141" s="23">
        <f>F141/E141*100</f>
        <v>63.316623763717658</v>
      </c>
      <c r="H141" s="23"/>
      <c r="I141" s="23"/>
      <c r="J141" s="23"/>
      <c r="K141" s="23">
        <f>376+4-235.1-0.1</f>
        <v>144.80000000000001</v>
      </c>
      <c r="L141" s="23">
        <v>84</v>
      </c>
      <c r="M141" s="23">
        <f t="shared" si="145"/>
        <v>58.011049723756905</v>
      </c>
      <c r="N141" s="23">
        <f>318+60</f>
        <v>378</v>
      </c>
      <c r="O141" s="23">
        <v>384</v>
      </c>
      <c r="P141" s="23">
        <f>O141/N141*100</f>
        <v>101.58730158730158</v>
      </c>
      <c r="Q141" s="23">
        <v>342.9</v>
      </c>
      <c r="R141" s="23">
        <v>342.9</v>
      </c>
      <c r="S141" s="23">
        <f>R141/Q141*100</f>
        <v>100</v>
      </c>
      <c r="T141" s="23">
        <v>522.20000000000005</v>
      </c>
      <c r="U141" s="23">
        <v>522.20000000000005</v>
      </c>
      <c r="V141" s="23">
        <f>U141/T141*100</f>
        <v>100</v>
      </c>
      <c r="W141" s="23">
        <v>890.8</v>
      </c>
      <c r="X141" s="23">
        <v>941.5</v>
      </c>
      <c r="Y141" s="23">
        <f>X141/W141*100</f>
        <v>105.69151324652</v>
      </c>
      <c r="Z141" s="23"/>
      <c r="AA141" s="23">
        <v>62.1</v>
      </c>
      <c r="AB141" s="23"/>
      <c r="AC141" s="23"/>
      <c r="AD141" s="23"/>
      <c r="AE141" s="23"/>
      <c r="AF141" s="23">
        <v>1406.6</v>
      </c>
      <c r="AG141" s="23"/>
      <c r="AH141" s="23">
        <f>AG141/AF141*100</f>
        <v>0</v>
      </c>
      <c r="AI141" s="23"/>
      <c r="AJ141" s="23"/>
      <c r="AK141" s="23" t="e">
        <f>AJ141/AI141*100</f>
        <v>#DIV/0!</v>
      </c>
      <c r="AL141" s="23"/>
      <c r="AM141" s="23"/>
      <c r="AN141" s="23" t="e">
        <f>AM141/AL141*100</f>
        <v>#DIV/0!</v>
      </c>
      <c r="AO141" s="23">
        <f>5.1+0.1</f>
        <v>5.1999999999999993</v>
      </c>
      <c r="AP141" s="24"/>
      <c r="AQ141" s="21">
        <f t="shared" si="186"/>
        <v>0</v>
      </c>
      <c r="AR141" s="91" t="s">
        <v>166</v>
      </c>
      <c r="AS141" s="79" t="s">
        <v>215</v>
      </c>
    </row>
    <row r="142" spans="1:45" ht="12.6" customHeight="1" x14ac:dyDescent="0.3">
      <c r="A142" s="105"/>
      <c r="B142" s="105"/>
      <c r="C142" s="105"/>
      <c r="D142" s="35" t="s">
        <v>44</v>
      </c>
      <c r="E142" s="23">
        <f t="shared" si="126"/>
        <v>0</v>
      </c>
      <c r="F142" s="23">
        <f t="shared" si="126"/>
        <v>0</v>
      </c>
      <c r="G142" s="23"/>
      <c r="H142" s="23"/>
      <c r="I142" s="23"/>
      <c r="J142" s="21"/>
      <c r="K142" s="23"/>
      <c r="L142" s="23"/>
      <c r="M142" s="23"/>
      <c r="N142" s="23"/>
      <c r="O142" s="23"/>
      <c r="P142" s="23"/>
      <c r="Q142" s="23"/>
      <c r="R142" s="23"/>
      <c r="S142" s="21"/>
      <c r="T142" s="23"/>
      <c r="U142" s="23"/>
      <c r="V142" s="23"/>
      <c r="W142" s="23"/>
      <c r="X142" s="23"/>
      <c r="Y142" s="21"/>
      <c r="Z142" s="23"/>
      <c r="AA142" s="23"/>
      <c r="AB142" s="21"/>
      <c r="AC142" s="23"/>
      <c r="AD142" s="23"/>
      <c r="AE142" s="21"/>
      <c r="AF142" s="23"/>
      <c r="AG142" s="23"/>
      <c r="AH142" s="23">
        <v>0</v>
      </c>
      <c r="AI142" s="23"/>
      <c r="AJ142" s="23"/>
      <c r="AK142" s="21"/>
      <c r="AL142" s="23"/>
      <c r="AM142" s="23"/>
      <c r="AN142" s="21"/>
      <c r="AO142" s="23"/>
      <c r="AP142" s="24"/>
      <c r="AQ142" s="21"/>
      <c r="AR142" s="33"/>
      <c r="AS142" s="33"/>
    </row>
    <row r="143" spans="1:45" ht="12.6" customHeight="1" x14ac:dyDescent="0.3">
      <c r="A143" s="105"/>
      <c r="B143" s="105"/>
      <c r="C143" s="105"/>
      <c r="D143" s="35" t="s">
        <v>22</v>
      </c>
      <c r="E143" s="23">
        <f t="shared" si="126"/>
        <v>0</v>
      </c>
      <c r="F143" s="23">
        <f t="shared" si="126"/>
        <v>0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4"/>
      <c r="AQ143" s="24"/>
      <c r="AR143" s="33"/>
      <c r="AS143" s="33"/>
    </row>
    <row r="144" spans="1:45" ht="13.2" customHeight="1" x14ac:dyDescent="0.3">
      <c r="A144" s="105" t="s">
        <v>134</v>
      </c>
      <c r="B144" s="105" t="s">
        <v>136</v>
      </c>
      <c r="C144" s="105" t="s">
        <v>5</v>
      </c>
      <c r="D144" s="35" t="s">
        <v>3</v>
      </c>
      <c r="E144" s="23">
        <f t="shared" ref="E144:F158" si="187">H144+K144+N144+Q144+T144+W144+Z144+AC144+AF144+AI144+AL144+AO144</f>
        <v>0</v>
      </c>
      <c r="F144" s="23">
        <f t="shared" si="187"/>
        <v>0</v>
      </c>
      <c r="G144" s="23"/>
      <c r="H144" s="23">
        <f>H145+H146+H147+H148</f>
        <v>0</v>
      </c>
      <c r="I144" s="23"/>
      <c r="J144" s="21"/>
      <c r="K144" s="23">
        <f t="shared" ref="K144:L144" si="188">K145+K146+K147+K148</f>
        <v>0</v>
      </c>
      <c r="L144" s="23">
        <f t="shared" si="188"/>
        <v>0</v>
      </c>
      <c r="M144" s="23"/>
      <c r="N144" s="23">
        <f t="shared" ref="N144:O144" si="189">N145+N146+N147+N148</f>
        <v>0</v>
      </c>
      <c r="O144" s="23">
        <f t="shared" si="189"/>
        <v>0</v>
      </c>
      <c r="P144" s="23"/>
      <c r="Q144" s="23">
        <f t="shared" ref="Q144:R144" si="190">Q145+Q146+Q147+Q148</f>
        <v>0</v>
      </c>
      <c r="R144" s="23">
        <f t="shared" si="190"/>
        <v>0</v>
      </c>
      <c r="S144" s="23"/>
      <c r="T144" s="23">
        <f t="shared" ref="T144:U144" si="191">T145+T146+T147+T148</f>
        <v>0</v>
      </c>
      <c r="U144" s="23">
        <f t="shared" si="191"/>
        <v>0</v>
      </c>
      <c r="V144" s="23"/>
      <c r="W144" s="23">
        <f t="shared" ref="W144:X144" si="192">W145+W146+W147+W148</f>
        <v>0</v>
      </c>
      <c r="X144" s="23">
        <f t="shared" si="192"/>
        <v>0</v>
      </c>
      <c r="Y144" s="23"/>
      <c r="Z144" s="23">
        <f t="shared" ref="Z144:AA144" si="193">Z145+Z146+Z147+Z148</f>
        <v>0</v>
      </c>
      <c r="AA144" s="23">
        <f t="shared" si="193"/>
        <v>0</v>
      </c>
      <c r="AB144" s="23"/>
      <c r="AC144" s="23">
        <f t="shared" ref="AC144:AD144" si="194">AC145+AC146+AC147+AC148</f>
        <v>0</v>
      </c>
      <c r="AD144" s="23">
        <f t="shared" si="194"/>
        <v>0</v>
      </c>
      <c r="AE144" s="23"/>
      <c r="AF144" s="23">
        <f t="shared" ref="AF144" si="195">AF145+AF146+AF147+AF148</f>
        <v>0</v>
      </c>
      <c r="AG144" s="23"/>
      <c r="AH144" s="21"/>
      <c r="AI144" s="23">
        <f t="shared" ref="AI144:AJ144" si="196">AI145+AI146+AI147+AI148</f>
        <v>0</v>
      </c>
      <c r="AJ144" s="23">
        <f t="shared" si="196"/>
        <v>0</v>
      </c>
      <c r="AK144" s="23"/>
      <c r="AL144" s="23">
        <f t="shared" ref="AL144:AM144" si="197">AL145+AL146+AL147+AL148</f>
        <v>0</v>
      </c>
      <c r="AM144" s="23">
        <f t="shared" si="197"/>
        <v>0</v>
      </c>
      <c r="AN144" s="23"/>
      <c r="AO144" s="23">
        <f t="shared" ref="AO144" si="198">AO145+AO146+AO147+AO148</f>
        <v>0</v>
      </c>
      <c r="AP144" s="23"/>
      <c r="AQ144" s="21" t="e">
        <f t="shared" ref="AQ144" si="199">AP144/AO144</f>
        <v>#DIV/0!</v>
      </c>
      <c r="AR144" s="33"/>
      <c r="AS144" s="33"/>
    </row>
    <row r="145" spans="1:45" x14ac:dyDescent="0.3">
      <c r="A145" s="105"/>
      <c r="B145" s="105"/>
      <c r="C145" s="105"/>
      <c r="D145" s="35" t="s">
        <v>21</v>
      </c>
      <c r="E145" s="23">
        <f t="shared" si="187"/>
        <v>0</v>
      </c>
      <c r="F145" s="23">
        <f t="shared" si="187"/>
        <v>0</v>
      </c>
      <c r="G145" s="23"/>
      <c r="H145" s="23"/>
      <c r="I145" s="23"/>
      <c r="J145" s="21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1"/>
      <c r="AI145" s="23"/>
      <c r="AJ145" s="23"/>
      <c r="AK145" s="23"/>
      <c r="AL145" s="23"/>
      <c r="AM145" s="23"/>
      <c r="AN145" s="23"/>
      <c r="AO145" s="23"/>
      <c r="AP145" s="23"/>
      <c r="AQ145" s="21"/>
      <c r="AR145" s="33"/>
      <c r="AS145" s="33"/>
    </row>
    <row r="146" spans="1:45" ht="23.4" customHeight="1" x14ac:dyDescent="0.3">
      <c r="A146" s="105"/>
      <c r="B146" s="105"/>
      <c r="C146" s="105"/>
      <c r="D146" s="35" t="s">
        <v>4</v>
      </c>
      <c r="E146" s="23">
        <f t="shared" si="187"/>
        <v>0</v>
      </c>
      <c r="F146" s="23">
        <f t="shared" si="187"/>
        <v>0</v>
      </c>
      <c r="G146" s="23"/>
      <c r="H146" s="23"/>
      <c r="I146" s="23"/>
      <c r="J146" s="21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1"/>
      <c r="AI146" s="23"/>
      <c r="AJ146" s="23"/>
      <c r="AK146" s="23"/>
      <c r="AL146" s="23"/>
      <c r="AM146" s="23"/>
      <c r="AN146" s="23"/>
      <c r="AO146" s="23"/>
      <c r="AP146" s="24"/>
      <c r="AQ146" s="21" t="e">
        <f t="shared" ref="AQ146" si="200">AP146/AO146</f>
        <v>#DIV/0!</v>
      </c>
      <c r="AR146" s="91"/>
      <c r="AS146" s="79"/>
    </row>
    <row r="147" spans="1:45" x14ac:dyDescent="0.3">
      <c r="A147" s="105"/>
      <c r="B147" s="105"/>
      <c r="C147" s="105"/>
      <c r="D147" s="35" t="s">
        <v>44</v>
      </c>
      <c r="E147" s="23">
        <f t="shared" si="187"/>
        <v>0</v>
      </c>
      <c r="F147" s="23">
        <f t="shared" si="187"/>
        <v>0</v>
      </c>
      <c r="G147" s="23"/>
      <c r="H147" s="23"/>
      <c r="I147" s="23"/>
      <c r="J147" s="21"/>
      <c r="K147" s="23"/>
      <c r="L147" s="23"/>
      <c r="M147" s="23"/>
      <c r="N147" s="23"/>
      <c r="O147" s="23"/>
      <c r="P147" s="23"/>
      <c r="Q147" s="23"/>
      <c r="R147" s="23"/>
      <c r="S147" s="21"/>
      <c r="T147" s="23"/>
      <c r="U147" s="23"/>
      <c r="V147" s="23"/>
      <c r="W147" s="23"/>
      <c r="X147" s="23"/>
      <c r="Y147" s="21"/>
      <c r="Z147" s="23"/>
      <c r="AA147" s="23"/>
      <c r="AB147" s="21"/>
      <c r="AC147" s="23"/>
      <c r="AD147" s="23"/>
      <c r="AE147" s="23"/>
      <c r="AF147" s="23"/>
      <c r="AG147" s="23"/>
      <c r="AH147" s="21"/>
      <c r="AI147" s="23"/>
      <c r="AJ147" s="23"/>
      <c r="AK147" s="21"/>
      <c r="AL147" s="23"/>
      <c r="AM147" s="23"/>
      <c r="AN147" s="21"/>
      <c r="AO147" s="23"/>
      <c r="AP147" s="24"/>
      <c r="AQ147" s="21"/>
      <c r="AR147" s="91"/>
      <c r="AS147" s="33"/>
    </row>
    <row r="148" spans="1:45" ht="15.75" customHeight="1" x14ac:dyDescent="0.3">
      <c r="A148" s="105"/>
      <c r="B148" s="105"/>
      <c r="C148" s="105"/>
      <c r="D148" s="35" t="s">
        <v>22</v>
      </c>
      <c r="E148" s="23">
        <f t="shared" si="187"/>
        <v>0</v>
      </c>
      <c r="F148" s="23">
        <f t="shared" si="187"/>
        <v>0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4"/>
      <c r="AQ148" s="24"/>
      <c r="AR148" s="33"/>
      <c r="AS148" s="33"/>
    </row>
    <row r="149" spans="1:45" ht="13.2" customHeight="1" x14ac:dyDescent="0.3">
      <c r="A149" s="105" t="s">
        <v>135</v>
      </c>
      <c r="B149" s="105" t="s">
        <v>137</v>
      </c>
      <c r="C149" s="105" t="s">
        <v>5</v>
      </c>
      <c r="D149" s="35" t="s">
        <v>3</v>
      </c>
      <c r="E149" s="23">
        <f t="shared" si="187"/>
        <v>0</v>
      </c>
      <c r="F149" s="23">
        <f t="shared" si="187"/>
        <v>0</v>
      </c>
      <c r="G149" s="23"/>
      <c r="H149" s="23">
        <f>H150+H151+H152+H153</f>
        <v>0</v>
      </c>
      <c r="I149" s="23"/>
      <c r="J149" s="21"/>
      <c r="K149" s="23">
        <f t="shared" ref="K149:L149" si="201">K150+K151+K152+K153</f>
        <v>0</v>
      </c>
      <c r="L149" s="23">
        <f t="shared" si="201"/>
        <v>0</v>
      </c>
      <c r="M149" s="23"/>
      <c r="N149" s="23">
        <f t="shared" ref="N149:O149" si="202">N150+N151+N152+N153</f>
        <v>0</v>
      </c>
      <c r="O149" s="23">
        <f t="shared" si="202"/>
        <v>0</v>
      </c>
      <c r="P149" s="23"/>
      <c r="Q149" s="23">
        <f t="shared" ref="Q149:R149" si="203">Q150+Q151+Q152+Q153</f>
        <v>0</v>
      </c>
      <c r="R149" s="23">
        <f t="shared" si="203"/>
        <v>0</v>
      </c>
      <c r="S149" s="23"/>
      <c r="T149" s="23">
        <f t="shared" ref="T149:U149" si="204">T150+T151+T152+T153</f>
        <v>0</v>
      </c>
      <c r="U149" s="23">
        <f t="shared" si="204"/>
        <v>0</v>
      </c>
      <c r="V149" s="23"/>
      <c r="W149" s="23">
        <f t="shared" ref="W149:X149" si="205">W150+W151+W152+W153</f>
        <v>0</v>
      </c>
      <c r="X149" s="23">
        <f t="shared" si="205"/>
        <v>0</v>
      </c>
      <c r="Y149" s="23"/>
      <c r="Z149" s="23">
        <f t="shared" ref="Z149:AA149" si="206">Z150+Z151+Z152+Z153</f>
        <v>0</v>
      </c>
      <c r="AA149" s="23">
        <f t="shared" si="206"/>
        <v>0</v>
      </c>
      <c r="AB149" s="23"/>
      <c r="AC149" s="23">
        <f t="shared" ref="AC149:AD149" si="207">AC150+AC151+AC152+AC153</f>
        <v>0</v>
      </c>
      <c r="AD149" s="23">
        <f t="shared" si="207"/>
        <v>0</v>
      </c>
      <c r="AE149" s="23"/>
      <c r="AF149" s="23">
        <f t="shared" ref="AF149:AG149" si="208">AF150+AF151+AF152+AF153</f>
        <v>0</v>
      </c>
      <c r="AG149" s="23">
        <f t="shared" si="208"/>
        <v>0</v>
      </c>
      <c r="AH149" s="23"/>
      <c r="AI149" s="23">
        <f t="shared" ref="AI149:AJ149" si="209">AI150+AI151+AI152+AI153</f>
        <v>0</v>
      </c>
      <c r="AJ149" s="23">
        <f t="shared" si="209"/>
        <v>0</v>
      </c>
      <c r="AK149" s="23"/>
      <c r="AL149" s="23">
        <f t="shared" ref="AL149:AM149" si="210">AL150+AL151+AL152+AL153</f>
        <v>0</v>
      </c>
      <c r="AM149" s="23">
        <f t="shared" si="210"/>
        <v>0</v>
      </c>
      <c r="AN149" s="23"/>
      <c r="AO149" s="23">
        <f t="shared" ref="AO149" si="211">AO150+AO151+AO152+AO153</f>
        <v>0</v>
      </c>
      <c r="AP149" s="23"/>
      <c r="AQ149" s="21" t="e">
        <f t="shared" ref="AQ149" si="212">AP149/AO149</f>
        <v>#DIV/0!</v>
      </c>
      <c r="AR149" s="33"/>
      <c r="AS149" s="33"/>
    </row>
    <row r="150" spans="1:45" ht="14.4" customHeight="1" x14ac:dyDescent="0.3">
      <c r="A150" s="105"/>
      <c r="B150" s="105"/>
      <c r="C150" s="105"/>
      <c r="D150" s="35" t="s">
        <v>21</v>
      </c>
      <c r="E150" s="23">
        <f t="shared" si="187"/>
        <v>0</v>
      </c>
      <c r="F150" s="23">
        <f t="shared" si="187"/>
        <v>0</v>
      </c>
      <c r="G150" s="23"/>
      <c r="H150" s="23"/>
      <c r="I150" s="23"/>
      <c r="J150" s="21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1"/>
      <c r="AR150" s="79"/>
      <c r="AS150" s="33"/>
    </row>
    <row r="151" spans="1:45" ht="27" customHeight="1" x14ac:dyDescent="0.3">
      <c r="A151" s="105"/>
      <c r="B151" s="105"/>
      <c r="C151" s="105"/>
      <c r="D151" s="35" t="s">
        <v>4</v>
      </c>
      <c r="E151" s="23">
        <f t="shared" si="187"/>
        <v>0</v>
      </c>
      <c r="F151" s="23">
        <f t="shared" si="187"/>
        <v>0</v>
      </c>
      <c r="G151" s="23"/>
      <c r="H151" s="23"/>
      <c r="I151" s="23"/>
      <c r="J151" s="21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4"/>
      <c r="AQ151" s="21" t="e">
        <f t="shared" ref="AQ151" si="213">AP151/AO151</f>
        <v>#DIV/0!</v>
      </c>
      <c r="AR151" s="79"/>
      <c r="AS151" s="79"/>
    </row>
    <row r="152" spans="1:45" ht="14.4" customHeight="1" x14ac:dyDescent="0.3">
      <c r="A152" s="105"/>
      <c r="B152" s="105"/>
      <c r="C152" s="105"/>
      <c r="D152" s="35" t="s">
        <v>44</v>
      </c>
      <c r="E152" s="23">
        <f t="shared" si="187"/>
        <v>0</v>
      </c>
      <c r="F152" s="23">
        <f t="shared" si="187"/>
        <v>0</v>
      </c>
      <c r="G152" s="23"/>
      <c r="H152" s="23"/>
      <c r="I152" s="23"/>
      <c r="J152" s="21"/>
      <c r="K152" s="23"/>
      <c r="L152" s="23"/>
      <c r="M152" s="23"/>
      <c r="N152" s="23"/>
      <c r="O152" s="23"/>
      <c r="P152" s="23"/>
      <c r="Q152" s="23"/>
      <c r="R152" s="23"/>
      <c r="S152" s="21"/>
      <c r="T152" s="23">
        <f>477-477</f>
        <v>0</v>
      </c>
      <c r="U152" s="23"/>
      <c r="V152" s="23"/>
      <c r="W152" s="23"/>
      <c r="X152" s="23"/>
      <c r="Y152" s="21"/>
      <c r="Z152" s="23"/>
      <c r="AA152" s="23"/>
      <c r="AB152" s="21"/>
      <c r="AC152" s="23"/>
      <c r="AD152" s="23"/>
      <c r="AE152" s="21"/>
      <c r="AF152" s="23"/>
      <c r="AG152" s="23"/>
      <c r="AH152" s="23"/>
      <c r="AI152" s="23"/>
      <c r="AJ152" s="23"/>
      <c r="AK152" s="23"/>
      <c r="AL152" s="23"/>
      <c r="AM152" s="23"/>
      <c r="AN152" s="21"/>
      <c r="AO152" s="23"/>
      <c r="AP152" s="24"/>
      <c r="AQ152" s="21"/>
      <c r="AR152" s="79"/>
      <c r="AS152" s="33"/>
    </row>
    <row r="153" spans="1:45" ht="12" customHeight="1" x14ac:dyDescent="0.3">
      <c r="A153" s="105"/>
      <c r="B153" s="105"/>
      <c r="C153" s="105"/>
      <c r="D153" s="35" t="s">
        <v>22</v>
      </c>
      <c r="E153" s="23">
        <f t="shared" si="187"/>
        <v>0</v>
      </c>
      <c r="F153" s="23">
        <f t="shared" si="187"/>
        <v>0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4"/>
      <c r="AQ153" s="24"/>
      <c r="AR153" s="33"/>
      <c r="AS153" s="33"/>
    </row>
    <row r="154" spans="1:45" ht="13.2" customHeight="1" x14ac:dyDescent="0.3">
      <c r="A154" s="108" t="s">
        <v>10</v>
      </c>
      <c r="B154" s="118"/>
      <c r="C154" s="108"/>
      <c r="D154" s="36" t="s">
        <v>3</v>
      </c>
      <c r="E154" s="37">
        <f t="shared" si="187"/>
        <v>892364.2</v>
      </c>
      <c r="F154" s="37">
        <f t="shared" si="187"/>
        <v>563413</v>
      </c>
      <c r="G154" s="37">
        <f>F154/E154*100</f>
        <v>63.137113747951787</v>
      </c>
      <c r="H154" s="37">
        <f>H156+H155+H157+H158</f>
        <v>21300.2</v>
      </c>
      <c r="I154" s="37">
        <f>I156+I155+I157+I158</f>
        <v>20048.599999999999</v>
      </c>
      <c r="J154" s="37">
        <f>I154/H154*100</f>
        <v>94.123998835691665</v>
      </c>
      <c r="K154" s="37">
        <f t="shared" ref="K154:AO154" si="214">K156+K155+K157+K158</f>
        <v>64276.500000000007</v>
      </c>
      <c r="L154" s="37">
        <f t="shared" si="214"/>
        <v>66508.400000000009</v>
      </c>
      <c r="M154" s="37">
        <f t="shared" ref="M154:M157" si="215">L154/K154*100</f>
        <v>103.47234214681882</v>
      </c>
      <c r="N154" s="37">
        <f t="shared" si="214"/>
        <v>61883.5</v>
      </c>
      <c r="O154" s="37">
        <f t="shared" si="214"/>
        <v>60848.399999999994</v>
      </c>
      <c r="P154" s="37">
        <f t="shared" ref="P154:P157" si="216">O154/N154*100</f>
        <v>98.32734089054432</v>
      </c>
      <c r="Q154" s="37">
        <f t="shared" si="214"/>
        <v>67874.600000000006</v>
      </c>
      <c r="R154" s="37">
        <f t="shared" si="214"/>
        <v>67672.2</v>
      </c>
      <c r="S154" s="37">
        <f>R154/Q154*100</f>
        <v>99.701803030883411</v>
      </c>
      <c r="T154" s="37">
        <f t="shared" si="214"/>
        <v>77083.899999999994</v>
      </c>
      <c r="U154" s="37">
        <f t="shared" si="214"/>
        <v>76037.899999999994</v>
      </c>
      <c r="V154" s="37">
        <f>U154/T154*100</f>
        <v>98.64303700253879</v>
      </c>
      <c r="W154" s="37">
        <f t="shared" si="214"/>
        <v>147634.29999999996</v>
      </c>
      <c r="X154" s="37">
        <f t="shared" si="214"/>
        <v>148097.59999999998</v>
      </c>
      <c r="Y154" s="37">
        <f>X154/W154*100</f>
        <v>100.31381596282165</v>
      </c>
      <c r="Z154" s="37">
        <f t="shared" si="214"/>
        <v>62610.200000000004</v>
      </c>
      <c r="AA154" s="37">
        <f t="shared" si="214"/>
        <v>61998.400000000001</v>
      </c>
      <c r="AB154" s="37">
        <f>AA154/Z154*100</f>
        <v>99.02284292335753</v>
      </c>
      <c r="AC154" s="37">
        <f t="shared" si="214"/>
        <v>29735</v>
      </c>
      <c r="AD154" s="37">
        <f t="shared" si="214"/>
        <v>29764.199999999997</v>
      </c>
      <c r="AE154" s="37">
        <f>AD154/AC154*100</f>
        <v>100.09820077349923</v>
      </c>
      <c r="AF154" s="37">
        <f t="shared" si="214"/>
        <v>42809.7</v>
      </c>
      <c r="AG154" s="37">
        <f t="shared" si="214"/>
        <v>32437.3</v>
      </c>
      <c r="AH154" s="37">
        <f>AG154/AF154*100</f>
        <v>75.770911732621343</v>
      </c>
      <c r="AI154" s="37">
        <f t="shared" si="214"/>
        <v>64462.200000000004</v>
      </c>
      <c r="AJ154" s="37">
        <f t="shared" si="214"/>
        <v>0</v>
      </c>
      <c r="AK154" s="37">
        <f>AJ154/AI154*100</f>
        <v>0</v>
      </c>
      <c r="AL154" s="37">
        <f t="shared" si="214"/>
        <v>59419.4</v>
      </c>
      <c r="AM154" s="37">
        <f t="shared" si="214"/>
        <v>0</v>
      </c>
      <c r="AN154" s="37">
        <f>AM154/AL154*100</f>
        <v>0</v>
      </c>
      <c r="AO154" s="37">
        <f t="shared" si="214"/>
        <v>193274.7</v>
      </c>
      <c r="AP154" s="37"/>
      <c r="AQ154" s="22">
        <f t="shared" ref="AQ154:AQ157" si="217">AP154/AO154</f>
        <v>0</v>
      </c>
      <c r="AR154" s="33"/>
      <c r="AS154" s="33"/>
    </row>
    <row r="155" spans="1:45" ht="12.75" customHeight="1" x14ac:dyDescent="0.3">
      <c r="A155" s="108"/>
      <c r="B155" s="108"/>
      <c r="C155" s="108"/>
      <c r="D155" s="36" t="s">
        <v>21</v>
      </c>
      <c r="E155" s="37">
        <f t="shared" si="187"/>
        <v>34060.299999999996</v>
      </c>
      <c r="F155" s="37">
        <f t="shared" si="187"/>
        <v>24694.899999999994</v>
      </c>
      <c r="G155" s="37">
        <f>F155/E155*100</f>
        <v>72.503471783865663</v>
      </c>
      <c r="H155" s="37">
        <f t="shared" ref="H155:I158" si="218">H90+H95+H100+H105+H110+H115+H120+H130+H135+H140+H145+H150</f>
        <v>2727</v>
      </c>
      <c r="I155" s="37">
        <f t="shared" si="218"/>
        <v>2727</v>
      </c>
      <c r="J155" s="37">
        <f>I155/H155*100</f>
        <v>100</v>
      </c>
      <c r="K155" s="37">
        <f t="shared" ref="K155:L158" si="219">K90+K95+K100+K105+K110+K115+K120+K130+K135+K140+K145+K150</f>
        <v>2741.4</v>
      </c>
      <c r="L155" s="37">
        <f t="shared" si="219"/>
        <v>2741.4</v>
      </c>
      <c r="M155" s="37">
        <f t="shared" si="215"/>
        <v>100</v>
      </c>
      <c r="N155" s="37">
        <f t="shared" ref="N155:O158" si="220">N90+N95+N100+N105+N110+N115+N120+N130+N135+N140+N145+N150</f>
        <v>2740.2</v>
      </c>
      <c r="O155" s="37">
        <f t="shared" si="220"/>
        <v>2740.2</v>
      </c>
      <c r="P155" s="37">
        <f t="shared" si="216"/>
        <v>100</v>
      </c>
      <c r="Q155" s="37">
        <f t="shared" ref="Q155:R158" si="221">Q90+Q95+Q100+Q105+Q110+Q115+Q120+Q130+Q135+Q140+Q145+Q150</f>
        <v>2840.8</v>
      </c>
      <c r="R155" s="37">
        <f t="shared" si="221"/>
        <v>2660.2</v>
      </c>
      <c r="S155" s="37">
        <f>R155/Q155*100</f>
        <v>93.642635877217671</v>
      </c>
      <c r="T155" s="37">
        <f t="shared" ref="T155:U158" si="222">T90+T95+T100+T105+T110+T115+T120+T130+T135+T140+T145+T150</f>
        <v>3979.8</v>
      </c>
      <c r="U155" s="37">
        <f t="shared" si="222"/>
        <v>3348.9</v>
      </c>
      <c r="V155" s="37">
        <f>U155/T155*100</f>
        <v>84.147444595205783</v>
      </c>
      <c r="W155" s="37">
        <f t="shared" ref="W155:X158" si="223">W90+W95+W100+W105+W110+W115+W120+W130+W135+W140+W145+W150</f>
        <v>7134.9000000000005</v>
      </c>
      <c r="X155" s="37">
        <f t="shared" si="223"/>
        <v>7587</v>
      </c>
      <c r="Y155" s="37">
        <f>X155/W155*100</f>
        <v>106.33645881512004</v>
      </c>
      <c r="Z155" s="37">
        <f t="shared" ref="Z155:AA158" si="224">Z90+Z95+Z100+Z105+Z110+Z115+Z120+Z130+Z135+Z140+Z145+Z150</f>
        <v>0</v>
      </c>
      <c r="AA155" s="37">
        <f t="shared" si="224"/>
        <v>0</v>
      </c>
      <c r="AB155" s="37"/>
      <c r="AC155" s="37">
        <f t="shared" ref="AC155:AD158" si="225">AC90+AC95+AC100+AC105+AC110+AC115+AC120+AC130+AC135+AC140+AC145+AC150</f>
        <v>728.5</v>
      </c>
      <c r="AD155" s="37">
        <f t="shared" si="225"/>
        <v>250.6</v>
      </c>
      <c r="AE155" s="37">
        <f>AD155/AC155*100</f>
        <v>34.399450926561428</v>
      </c>
      <c r="AF155" s="37">
        <f t="shared" ref="AF155:AG158" si="226">AF90+AF95+AF100+AF105+AF110+AF115+AF120+AF130+AF135+AF140+AF145+AF150</f>
        <v>2921.8</v>
      </c>
      <c r="AG155" s="37">
        <f t="shared" si="226"/>
        <v>2639.6</v>
      </c>
      <c r="AH155" s="37">
        <f>AG155/AF155*100</f>
        <v>90.341570264905187</v>
      </c>
      <c r="AI155" s="37">
        <f t="shared" ref="AI155:AJ158" si="227">AI90+AI95+AI100+AI105+AI110+AI115+AI120+AI130+AI135+AI140+AI145+AI150</f>
        <v>2851.8</v>
      </c>
      <c r="AJ155" s="37">
        <f t="shared" si="227"/>
        <v>0</v>
      </c>
      <c r="AK155" s="37">
        <f>AJ155/AI155*100</f>
        <v>0</v>
      </c>
      <c r="AL155" s="37">
        <f t="shared" ref="AL155:AM158" si="228">AL90+AL95+AL100+AL105+AL110+AL115+AL120+AL130+AL135+AL140+AL145+AL150</f>
        <v>2851.8</v>
      </c>
      <c r="AM155" s="37">
        <f t="shared" si="228"/>
        <v>0</v>
      </c>
      <c r="AN155" s="37">
        <f>AM155/AL155*100</f>
        <v>0</v>
      </c>
      <c r="AO155" s="37">
        <f>AO90+AO95+AO100+AO105+AO110+AO115+AO120+AO130+AO135+AO140+AO145+AO150</f>
        <v>2542.3000000000002</v>
      </c>
      <c r="AP155" s="23"/>
      <c r="AQ155" s="22"/>
      <c r="AR155" s="33"/>
      <c r="AS155" s="33"/>
    </row>
    <row r="156" spans="1:45" ht="23.25" customHeight="1" x14ac:dyDescent="0.3">
      <c r="A156" s="108"/>
      <c r="B156" s="108"/>
      <c r="C156" s="108"/>
      <c r="D156" s="36" t="s">
        <v>4</v>
      </c>
      <c r="E156" s="37">
        <f t="shared" si="187"/>
        <v>727429</v>
      </c>
      <c r="F156" s="37">
        <f t="shared" si="187"/>
        <v>460065.10000000003</v>
      </c>
      <c r="G156" s="37">
        <f t="shared" ref="G156:G157" si="229">F156/E156*100</f>
        <v>63.245361402968548</v>
      </c>
      <c r="H156" s="37">
        <f t="shared" si="218"/>
        <v>15330</v>
      </c>
      <c r="I156" s="37">
        <f t="shared" si="218"/>
        <v>15330</v>
      </c>
      <c r="J156" s="37">
        <f t="shared" ref="J156:J157" si="230">I156/H156*100</f>
        <v>100</v>
      </c>
      <c r="K156" s="37">
        <f t="shared" si="219"/>
        <v>46744.100000000006</v>
      </c>
      <c r="L156" s="37">
        <f t="shared" si="219"/>
        <v>46683.3</v>
      </c>
      <c r="M156" s="37">
        <f t="shared" si="215"/>
        <v>99.869930108826566</v>
      </c>
      <c r="N156" s="37">
        <f t="shared" si="220"/>
        <v>47676.5</v>
      </c>
      <c r="O156" s="37">
        <f t="shared" si="220"/>
        <v>47682.5</v>
      </c>
      <c r="P156" s="37">
        <f t="shared" si="216"/>
        <v>100.01258481641899</v>
      </c>
      <c r="Q156" s="37">
        <f t="shared" si="221"/>
        <v>50339.9</v>
      </c>
      <c r="R156" s="37">
        <f t="shared" si="221"/>
        <v>50339.9</v>
      </c>
      <c r="S156" s="37">
        <f t="shared" ref="S156:S157" si="231">R156/Q156*100</f>
        <v>100</v>
      </c>
      <c r="T156" s="37">
        <f t="shared" si="222"/>
        <v>63812.2</v>
      </c>
      <c r="U156" s="37">
        <f t="shared" si="222"/>
        <v>63812.2</v>
      </c>
      <c r="V156" s="37">
        <f t="shared" ref="V156:V157" si="232">U156/T156*100</f>
        <v>100</v>
      </c>
      <c r="W156" s="37">
        <f t="shared" si="223"/>
        <v>134042.09999999998</v>
      </c>
      <c r="X156" s="37">
        <f t="shared" si="223"/>
        <v>134092.79999999999</v>
      </c>
      <c r="Y156" s="37">
        <f t="shared" ref="Y156:Y157" si="233">X156/W156*100</f>
        <v>100.03782393740475</v>
      </c>
      <c r="Z156" s="37">
        <f t="shared" si="224"/>
        <v>52253.8</v>
      </c>
      <c r="AA156" s="37">
        <f t="shared" si="224"/>
        <v>52315.9</v>
      </c>
      <c r="AB156" s="37">
        <f t="shared" ref="AB156:AB157" si="234">AA156/Z156*100</f>
        <v>100.11884303151157</v>
      </c>
      <c r="AC156" s="37">
        <f t="shared" si="225"/>
        <v>23319.7</v>
      </c>
      <c r="AD156" s="37">
        <f t="shared" si="225"/>
        <v>23989.7</v>
      </c>
      <c r="AE156" s="37">
        <f t="shared" ref="AE156:AE157" si="235">AD156/AC156*100</f>
        <v>102.87310728697196</v>
      </c>
      <c r="AF156" s="37">
        <f t="shared" si="226"/>
        <v>29355.399999999998</v>
      </c>
      <c r="AG156" s="37">
        <f t="shared" si="226"/>
        <v>25818.799999999999</v>
      </c>
      <c r="AH156" s="37">
        <f t="shared" ref="AH156:AH157" si="236">AG156/AF156*100</f>
        <v>87.952472117566103</v>
      </c>
      <c r="AI156" s="37">
        <f t="shared" si="227"/>
        <v>47174</v>
      </c>
      <c r="AJ156" s="37">
        <f t="shared" si="227"/>
        <v>0</v>
      </c>
      <c r="AK156" s="37">
        <f t="shared" ref="AK156:AK157" si="237">AJ156/AI156*100</f>
        <v>0</v>
      </c>
      <c r="AL156" s="37">
        <f t="shared" si="228"/>
        <v>45831.199999999997</v>
      </c>
      <c r="AM156" s="37">
        <f t="shared" si="228"/>
        <v>0</v>
      </c>
      <c r="AN156" s="37">
        <f t="shared" ref="AN156:AN157" si="238">AM156/AL156*100</f>
        <v>0</v>
      </c>
      <c r="AO156" s="37">
        <f>AO91+AO96+AO101+AO106+AO111+AO116+AO121+AO131+AO136+AO141+AO146+AO151</f>
        <v>171550.1</v>
      </c>
      <c r="AP156" s="23"/>
      <c r="AQ156" s="22">
        <f t="shared" si="217"/>
        <v>0</v>
      </c>
      <c r="AR156" s="33"/>
      <c r="AS156" s="33"/>
    </row>
    <row r="157" spans="1:45" x14ac:dyDescent="0.3">
      <c r="A157" s="108"/>
      <c r="B157" s="108"/>
      <c r="C157" s="108"/>
      <c r="D157" s="36" t="s">
        <v>44</v>
      </c>
      <c r="E157" s="37">
        <f t="shared" si="187"/>
        <v>130874.90000000001</v>
      </c>
      <c r="F157" s="37">
        <f t="shared" si="187"/>
        <v>78652.999999999985</v>
      </c>
      <c r="G157" s="37">
        <f t="shared" si="229"/>
        <v>60.097849167410999</v>
      </c>
      <c r="H157" s="37">
        <f t="shared" si="218"/>
        <v>3243.2</v>
      </c>
      <c r="I157" s="37">
        <f t="shared" si="218"/>
        <v>1991.6</v>
      </c>
      <c r="J157" s="37">
        <f t="shared" si="230"/>
        <v>61.408485446472618</v>
      </c>
      <c r="K157" s="37">
        <f t="shared" si="219"/>
        <v>14791</v>
      </c>
      <c r="L157" s="37">
        <f t="shared" si="219"/>
        <v>17083.7</v>
      </c>
      <c r="M157" s="37">
        <f t="shared" si="215"/>
        <v>115.50064228246907</v>
      </c>
      <c r="N157" s="37">
        <f t="shared" si="220"/>
        <v>11466.8</v>
      </c>
      <c r="O157" s="37">
        <f t="shared" si="220"/>
        <v>10425.700000000001</v>
      </c>
      <c r="P157" s="37">
        <f t="shared" si="216"/>
        <v>90.920745107615048</v>
      </c>
      <c r="Q157" s="37">
        <f t="shared" si="221"/>
        <v>14693.900000000001</v>
      </c>
      <c r="R157" s="37">
        <f t="shared" si="221"/>
        <v>14672.099999999999</v>
      </c>
      <c r="S157" s="37">
        <f t="shared" si="231"/>
        <v>99.851639115551322</v>
      </c>
      <c r="T157" s="37">
        <f t="shared" si="222"/>
        <v>9291.9000000000015</v>
      </c>
      <c r="U157" s="37">
        <f t="shared" si="222"/>
        <v>8876.7999999999993</v>
      </c>
      <c r="V157" s="37">
        <f t="shared" si="232"/>
        <v>95.532668237927638</v>
      </c>
      <c r="W157" s="37">
        <f t="shared" si="223"/>
        <v>6457.3</v>
      </c>
      <c r="X157" s="37">
        <f t="shared" si="223"/>
        <v>6417.8</v>
      </c>
      <c r="Y157" s="37">
        <f t="shared" si="233"/>
        <v>99.388289223049881</v>
      </c>
      <c r="Z157" s="37">
        <f t="shared" si="224"/>
        <v>10356.400000000001</v>
      </c>
      <c r="AA157" s="37">
        <f t="shared" si="224"/>
        <v>9682.5</v>
      </c>
      <c r="AB157" s="37">
        <f t="shared" si="234"/>
        <v>93.492912595110255</v>
      </c>
      <c r="AC157" s="37">
        <f t="shared" si="225"/>
        <v>5686.8</v>
      </c>
      <c r="AD157" s="37">
        <f t="shared" si="225"/>
        <v>5523.9</v>
      </c>
      <c r="AE157" s="37">
        <f t="shared" si="235"/>
        <v>97.1354716184849</v>
      </c>
      <c r="AF157" s="37">
        <f t="shared" si="226"/>
        <v>10532.5</v>
      </c>
      <c r="AG157" s="37">
        <f t="shared" si="226"/>
        <v>3978.9</v>
      </c>
      <c r="AH157" s="37">
        <f t="shared" si="236"/>
        <v>37.777355803465461</v>
      </c>
      <c r="AI157" s="37">
        <f t="shared" si="227"/>
        <v>14436.400000000001</v>
      </c>
      <c r="AJ157" s="37">
        <f t="shared" si="227"/>
        <v>0</v>
      </c>
      <c r="AK157" s="37">
        <f t="shared" si="237"/>
        <v>0</v>
      </c>
      <c r="AL157" s="37">
        <f t="shared" si="228"/>
        <v>10736.4</v>
      </c>
      <c r="AM157" s="37">
        <f t="shared" si="228"/>
        <v>0</v>
      </c>
      <c r="AN157" s="37">
        <f t="shared" si="238"/>
        <v>0</v>
      </c>
      <c r="AO157" s="37">
        <f>AO92+AO97+AO102+AO107+AO112+AO117+AO122+AO132+AO137+AO142+AO147+AO152</f>
        <v>19182.300000000003</v>
      </c>
      <c r="AP157" s="23"/>
      <c r="AQ157" s="22">
        <f t="shared" si="217"/>
        <v>0</v>
      </c>
      <c r="AR157" s="33"/>
      <c r="AS157" s="33"/>
    </row>
    <row r="158" spans="1:45" ht="13.8" customHeight="1" x14ac:dyDescent="0.3">
      <c r="A158" s="108"/>
      <c r="B158" s="108"/>
      <c r="C158" s="108"/>
      <c r="D158" s="36" t="s">
        <v>22</v>
      </c>
      <c r="E158" s="37">
        <f t="shared" si="187"/>
        <v>0</v>
      </c>
      <c r="F158" s="37">
        <f t="shared" si="187"/>
        <v>0</v>
      </c>
      <c r="G158" s="37"/>
      <c r="H158" s="37">
        <f t="shared" si="218"/>
        <v>0</v>
      </c>
      <c r="I158" s="37">
        <f t="shared" si="218"/>
        <v>0</v>
      </c>
      <c r="J158" s="37"/>
      <c r="K158" s="37">
        <f t="shared" si="219"/>
        <v>0</v>
      </c>
      <c r="L158" s="37">
        <f t="shared" si="219"/>
        <v>0</v>
      </c>
      <c r="M158" s="37"/>
      <c r="N158" s="37">
        <f t="shared" si="220"/>
        <v>0</v>
      </c>
      <c r="O158" s="37">
        <f t="shared" si="220"/>
        <v>0</v>
      </c>
      <c r="P158" s="37"/>
      <c r="Q158" s="37">
        <f t="shared" si="221"/>
        <v>0</v>
      </c>
      <c r="R158" s="37">
        <f t="shared" si="221"/>
        <v>0</v>
      </c>
      <c r="S158" s="37"/>
      <c r="T158" s="37">
        <f t="shared" si="222"/>
        <v>0</v>
      </c>
      <c r="U158" s="37">
        <f t="shared" si="222"/>
        <v>0</v>
      </c>
      <c r="V158" s="37"/>
      <c r="W158" s="37">
        <f t="shared" si="223"/>
        <v>0</v>
      </c>
      <c r="X158" s="37">
        <f t="shared" si="223"/>
        <v>0</v>
      </c>
      <c r="Y158" s="37"/>
      <c r="Z158" s="37">
        <f t="shared" si="224"/>
        <v>0</v>
      </c>
      <c r="AA158" s="37">
        <f t="shared" si="224"/>
        <v>0</v>
      </c>
      <c r="AB158" s="37"/>
      <c r="AC158" s="37">
        <f t="shared" si="225"/>
        <v>0</v>
      </c>
      <c r="AD158" s="37">
        <f t="shared" si="225"/>
        <v>0</v>
      </c>
      <c r="AE158" s="37"/>
      <c r="AF158" s="37">
        <f t="shared" si="226"/>
        <v>0</v>
      </c>
      <c r="AG158" s="37">
        <f t="shared" si="226"/>
        <v>0</v>
      </c>
      <c r="AH158" s="37"/>
      <c r="AI158" s="37">
        <f t="shared" si="227"/>
        <v>0</v>
      </c>
      <c r="AJ158" s="37">
        <f t="shared" si="227"/>
        <v>0</v>
      </c>
      <c r="AK158" s="37"/>
      <c r="AL158" s="37">
        <f t="shared" si="228"/>
        <v>0</v>
      </c>
      <c r="AM158" s="37">
        <f t="shared" si="228"/>
        <v>0</v>
      </c>
      <c r="AN158" s="37"/>
      <c r="AO158" s="37">
        <f>AO93+AO98+AO103+AO108+AO113+AO118+AO123+AO133+AO138+AO143+AO148+AO153</f>
        <v>0</v>
      </c>
      <c r="AP158" s="23"/>
      <c r="AQ158" s="37"/>
      <c r="AR158" s="33"/>
      <c r="AS158" s="33"/>
    </row>
    <row r="159" spans="1:45" ht="15.6" x14ac:dyDescent="0.3">
      <c r="A159" s="41" t="s">
        <v>63</v>
      </c>
      <c r="B159" s="34" t="s">
        <v>11</v>
      </c>
      <c r="C159" s="34"/>
      <c r="D159" s="34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34"/>
      <c r="AQ159" s="34"/>
      <c r="AR159" s="33"/>
      <c r="AS159" s="33"/>
    </row>
    <row r="160" spans="1:45" ht="14.4" customHeight="1" x14ac:dyDescent="0.3">
      <c r="A160" s="105" t="s">
        <v>64</v>
      </c>
      <c r="B160" s="105" t="s">
        <v>97</v>
      </c>
      <c r="C160" s="105" t="s">
        <v>5</v>
      </c>
      <c r="D160" s="35" t="s">
        <v>3</v>
      </c>
      <c r="E160" s="23">
        <f t="shared" ref="E160:F175" si="239">H160+K160+N160+Q160+T160+W160+Z160+AC160+AF160+AI160+AL160+AO160</f>
        <v>0</v>
      </c>
      <c r="F160" s="23">
        <f t="shared" si="239"/>
        <v>0</v>
      </c>
      <c r="G160" s="23"/>
      <c r="H160" s="23">
        <f>H161+H162+H163+H164</f>
        <v>0</v>
      </c>
      <c r="I160" s="23">
        <f>I161+I162+I163+I164</f>
        <v>0</v>
      </c>
      <c r="J160" s="23"/>
      <c r="K160" s="23">
        <f t="shared" ref="K160:AO160" si="240">K161+K162+K163+K164</f>
        <v>0</v>
      </c>
      <c r="L160" s="23">
        <f t="shared" si="240"/>
        <v>0</v>
      </c>
      <c r="M160" s="23"/>
      <c r="N160" s="23">
        <f t="shared" si="240"/>
        <v>0</v>
      </c>
      <c r="O160" s="23"/>
      <c r="P160" s="21"/>
      <c r="Q160" s="23">
        <f t="shared" si="240"/>
        <v>0</v>
      </c>
      <c r="R160" s="23"/>
      <c r="S160" s="21"/>
      <c r="T160" s="23">
        <f t="shared" si="240"/>
        <v>0</v>
      </c>
      <c r="U160" s="23"/>
      <c r="V160" s="21"/>
      <c r="W160" s="23">
        <f t="shared" si="240"/>
        <v>0</v>
      </c>
      <c r="X160" s="23"/>
      <c r="Y160" s="21"/>
      <c r="Z160" s="23">
        <f t="shared" si="240"/>
        <v>0</v>
      </c>
      <c r="AA160" s="23"/>
      <c r="AB160" s="21"/>
      <c r="AC160" s="23">
        <f t="shared" si="240"/>
        <v>0</v>
      </c>
      <c r="AD160" s="23"/>
      <c r="AE160" s="21"/>
      <c r="AF160" s="23">
        <f t="shared" si="240"/>
        <v>0</v>
      </c>
      <c r="AG160" s="23">
        <f t="shared" si="240"/>
        <v>0</v>
      </c>
      <c r="AH160" s="21"/>
      <c r="AI160" s="23">
        <f t="shared" si="240"/>
        <v>0</v>
      </c>
      <c r="AJ160" s="23">
        <f t="shared" si="240"/>
        <v>0</v>
      </c>
      <c r="AK160" s="23"/>
      <c r="AL160" s="23">
        <f t="shared" si="240"/>
        <v>0</v>
      </c>
      <c r="AM160" s="23"/>
      <c r="AN160" s="23"/>
      <c r="AO160" s="23">
        <f t="shared" si="240"/>
        <v>0</v>
      </c>
      <c r="AP160" s="23"/>
      <c r="AQ160" s="21"/>
      <c r="AR160" s="33"/>
      <c r="AS160" s="33"/>
    </row>
    <row r="161" spans="1:45" ht="12" customHeight="1" x14ac:dyDescent="0.3">
      <c r="A161" s="105"/>
      <c r="B161" s="105"/>
      <c r="C161" s="105"/>
      <c r="D161" s="35" t="s">
        <v>21</v>
      </c>
      <c r="E161" s="23">
        <f t="shared" si="239"/>
        <v>0</v>
      </c>
      <c r="F161" s="23">
        <f t="shared" si="239"/>
        <v>0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1"/>
      <c r="Q161" s="23"/>
      <c r="R161" s="23"/>
      <c r="S161" s="21"/>
      <c r="T161" s="23"/>
      <c r="U161" s="23"/>
      <c r="V161" s="21"/>
      <c r="W161" s="23"/>
      <c r="X161" s="23"/>
      <c r="Y161" s="21"/>
      <c r="Z161" s="23"/>
      <c r="AA161" s="23"/>
      <c r="AB161" s="21"/>
      <c r="AC161" s="23"/>
      <c r="AD161" s="23"/>
      <c r="AE161" s="21"/>
      <c r="AF161" s="23"/>
      <c r="AG161" s="23"/>
      <c r="AH161" s="21"/>
      <c r="AI161" s="23"/>
      <c r="AJ161" s="23"/>
      <c r="AK161" s="23"/>
      <c r="AL161" s="23"/>
      <c r="AM161" s="23"/>
      <c r="AN161" s="23"/>
      <c r="AO161" s="23"/>
      <c r="AP161" s="23"/>
      <c r="AQ161" s="21"/>
      <c r="AR161" s="33"/>
      <c r="AS161" s="33"/>
    </row>
    <row r="162" spans="1:45" ht="24" customHeight="1" x14ac:dyDescent="0.3">
      <c r="A162" s="105"/>
      <c r="B162" s="105"/>
      <c r="C162" s="105"/>
      <c r="D162" s="35" t="s">
        <v>4</v>
      </c>
      <c r="E162" s="23">
        <f t="shared" si="239"/>
        <v>0</v>
      </c>
      <c r="F162" s="23">
        <f t="shared" si="239"/>
        <v>0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1"/>
      <c r="Q162" s="23"/>
      <c r="R162" s="23"/>
      <c r="S162" s="21"/>
      <c r="T162" s="23"/>
      <c r="U162" s="23"/>
      <c r="V162" s="21"/>
      <c r="W162" s="23"/>
      <c r="X162" s="23"/>
      <c r="Y162" s="21"/>
      <c r="Z162" s="23"/>
      <c r="AA162" s="23"/>
      <c r="AB162" s="21"/>
      <c r="AC162" s="23"/>
      <c r="AD162" s="23"/>
      <c r="AE162" s="21"/>
      <c r="AF162" s="23"/>
      <c r="AG162" s="23"/>
      <c r="AH162" s="21"/>
      <c r="AI162" s="23"/>
      <c r="AJ162" s="23"/>
      <c r="AK162" s="23"/>
      <c r="AL162" s="23"/>
      <c r="AM162" s="23"/>
      <c r="AN162" s="23"/>
      <c r="AO162" s="23"/>
      <c r="AP162" s="24"/>
      <c r="AQ162" s="21"/>
      <c r="AR162" s="33"/>
      <c r="AS162" s="33"/>
    </row>
    <row r="163" spans="1:45" x14ac:dyDescent="0.3">
      <c r="A163" s="105"/>
      <c r="B163" s="105"/>
      <c r="C163" s="105"/>
      <c r="D163" s="35" t="s">
        <v>44</v>
      </c>
      <c r="E163" s="23">
        <f t="shared" si="239"/>
        <v>0</v>
      </c>
      <c r="F163" s="23">
        <f t="shared" si="239"/>
        <v>0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1"/>
      <c r="Q163" s="23"/>
      <c r="R163" s="23"/>
      <c r="S163" s="21"/>
      <c r="T163" s="23"/>
      <c r="U163" s="23"/>
      <c r="V163" s="21"/>
      <c r="W163" s="23"/>
      <c r="X163" s="23"/>
      <c r="Y163" s="21"/>
      <c r="Z163" s="23"/>
      <c r="AA163" s="23"/>
      <c r="AB163" s="21"/>
      <c r="AC163" s="23"/>
      <c r="AD163" s="23"/>
      <c r="AE163" s="21"/>
      <c r="AF163" s="23"/>
      <c r="AG163" s="23"/>
      <c r="AH163" s="21"/>
      <c r="AI163" s="23">
        <f>15-15</f>
        <v>0</v>
      </c>
      <c r="AJ163" s="23">
        <v>0</v>
      </c>
      <c r="AK163" s="23"/>
      <c r="AL163" s="23">
        <f>9.8-9.8</f>
        <v>0</v>
      </c>
      <c r="AM163" s="23"/>
      <c r="AN163" s="23"/>
      <c r="AO163" s="23"/>
      <c r="AP163" s="24"/>
      <c r="AQ163" s="21"/>
      <c r="AR163" s="91"/>
      <c r="AS163" s="33"/>
    </row>
    <row r="164" spans="1:45" ht="15.75" customHeight="1" x14ac:dyDescent="0.3">
      <c r="A164" s="105"/>
      <c r="B164" s="105"/>
      <c r="C164" s="105"/>
      <c r="D164" s="35" t="s">
        <v>22</v>
      </c>
      <c r="E164" s="23">
        <f t="shared" si="239"/>
        <v>0</v>
      </c>
      <c r="F164" s="23">
        <f t="shared" si="239"/>
        <v>0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4"/>
      <c r="AQ164" s="24"/>
      <c r="AR164" s="33"/>
      <c r="AS164" s="33"/>
    </row>
    <row r="165" spans="1:45" ht="12.6" customHeight="1" x14ac:dyDescent="0.3">
      <c r="A165" s="105" t="s">
        <v>65</v>
      </c>
      <c r="B165" s="105" t="s">
        <v>98</v>
      </c>
      <c r="C165" s="105" t="s">
        <v>5</v>
      </c>
      <c r="D165" s="35" t="s">
        <v>3</v>
      </c>
      <c r="E165" s="23">
        <f t="shared" si="239"/>
        <v>245.5</v>
      </c>
      <c r="F165" s="23">
        <f t="shared" si="239"/>
        <v>175.8</v>
      </c>
      <c r="G165" s="23">
        <f>F165/E165*100</f>
        <v>71.608961303462323</v>
      </c>
      <c r="H165" s="23">
        <f>H166+H167+H168+H169</f>
        <v>0</v>
      </c>
      <c r="I165" s="23"/>
      <c r="J165" s="21"/>
      <c r="K165" s="23">
        <f t="shared" ref="K165:AO165" si="241">K166+K167+K168+K169</f>
        <v>0</v>
      </c>
      <c r="L165" s="23"/>
      <c r="M165" s="21"/>
      <c r="N165" s="23">
        <f t="shared" si="241"/>
        <v>0</v>
      </c>
      <c r="O165" s="23"/>
      <c r="P165" s="21"/>
      <c r="Q165" s="23">
        <f t="shared" si="241"/>
        <v>0</v>
      </c>
      <c r="R165" s="23"/>
      <c r="S165" s="21"/>
      <c r="T165" s="23">
        <f t="shared" si="241"/>
        <v>0</v>
      </c>
      <c r="U165" s="23"/>
      <c r="V165" s="21"/>
      <c r="W165" s="23">
        <f t="shared" si="241"/>
        <v>0</v>
      </c>
      <c r="X165" s="23"/>
      <c r="Y165" s="21"/>
      <c r="Z165" s="23">
        <f t="shared" si="241"/>
        <v>0</v>
      </c>
      <c r="AA165" s="23"/>
      <c r="AB165" s="21"/>
      <c r="AC165" s="23">
        <f t="shared" si="241"/>
        <v>187.5</v>
      </c>
      <c r="AD165" s="23">
        <f t="shared" si="241"/>
        <v>135.80000000000001</v>
      </c>
      <c r="AE165" s="23">
        <f>AD165/AC165*100</f>
        <v>72.426666666666677</v>
      </c>
      <c r="AF165" s="23">
        <f t="shared" si="241"/>
        <v>58</v>
      </c>
      <c r="AG165" s="23">
        <f t="shared" si="241"/>
        <v>40</v>
      </c>
      <c r="AH165" s="23">
        <f>AG165/AF165*100</f>
        <v>68.965517241379317</v>
      </c>
      <c r="AI165" s="23">
        <f t="shared" si="241"/>
        <v>0</v>
      </c>
      <c r="AJ165" s="23">
        <f t="shared" si="241"/>
        <v>0</v>
      </c>
      <c r="AK165" s="23"/>
      <c r="AL165" s="23">
        <f t="shared" si="241"/>
        <v>0</v>
      </c>
      <c r="AM165" s="23"/>
      <c r="AN165" s="23"/>
      <c r="AO165" s="23">
        <f t="shared" si="241"/>
        <v>0</v>
      </c>
      <c r="AP165" s="23"/>
      <c r="AQ165" s="21"/>
      <c r="AR165" s="33"/>
      <c r="AS165" s="33"/>
    </row>
    <row r="166" spans="1:45" ht="13.2" customHeight="1" x14ac:dyDescent="0.3">
      <c r="A166" s="105"/>
      <c r="B166" s="105"/>
      <c r="C166" s="105"/>
      <c r="D166" s="35" t="s">
        <v>21</v>
      </c>
      <c r="E166" s="23">
        <f t="shared" si="239"/>
        <v>0</v>
      </c>
      <c r="F166" s="23">
        <f t="shared" si="239"/>
        <v>0</v>
      </c>
      <c r="G166" s="23"/>
      <c r="H166" s="23"/>
      <c r="I166" s="23"/>
      <c r="J166" s="21"/>
      <c r="K166" s="23"/>
      <c r="L166" s="23"/>
      <c r="M166" s="21"/>
      <c r="N166" s="23"/>
      <c r="O166" s="23"/>
      <c r="P166" s="21"/>
      <c r="Q166" s="23"/>
      <c r="R166" s="23"/>
      <c r="S166" s="21"/>
      <c r="T166" s="23"/>
      <c r="U166" s="23"/>
      <c r="V166" s="21"/>
      <c r="W166" s="23"/>
      <c r="X166" s="23"/>
      <c r="Y166" s="21"/>
      <c r="Z166" s="23"/>
      <c r="AA166" s="23"/>
      <c r="AB166" s="21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1"/>
      <c r="AR166" s="33"/>
      <c r="AS166" s="33"/>
    </row>
    <row r="167" spans="1:45" ht="24" x14ac:dyDescent="0.3">
      <c r="A167" s="105"/>
      <c r="B167" s="105"/>
      <c r="C167" s="105"/>
      <c r="D167" s="35" t="s">
        <v>4</v>
      </c>
      <c r="E167" s="23">
        <f t="shared" si="239"/>
        <v>0</v>
      </c>
      <c r="F167" s="23">
        <f t="shared" si="239"/>
        <v>0</v>
      </c>
      <c r="G167" s="23"/>
      <c r="H167" s="23"/>
      <c r="I167" s="23"/>
      <c r="J167" s="21"/>
      <c r="K167" s="23"/>
      <c r="L167" s="23"/>
      <c r="M167" s="21"/>
      <c r="N167" s="23"/>
      <c r="O167" s="23"/>
      <c r="P167" s="21"/>
      <c r="Q167" s="23"/>
      <c r="R167" s="23"/>
      <c r="S167" s="21"/>
      <c r="T167" s="23"/>
      <c r="U167" s="23"/>
      <c r="V167" s="21"/>
      <c r="W167" s="23"/>
      <c r="X167" s="23"/>
      <c r="Y167" s="21"/>
      <c r="Z167" s="23"/>
      <c r="AA167" s="23"/>
      <c r="AB167" s="21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4"/>
      <c r="AQ167" s="21"/>
      <c r="AR167" s="33"/>
      <c r="AS167" s="33"/>
    </row>
    <row r="168" spans="1:45" ht="87.6" customHeight="1" x14ac:dyDescent="0.3">
      <c r="A168" s="105"/>
      <c r="B168" s="105"/>
      <c r="C168" s="105"/>
      <c r="D168" s="35" t="s">
        <v>44</v>
      </c>
      <c r="E168" s="23">
        <f t="shared" si="239"/>
        <v>245.5</v>
      </c>
      <c r="F168" s="23">
        <f t="shared" si="239"/>
        <v>175.8</v>
      </c>
      <c r="G168" s="23">
        <f t="shared" ref="G168" si="242">F168/E168*100</f>
        <v>71.608961303462323</v>
      </c>
      <c r="H168" s="23"/>
      <c r="I168" s="23"/>
      <c r="J168" s="21"/>
      <c r="K168" s="23"/>
      <c r="L168" s="23"/>
      <c r="M168" s="21"/>
      <c r="N168" s="23"/>
      <c r="O168" s="23"/>
      <c r="P168" s="21"/>
      <c r="Q168" s="23"/>
      <c r="R168" s="23"/>
      <c r="S168" s="21"/>
      <c r="T168" s="23"/>
      <c r="U168" s="23"/>
      <c r="V168" s="21"/>
      <c r="W168" s="23"/>
      <c r="X168" s="23"/>
      <c r="Y168" s="21"/>
      <c r="Z168" s="23"/>
      <c r="AA168" s="23"/>
      <c r="AB168" s="21"/>
      <c r="AC168" s="23">
        <f>17.5+170</f>
        <v>187.5</v>
      </c>
      <c r="AD168" s="23">
        <v>135.80000000000001</v>
      </c>
      <c r="AE168" s="23">
        <f t="shared" ref="AE168" si="243">AD168/AC168*100</f>
        <v>72.426666666666677</v>
      </c>
      <c r="AF168" s="23">
        <v>58</v>
      </c>
      <c r="AG168" s="23">
        <v>40</v>
      </c>
      <c r="AH168" s="23">
        <f t="shared" ref="AH168" si="244">AG168/AF168*100</f>
        <v>68.965517241379317</v>
      </c>
      <c r="AI168" s="23">
        <v>0</v>
      </c>
      <c r="AJ168" s="23">
        <v>0</v>
      </c>
      <c r="AK168" s="23"/>
      <c r="AL168" s="23"/>
      <c r="AM168" s="23"/>
      <c r="AN168" s="23"/>
      <c r="AO168" s="23"/>
      <c r="AP168" s="24"/>
      <c r="AQ168" s="21"/>
      <c r="AR168" s="87" t="s">
        <v>189</v>
      </c>
      <c r="AS168" s="91" t="s">
        <v>206</v>
      </c>
    </row>
    <row r="169" spans="1:45" ht="13.2" customHeight="1" x14ac:dyDescent="0.3">
      <c r="A169" s="105"/>
      <c r="B169" s="105"/>
      <c r="C169" s="105"/>
      <c r="D169" s="35" t="s">
        <v>22</v>
      </c>
      <c r="E169" s="23">
        <f t="shared" si="239"/>
        <v>0</v>
      </c>
      <c r="F169" s="23">
        <f t="shared" si="239"/>
        <v>0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4"/>
      <c r="AQ169" s="24"/>
      <c r="AR169" s="33"/>
      <c r="AS169" s="33"/>
    </row>
    <row r="170" spans="1:45" ht="13.2" customHeight="1" x14ac:dyDescent="0.3">
      <c r="A170" s="105" t="s">
        <v>66</v>
      </c>
      <c r="B170" s="105" t="s">
        <v>99</v>
      </c>
      <c r="C170" s="105" t="s">
        <v>5</v>
      </c>
      <c r="D170" s="35" t="s">
        <v>3</v>
      </c>
      <c r="E170" s="23">
        <f t="shared" si="239"/>
        <v>250.2</v>
      </c>
      <c r="F170" s="23">
        <f t="shared" si="239"/>
        <v>154</v>
      </c>
      <c r="G170" s="23">
        <f>F170/E170*100</f>
        <v>61.550759392486007</v>
      </c>
      <c r="H170" s="23">
        <f>H171+H172+H173+H174</f>
        <v>0</v>
      </c>
      <c r="I170" s="23"/>
      <c r="J170" s="21"/>
      <c r="K170" s="23">
        <f t="shared" ref="K170:AO170" si="245">K171+K172+K173+K174</f>
        <v>154</v>
      </c>
      <c r="L170" s="23"/>
      <c r="M170" s="21"/>
      <c r="N170" s="23">
        <f t="shared" si="245"/>
        <v>0</v>
      </c>
      <c r="O170" s="23">
        <f t="shared" si="245"/>
        <v>154</v>
      </c>
      <c r="P170" s="23"/>
      <c r="Q170" s="23">
        <f t="shared" si="245"/>
        <v>0</v>
      </c>
      <c r="R170" s="23"/>
      <c r="S170" s="21"/>
      <c r="T170" s="23">
        <f t="shared" si="245"/>
        <v>0</v>
      </c>
      <c r="U170" s="23">
        <f t="shared" si="245"/>
        <v>0</v>
      </c>
      <c r="V170" s="23"/>
      <c r="W170" s="23">
        <f t="shared" si="245"/>
        <v>0</v>
      </c>
      <c r="X170" s="23">
        <f t="shared" si="245"/>
        <v>0</v>
      </c>
      <c r="Y170" s="21"/>
      <c r="Z170" s="23">
        <f t="shared" si="245"/>
        <v>0</v>
      </c>
      <c r="AA170" s="23"/>
      <c r="AB170" s="21"/>
      <c r="AC170" s="23">
        <f t="shared" si="245"/>
        <v>0</v>
      </c>
      <c r="AD170" s="23"/>
      <c r="AE170" s="21"/>
      <c r="AF170" s="23">
        <f t="shared" si="245"/>
        <v>0</v>
      </c>
      <c r="AG170" s="23">
        <f t="shared" si="245"/>
        <v>0</v>
      </c>
      <c r="AH170" s="23"/>
      <c r="AI170" s="23">
        <f t="shared" si="245"/>
        <v>0</v>
      </c>
      <c r="AJ170" s="23">
        <f t="shared" si="245"/>
        <v>0</v>
      </c>
      <c r="AK170" s="23" t="e">
        <f>AJ170/AI170*100</f>
        <v>#DIV/0!</v>
      </c>
      <c r="AL170" s="23">
        <f t="shared" si="245"/>
        <v>0</v>
      </c>
      <c r="AM170" s="23">
        <f t="shared" si="245"/>
        <v>0</v>
      </c>
      <c r="AN170" s="21"/>
      <c r="AO170" s="23">
        <f t="shared" si="245"/>
        <v>96.2</v>
      </c>
      <c r="AP170" s="23"/>
      <c r="AQ170" s="21">
        <f t="shared" ref="AQ170:AQ183" si="246">AP170/AO170</f>
        <v>0</v>
      </c>
      <c r="AR170" s="33"/>
      <c r="AS170" s="33"/>
    </row>
    <row r="171" spans="1:45" x14ac:dyDescent="0.3">
      <c r="A171" s="105"/>
      <c r="B171" s="105"/>
      <c r="C171" s="105"/>
      <c r="D171" s="35" t="s">
        <v>21</v>
      </c>
      <c r="E171" s="23">
        <f t="shared" si="239"/>
        <v>0</v>
      </c>
      <c r="F171" s="23">
        <f t="shared" si="239"/>
        <v>0</v>
      </c>
      <c r="G171" s="23"/>
      <c r="H171" s="23"/>
      <c r="I171" s="23"/>
      <c r="J171" s="21"/>
      <c r="K171" s="23"/>
      <c r="L171" s="23"/>
      <c r="M171" s="21"/>
      <c r="N171" s="23"/>
      <c r="O171" s="23"/>
      <c r="P171" s="23"/>
      <c r="Q171" s="23"/>
      <c r="R171" s="23"/>
      <c r="S171" s="21"/>
      <c r="T171" s="23"/>
      <c r="U171" s="23"/>
      <c r="V171" s="23"/>
      <c r="W171" s="23"/>
      <c r="X171" s="23"/>
      <c r="Y171" s="21"/>
      <c r="Z171" s="23"/>
      <c r="AA171" s="23"/>
      <c r="AB171" s="21"/>
      <c r="AC171" s="23"/>
      <c r="AD171" s="23"/>
      <c r="AE171" s="21"/>
      <c r="AF171" s="23"/>
      <c r="AG171" s="23"/>
      <c r="AH171" s="23"/>
      <c r="AI171" s="23"/>
      <c r="AJ171" s="23"/>
      <c r="AK171" s="23"/>
      <c r="AL171" s="23"/>
      <c r="AM171" s="23"/>
      <c r="AN171" s="21"/>
      <c r="AO171" s="23"/>
      <c r="AP171" s="23"/>
      <c r="AQ171" s="21"/>
      <c r="AR171" s="33"/>
      <c r="AS171" s="33"/>
    </row>
    <row r="172" spans="1:45" ht="24" x14ac:dyDescent="0.3">
      <c r="A172" s="105"/>
      <c r="B172" s="105"/>
      <c r="C172" s="105"/>
      <c r="D172" s="35" t="s">
        <v>4</v>
      </c>
      <c r="E172" s="23">
        <f t="shared" si="239"/>
        <v>0</v>
      </c>
      <c r="F172" s="23">
        <f t="shared" si="239"/>
        <v>0</v>
      </c>
      <c r="G172" s="23"/>
      <c r="H172" s="23"/>
      <c r="I172" s="23"/>
      <c r="J172" s="21"/>
      <c r="K172" s="23"/>
      <c r="L172" s="23"/>
      <c r="M172" s="21"/>
      <c r="N172" s="23"/>
      <c r="O172" s="23"/>
      <c r="P172" s="23"/>
      <c r="Q172" s="23"/>
      <c r="R172" s="23"/>
      <c r="S172" s="21"/>
      <c r="T172" s="23"/>
      <c r="U172" s="23"/>
      <c r="V172" s="23"/>
      <c r="W172" s="23"/>
      <c r="X172" s="23"/>
      <c r="Y172" s="21"/>
      <c r="Z172" s="23"/>
      <c r="AA172" s="23"/>
      <c r="AB172" s="21"/>
      <c r="AC172" s="23"/>
      <c r="AD172" s="23"/>
      <c r="AE172" s="21"/>
      <c r="AF172" s="23"/>
      <c r="AG172" s="23"/>
      <c r="AH172" s="23"/>
      <c r="AI172" s="23"/>
      <c r="AJ172" s="23"/>
      <c r="AK172" s="23"/>
      <c r="AL172" s="23"/>
      <c r="AM172" s="23"/>
      <c r="AN172" s="21"/>
      <c r="AO172" s="23"/>
      <c r="AP172" s="24"/>
      <c r="AQ172" s="21"/>
      <c r="AR172" s="33"/>
      <c r="AS172" s="33"/>
    </row>
    <row r="173" spans="1:45" ht="38.4" customHeight="1" x14ac:dyDescent="0.3">
      <c r="A173" s="105"/>
      <c r="B173" s="105"/>
      <c r="C173" s="105"/>
      <c r="D173" s="35" t="s">
        <v>44</v>
      </c>
      <c r="E173" s="23">
        <f t="shared" si="239"/>
        <v>250.2</v>
      </c>
      <c r="F173" s="23">
        <f t="shared" si="239"/>
        <v>154</v>
      </c>
      <c r="G173" s="23">
        <f t="shared" ref="G173" si="247">F173/E173*100</f>
        <v>61.550759392486007</v>
      </c>
      <c r="H173" s="23"/>
      <c r="I173" s="23"/>
      <c r="J173" s="21"/>
      <c r="K173" s="23">
        <v>154</v>
      </c>
      <c r="L173" s="23"/>
      <c r="M173" s="21"/>
      <c r="N173" s="23">
        <f>106-106</f>
        <v>0</v>
      </c>
      <c r="O173" s="23">
        <v>154</v>
      </c>
      <c r="P173" s="23"/>
      <c r="Q173" s="23"/>
      <c r="R173" s="23"/>
      <c r="S173" s="21"/>
      <c r="T173" s="23"/>
      <c r="U173" s="23"/>
      <c r="V173" s="23"/>
      <c r="W173" s="23"/>
      <c r="X173" s="23"/>
      <c r="Y173" s="21"/>
      <c r="Z173" s="23"/>
      <c r="AA173" s="23"/>
      <c r="AB173" s="21"/>
      <c r="AC173" s="23"/>
      <c r="AD173" s="23"/>
      <c r="AE173" s="21"/>
      <c r="AF173" s="23"/>
      <c r="AG173" s="23"/>
      <c r="AH173" s="23"/>
      <c r="AI173" s="23"/>
      <c r="AJ173" s="23"/>
      <c r="AK173" s="23" t="e">
        <f t="shared" ref="AK173" si="248">AJ173/AI173*100</f>
        <v>#DIV/0!</v>
      </c>
      <c r="AL173" s="23"/>
      <c r="AM173" s="23"/>
      <c r="AN173" s="21"/>
      <c r="AO173" s="23">
        <v>96.2</v>
      </c>
      <c r="AP173" s="24"/>
      <c r="AQ173" s="21">
        <f t="shared" si="246"/>
        <v>0</v>
      </c>
      <c r="AR173" s="91" t="s">
        <v>161</v>
      </c>
      <c r="AS173" s="91"/>
    </row>
    <row r="174" spans="1:45" ht="12.6" customHeight="1" x14ac:dyDescent="0.3">
      <c r="A174" s="105"/>
      <c r="B174" s="105"/>
      <c r="C174" s="105"/>
      <c r="D174" s="35" t="s">
        <v>22</v>
      </c>
      <c r="E174" s="23">
        <f t="shared" si="239"/>
        <v>0</v>
      </c>
      <c r="F174" s="23">
        <f t="shared" si="239"/>
        <v>0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4"/>
      <c r="AQ174" s="24"/>
      <c r="AR174" s="33"/>
      <c r="AS174" s="33"/>
    </row>
    <row r="175" spans="1:45" ht="12" customHeight="1" x14ac:dyDescent="0.3">
      <c r="A175" s="105" t="s">
        <v>67</v>
      </c>
      <c r="B175" s="105" t="s">
        <v>151</v>
      </c>
      <c r="C175" s="105" t="s">
        <v>5</v>
      </c>
      <c r="D175" s="35" t="s">
        <v>3</v>
      </c>
      <c r="E175" s="23">
        <f t="shared" si="239"/>
        <v>16866.2</v>
      </c>
      <c r="F175" s="23">
        <f t="shared" si="239"/>
        <v>10170.6</v>
      </c>
      <c r="G175" s="23">
        <f>F175/E175*100</f>
        <v>60.301668425608611</v>
      </c>
      <c r="H175" s="23">
        <f>H176+H177+H178+H179</f>
        <v>804</v>
      </c>
      <c r="I175" s="23">
        <f>I176+I177+I178+I179</f>
        <v>1300</v>
      </c>
      <c r="J175" s="23">
        <f>I175/H175*100</f>
        <v>161.69154228855723</v>
      </c>
      <c r="K175" s="23">
        <f t="shared" ref="K175:AO175" si="249">K176+K177+K178+K179</f>
        <v>1582.8</v>
      </c>
      <c r="L175" s="23">
        <f t="shared" si="249"/>
        <v>1582.8</v>
      </c>
      <c r="M175" s="23">
        <f t="shared" ref="M175:M178" si="250">L175/K175*100</f>
        <v>100</v>
      </c>
      <c r="N175" s="23">
        <f t="shared" si="249"/>
        <v>1848.8</v>
      </c>
      <c r="O175" s="23">
        <f t="shared" si="249"/>
        <v>1352.8000000000002</v>
      </c>
      <c r="P175" s="23">
        <f t="shared" ref="P175:P178" si="251">O175/N175*100</f>
        <v>73.171787105149306</v>
      </c>
      <c r="Q175" s="23">
        <f t="shared" si="249"/>
        <v>285</v>
      </c>
      <c r="R175" s="23">
        <f t="shared" si="249"/>
        <v>285</v>
      </c>
      <c r="S175" s="23">
        <f>R175/Q175*100</f>
        <v>100</v>
      </c>
      <c r="T175" s="23">
        <f t="shared" si="249"/>
        <v>1600</v>
      </c>
      <c r="U175" s="23">
        <f t="shared" si="249"/>
        <v>1600</v>
      </c>
      <c r="V175" s="23">
        <f>U175/T175*100</f>
        <v>100</v>
      </c>
      <c r="W175" s="23">
        <f t="shared" si="249"/>
        <v>500</v>
      </c>
      <c r="X175" s="23">
        <f t="shared" si="249"/>
        <v>500</v>
      </c>
      <c r="Y175" s="23">
        <f>X175/W175*100</f>
        <v>100</v>
      </c>
      <c r="Z175" s="23">
        <f t="shared" si="249"/>
        <v>1600</v>
      </c>
      <c r="AA175" s="23">
        <f t="shared" si="249"/>
        <v>1600</v>
      </c>
      <c r="AB175" s="23">
        <f>AA175/Z175*100</f>
        <v>100</v>
      </c>
      <c r="AC175" s="23">
        <f t="shared" si="249"/>
        <v>1307.5999999999999</v>
      </c>
      <c r="AD175" s="23">
        <f t="shared" si="249"/>
        <v>950</v>
      </c>
      <c r="AE175" s="23">
        <f>AD175/AC175*100</f>
        <v>72.652187213215058</v>
      </c>
      <c r="AF175" s="23">
        <f t="shared" si="249"/>
        <v>1241.5999999999999</v>
      </c>
      <c r="AG175" s="23">
        <f t="shared" si="249"/>
        <v>1000</v>
      </c>
      <c r="AH175" s="23">
        <f>AG175/AF175*100</f>
        <v>80.541237113402062</v>
      </c>
      <c r="AI175" s="23">
        <f t="shared" si="249"/>
        <v>2128.8000000000002</v>
      </c>
      <c r="AJ175" s="23">
        <f t="shared" si="249"/>
        <v>0</v>
      </c>
      <c r="AK175" s="23">
        <f>AJ175/AI175*100</f>
        <v>0</v>
      </c>
      <c r="AL175" s="23">
        <f t="shared" si="249"/>
        <v>1962.8</v>
      </c>
      <c r="AM175" s="23">
        <f t="shared" si="249"/>
        <v>0</v>
      </c>
      <c r="AN175" s="23">
        <f>AM175/AL175*100</f>
        <v>0</v>
      </c>
      <c r="AO175" s="23">
        <f t="shared" si="249"/>
        <v>2004.8000000000002</v>
      </c>
      <c r="AP175" s="23"/>
      <c r="AQ175" s="21">
        <f t="shared" si="246"/>
        <v>0</v>
      </c>
      <c r="AR175" s="33"/>
      <c r="AS175" s="33"/>
    </row>
    <row r="176" spans="1:45" ht="13.2" customHeight="1" x14ac:dyDescent="0.3">
      <c r="A176" s="105"/>
      <c r="B176" s="105"/>
      <c r="C176" s="105"/>
      <c r="D176" s="35" t="s">
        <v>21</v>
      </c>
      <c r="E176" s="23">
        <f t="shared" ref="E176:F194" si="252">H176+K176+N176+Q176+T176+W176+Z176+AC176+AF176+AI176+AL176+AO176</f>
        <v>0</v>
      </c>
      <c r="F176" s="23">
        <f t="shared" si="252"/>
        <v>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1"/>
      <c r="AR176" s="33"/>
      <c r="AS176" s="33"/>
    </row>
    <row r="177" spans="1:45" ht="24" x14ac:dyDescent="0.3">
      <c r="A177" s="105"/>
      <c r="B177" s="105"/>
      <c r="C177" s="105"/>
      <c r="D177" s="35" t="s">
        <v>4</v>
      </c>
      <c r="E177" s="23">
        <f t="shared" si="252"/>
        <v>0</v>
      </c>
      <c r="F177" s="23">
        <f t="shared" si="252"/>
        <v>0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4"/>
      <c r="AQ177" s="21"/>
      <c r="AR177" s="33"/>
      <c r="AS177" s="33"/>
    </row>
    <row r="178" spans="1:45" ht="52.2" customHeight="1" x14ac:dyDescent="0.3">
      <c r="A178" s="105"/>
      <c r="B178" s="105"/>
      <c r="C178" s="105"/>
      <c r="D178" s="35" t="s">
        <v>44</v>
      </c>
      <c r="E178" s="23">
        <f t="shared" si="252"/>
        <v>16866.2</v>
      </c>
      <c r="F178" s="23">
        <f t="shared" si="252"/>
        <v>10170.6</v>
      </c>
      <c r="G178" s="23">
        <f t="shared" ref="G178" si="253">F178/E178*100</f>
        <v>60.301668425608611</v>
      </c>
      <c r="H178" s="23">
        <v>804</v>
      </c>
      <c r="I178" s="23">
        <v>1300</v>
      </c>
      <c r="J178" s="23">
        <f t="shared" ref="J178" si="254">I178/H178*100</f>
        <v>161.69154228855723</v>
      </c>
      <c r="K178" s="23">
        <v>1582.8</v>
      </c>
      <c r="L178" s="23">
        <v>1582.8</v>
      </c>
      <c r="M178" s="23">
        <f t="shared" si="250"/>
        <v>100</v>
      </c>
      <c r="N178" s="23">
        <v>1848.8</v>
      </c>
      <c r="O178" s="23">
        <v>1352.8000000000002</v>
      </c>
      <c r="P178" s="23">
        <f t="shared" si="251"/>
        <v>73.171787105149306</v>
      </c>
      <c r="Q178" s="23">
        <v>285</v>
      </c>
      <c r="R178" s="23">
        <v>285</v>
      </c>
      <c r="S178" s="23">
        <f t="shared" ref="S178" si="255">R178/Q178*100</f>
        <v>100</v>
      </c>
      <c r="T178" s="23">
        <v>1600</v>
      </c>
      <c r="U178" s="23">
        <v>1600</v>
      </c>
      <c r="V178" s="23">
        <f t="shared" ref="V178" si="256">U178/T178*100</f>
        <v>100</v>
      </c>
      <c r="W178" s="23">
        <v>500</v>
      </c>
      <c r="X178" s="23">
        <v>500</v>
      </c>
      <c r="Y178" s="23">
        <f t="shared" ref="Y178" si="257">X178/W178*100</f>
        <v>100</v>
      </c>
      <c r="Z178" s="23">
        <v>1600</v>
      </c>
      <c r="AA178" s="23">
        <v>1600</v>
      </c>
      <c r="AB178" s="23">
        <f t="shared" ref="AB178" si="258">AA178/Z178*100</f>
        <v>100</v>
      </c>
      <c r="AC178" s="23">
        <f>1807.6-500</f>
        <v>1307.5999999999999</v>
      </c>
      <c r="AD178" s="23">
        <v>950</v>
      </c>
      <c r="AE178" s="23">
        <f t="shared" ref="AE178" si="259">AD178/AC178*100</f>
        <v>72.652187213215058</v>
      </c>
      <c r="AF178" s="23">
        <f>1796.6-555</f>
        <v>1241.5999999999999</v>
      </c>
      <c r="AG178" s="23">
        <v>1000</v>
      </c>
      <c r="AH178" s="23">
        <f t="shared" ref="AH178" si="260">AG178/AF178*100</f>
        <v>80.541237113402062</v>
      </c>
      <c r="AI178" s="23">
        <v>2128.8000000000002</v>
      </c>
      <c r="AJ178" s="23"/>
      <c r="AK178" s="23">
        <f t="shared" ref="AK178" si="261">AJ178/AI178*100</f>
        <v>0</v>
      </c>
      <c r="AL178" s="23">
        <v>1962.8</v>
      </c>
      <c r="AM178" s="23"/>
      <c r="AN178" s="23"/>
      <c r="AO178" s="23">
        <f>1510.9+493.4+0.5</f>
        <v>2004.8000000000002</v>
      </c>
      <c r="AP178" s="24"/>
      <c r="AQ178" s="21">
        <f t="shared" si="246"/>
        <v>0</v>
      </c>
      <c r="AR178" s="91" t="s">
        <v>183</v>
      </c>
      <c r="AS178" s="91" t="s">
        <v>210</v>
      </c>
    </row>
    <row r="179" spans="1:45" ht="13.8" customHeight="1" x14ac:dyDescent="0.3">
      <c r="A179" s="105"/>
      <c r="B179" s="105"/>
      <c r="C179" s="105"/>
      <c r="D179" s="35" t="s">
        <v>22</v>
      </c>
      <c r="E179" s="23">
        <f t="shared" si="252"/>
        <v>0</v>
      </c>
      <c r="F179" s="23">
        <f t="shared" si="252"/>
        <v>0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4"/>
      <c r="AQ179" s="24"/>
      <c r="AR179" s="33"/>
      <c r="AS179" s="33"/>
    </row>
    <row r="180" spans="1:45" ht="13.2" customHeight="1" x14ac:dyDescent="0.3">
      <c r="A180" s="105" t="s">
        <v>68</v>
      </c>
      <c r="B180" s="105" t="s">
        <v>100</v>
      </c>
      <c r="C180" s="105" t="s">
        <v>5</v>
      </c>
      <c r="D180" s="35" t="s">
        <v>3</v>
      </c>
      <c r="E180" s="23">
        <f t="shared" si="252"/>
        <v>32684.9</v>
      </c>
      <c r="F180" s="23">
        <f t="shared" si="252"/>
        <v>22694.5</v>
      </c>
      <c r="G180" s="23">
        <f>F180/E180*100</f>
        <v>69.434203561889433</v>
      </c>
      <c r="H180" s="23">
        <f>H181+H182+H183+H184</f>
        <v>847.6</v>
      </c>
      <c r="I180" s="23">
        <f>I181+I182+I183+I184</f>
        <v>559.29999999999995</v>
      </c>
      <c r="J180" s="23">
        <f>I180/H180*100</f>
        <v>65.98631429919773</v>
      </c>
      <c r="K180" s="23">
        <f t="shared" ref="K180:AO180" si="262">K181+K182+K183+K184</f>
        <v>4601.8999999999996</v>
      </c>
      <c r="L180" s="23">
        <f t="shared" si="262"/>
        <v>3275.1</v>
      </c>
      <c r="M180" s="23">
        <f t="shared" ref="M180:M183" si="263">L180/K180*100</f>
        <v>71.168430430908984</v>
      </c>
      <c r="N180" s="23">
        <f t="shared" si="262"/>
        <v>3529.2</v>
      </c>
      <c r="O180" s="23">
        <f t="shared" si="262"/>
        <v>2865.5</v>
      </c>
      <c r="P180" s="23">
        <f t="shared" ref="P180:P183" si="264">O180/N180*100</f>
        <v>81.194038308965204</v>
      </c>
      <c r="Q180" s="23">
        <f t="shared" si="262"/>
        <v>2732.1</v>
      </c>
      <c r="R180" s="23">
        <f t="shared" si="262"/>
        <v>2892.3999999999996</v>
      </c>
      <c r="S180" s="23">
        <f>R180/Q180*100</f>
        <v>105.86728157827312</v>
      </c>
      <c r="T180" s="23">
        <f t="shared" si="262"/>
        <v>2030.3</v>
      </c>
      <c r="U180" s="23">
        <f t="shared" si="262"/>
        <v>1946.3</v>
      </c>
      <c r="V180" s="23">
        <f>U180/T180*100</f>
        <v>95.862680392060284</v>
      </c>
      <c r="W180" s="23">
        <f t="shared" si="262"/>
        <v>3251.9</v>
      </c>
      <c r="X180" s="23">
        <f t="shared" si="262"/>
        <v>2511.6</v>
      </c>
      <c r="Y180" s="23">
        <f>X180/W180*100</f>
        <v>77.234847320028294</v>
      </c>
      <c r="Z180" s="23">
        <f t="shared" si="262"/>
        <v>3439.9</v>
      </c>
      <c r="AA180" s="23">
        <f t="shared" si="262"/>
        <v>3450.3</v>
      </c>
      <c r="AB180" s="23">
        <f>AA180/Z180*100</f>
        <v>100.30233437018519</v>
      </c>
      <c r="AC180" s="23">
        <f t="shared" si="262"/>
        <v>2033.3999999999999</v>
      </c>
      <c r="AD180" s="23">
        <f t="shared" si="262"/>
        <v>2843.3999999999996</v>
      </c>
      <c r="AE180" s="23">
        <f>AD180/AC180*100</f>
        <v>139.83475951608145</v>
      </c>
      <c r="AF180" s="23">
        <f t="shared" si="262"/>
        <v>2779.7000000000003</v>
      </c>
      <c r="AG180" s="23">
        <f t="shared" si="262"/>
        <v>2350.6000000000004</v>
      </c>
      <c r="AH180" s="23">
        <f>AG180/AF180*100</f>
        <v>84.563082347015879</v>
      </c>
      <c r="AI180" s="23">
        <f t="shared" si="262"/>
        <v>2087.8000000000002</v>
      </c>
      <c r="AJ180" s="23">
        <f t="shared" si="262"/>
        <v>0</v>
      </c>
      <c r="AK180" s="23">
        <f>AJ180/AI180*100</f>
        <v>0</v>
      </c>
      <c r="AL180" s="23">
        <f t="shared" si="262"/>
        <v>1837.3</v>
      </c>
      <c r="AM180" s="23">
        <f t="shared" si="262"/>
        <v>0</v>
      </c>
      <c r="AN180" s="23">
        <f>AM180/AL180*100</f>
        <v>0</v>
      </c>
      <c r="AO180" s="23">
        <f t="shared" si="262"/>
        <v>3513.7999999999997</v>
      </c>
      <c r="AP180" s="23"/>
      <c r="AQ180" s="21">
        <f t="shared" si="246"/>
        <v>0</v>
      </c>
      <c r="AR180" s="33"/>
      <c r="AS180" s="33"/>
    </row>
    <row r="181" spans="1:45" x14ac:dyDescent="0.3">
      <c r="A181" s="105"/>
      <c r="B181" s="105"/>
      <c r="C181" s="105"/>
      <c r="D181" s="35" t="s">
        <v>21</v>
      </c>
      <c r="E181" s="23">
        <f t="shared" si="252"/>
        <v>0</v>
      </c>
      <c r="F181" s="23">
        <f t="shared" si="252"/>
        <v>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1"/>
      <c r="AR181" s="33"/>
      <c r="AS181" s="33"/>
    </row>
    <row r="182" spans="1:45" ht="36" x14ac:dyDescent="0.3">
      <c r="A182" s="105"/>
      <c r="B182" s="105"/>
      <c r="C182" s="105"/>
      <c r="D182" s="35" t="s">
        <v>4</v>
      </c>
      <c r="E182" s="23">
        <f t="shared" si="252"/>
        <v>1563</v>
      </c>
      <c r="F182" s="23">
        <f t="shared" si="252"/>
        <v>1015.8</v>
      </c>
      <c r="G182" s="23">
        <f t="shared" ref="G182:G183" si="265">F182/E182*100</f>
        <v>64.990403071017269</v>
      </c>
      <c r="H182" s="23">
        <v>59.6</v>
      </c>
      <c r="I182" s="23">
        <v>7.3</v>
      </c>
      <c r="J182" s="23">
        <f t="shared" ref="J182:J183" si="266">I182/H182*100</f>
        <v>12.248322147651006</v>
      </c>
      <c r="K182" s="23">
        <v>147</v>
      </c>
      <c r="L182" s="23">
        <v>101.4</v>
      </c>
      <c r="M182" s="23">
        <f t="shared" si="263"/>
        <v>68.979591836734699</v>
      </c>
      <c r="N182" s="23">
        <v>255.9</v>
      </c>
      <c r="O182" s="23">
        <v>200.4</v>
      </c>
      <c r="P182" s="23">
        <f t="shared" si="264"/>
        <v>78.311840562719809</v>
      </c>
      <c r="Q182" s="23">
        <v>170</v>
      </c>
      <c r="R182" s="23">
        <v>134.19999999999999</v>
      </c>
      <c r="S182" s="23">
        <f t="shared" ref="S182:S183" si="267">R182/Q182*100</f>
        <v>78.941176470588232</v>
      </c>
      <c r="T182" s="23">
        <v>158</v>
      </c>
      <c r="U182" s="23">
        <v>93.6</v>
      </c>
      <c r="V182" s="23">
        <f t="shared" ref="V182:V183" si="268">U182/T182*100</f>
        <v>59.24050632911392</v>
      </c>
      <c r="W182" s="23">
        <v>105</v>
      </c>
      <c r="X182" s="23">
        <v>156.1</v>
      </c>
      <c r="Y182" s="23">
        <f t="shared" ref="Y182:Y183" si="269">X182/W182*100</f>
        <v>148.66666666666666</v>
      </c>
      <c r="Z182" s="23">
        <v>102</v>
      </c>
      <c r="AA182" s="23">
        <v>110.3</v>
      </c>
      <c r="AB182" s="23">
        <f t="shared" ref="AB182:AB183" si="270">AA182/Z182*100</f>
        <v>108.13725490196077</v>
      </c>
      <c r="AC182" s="23">
        <v>87</v>
      </c>
      <c r="AD182" s="23">
        <v>100.2</v>
      </c>
      <c r="AE182" s="23">
        <f t="shared" ref="AE182:AE183" si="271">AD182/AC182*100</f>
        <v>115.17241379310346</v>
      </c>
      <c r="AF182" s="23">
        <v>149</v>
      </c>
      <c r="AG182" s="23">
        <v>112.3</v>
      </c>
      <c r="AH182" s="23">
        <f t="shared" ref="AH182:AH183" si="272">AG182/AF182*100</f>
        <v>75.369127516778519</v>
      </c>
      <c r="AI182" s="23">
        <v>94</v>
      </c>
      <c r="AJ182" s="23"/>
      <c r="AK182" s="23">
        <f t="shared" ref="AK182" si="273">AJ182/AI182*100</f>
        <v>0</v>
      </c>
      <c r="AL182" s="23">
        <v>87</v>
      </c>
      <c r="AM182" s="23"/>
      <c r="AN182" s="23"/>
      <c r="AO182" s="23">
        <v>148.5</v>
      </c>
      <c r="AP182" s="24"/>
      <c r="AQ182" s="21"/>
      <c r="AR182" s="91" t="s">
        <v>184</v>
      </c>
      <c r="AS182" s="59" t="s">
        <v>207</v>
      </c>
    </row>
    <row r="183" spans="1:45" ht="84" x14ac:dyDescent="0.3">
      <c r="A183" s="105"/>
      <c r="B183" s="105"/>
      <c r="C183" s="105"/>
      <c r="D183" s="35" t="s">
        <v>44</v>
      </c>
      <c r="E183" s="23">
        <f t="shared" si="252"/>
        <v>31121.899999999998</v>
      </c>
      <c r="F183" s="23">
        <f t="shared" si="252"/>
        <v>21678.7</v>
      </c>
      <c r="G183" s="23">
        <f t="shared" si="265"/>
        <v>69.65737953017009</v>
      </c>
      <c r="H183" s="23">
        <v>788</v>
      </c>
      <c r="I183" s="23">
        <v>552</v>
      </c>
      <c r="J183" s="23">
        <f t="shared" si="266"/>
        <v>70.050761421319791</v>
      </c>
      <c r="K183" s="23">
        <v>4454.8999999999996</v>
      </c>
      <c r="L183" s="23">
        <v>3173.7</v>
      </c>
      <c r="M183" s="23">
        <f t="shared" si="263"/>
        <v>71.240656355922695</v>
      </c>
      <c r="N183" s="23">
        <f>3241.1+32.2</f>
        <v>3273.2999999999997</v>
      </c>
      <c r="O183" s="23">
        <v>2665.1</v>
      </c>
      <c r="P183" s="23">
        <f t="shared" si="264"/>
        <v>81.419362722634659</v>
      </c>
      <c r="Q183" s="23">
        <v>2562.1</v>
      </c>
      <c r="R183" s="23">
        <v>2758.2</v>
      </c>
      <c r="S183" s="23">
        <f t="shared" si="267"/>
        <v>107.65387767846688</v>
      </c>
      <c r="T183" s="23">
        <v>1872.3</v>
      </c>
      <c r="U183" s="23">
        <v>1852.7</v>
      </c>
      <c r="V183" s="23">
        <f t="shared" si="268"/>
        <v>98.953159215937632</v>
      </c>
      <c r="W183" s="23">
        <f>3203.3-29.8-26.6</f>
        <v>3146.9</v>
      </c>
      <c r="X183" s="23">
        <v>2355.5</v>
      </c>
      <c r="Y183" s="23">
        <f t="shared" si="269"/>
        <v>74.851441100765825</v>
      </c>
      <c r="Z183" s="23">
        <f>2999+338.9</f>
        <v>3337.9</v>
      </c>
      <c r="AA183" s="23">
        <v>3340</v>
      </c>
      <c r="AB183" s="23">
        <f t="shared" si="270"/>
        <v>100.06291380808293</v>
      </c>
      <c r="AC183" s="23">
        <f>1910.3+36.1</f>
        <v>1946.3999999999999</v>
      </c>
      <c r="AD183" s="23">
        <v>2743.2</v>
      </c>
      <c r="AE183" s="23">
        <f t="shared" si="271"/>
        <v>140.93711467324289</v>
      </c>
      <c r="AF183" s="23">
        <f>2631.3-0.6</f>
        <v>2630.7000000000003</v>
      </c>
      <c r="AG183" s="23">
        <v>2238.3000000000002</v>
      </c>
      <c r="AH183" s="23">
        <f t="shared" si="272"/>
        <v>85.083817995210396</v>
      </c>
      <c r="AI183" s="23">
        <v>1993.8</v>
      </c>
      <c r="AJ183" s="23"/>
      <c r="AK183" s="23"/>
      <c r="AL183" s="23">
        <v>1750.3</v>
      </c>
      <c r="AM183" s="23"/>
      <c r="AN183" s="23"/>
      <c r="AO183" s="23">
        <f>3376.6-1.8-9.5</f>
        <v>3365.2999999999997</v>
      </c>
      <c r="AP183" s="24"/>
      <c r="AQ183" s="21">
        <f t="shared" si="246"/>
        <v>0</v>
      </c>
      <c r="AR183" s="91" t="s">
        <v>185</v>
      </c>
      <c r="AS183" s="79" t="s">
        <v>208</v>
      </c>
    </row>
    <row r="184" spans="1:45" ht="15.75" customHeight="1" x14ac:dyDescent="0.3">
      <c r="A184" s="105"/>
      <c r="B184" s="105"/>
      <c r="C184" s="105"/>
      <c r="D184" s="35" t="s">
        <v>22</v>
      </c>
      <c r="E184" s="23">
        <f t="shared" si="252"/>
        <v>0</v>
      </c>
      <c r="F184" s="23">
        <f t="shared" si="252"/>
        <v>0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4"/>
      <c r="AQ184" s="24"/>
      <c r="AR184" s="33"/>
      <c r="AS184" s="33"/>
    </row>
    <row r="185" spans="1:45" ht="15.75" customHeight="1" x14ac:dyDescent="0.3">
      <c r="A185" s="105" t="s">
        <v>69</v>
      </c>
      <c r="B185" s="105" t="s">
        <v>101</v>
      </c>
      <c r="C185" s="105" t="s">
        <v>5</v>
      </c>
      <c r="D185" s="35" t="s">
        <v>3</v>
      </c>
      <c r="E185" s="23">
        <f t="shared" si="252"/>
        <v>0</v>
      </c>
      <c r="F185" s="23">
        <f t="shared" si="252"/>
        <v>0</v>
      </c>
      <c r="G185" s="23"/>
      <c r="H185" s="23">
        <f>H186+H187+H188+H189</f>
        <v>0</v>
      </c>
      <c r="I185" s="23"/>
      <c r="J185" s="23"/>
      <c r="K185" s="23">
        <f t="shared" ref="K185:AO185" si="274">K186+K187+K188+K189</f>
        <v>0</v>
      </c>
      <c r="L185" s="23"/>
      <c r="M185" s="23"/>
      <c r="N185" s="23">
        <f t="shared" si="274"/>
        <v>0</v>
      </c>
      <c r="O185" s="23"/>
      <c r="P185" s="23"/>
      <c r="Q185" s="23">
        <f t="shared" si="274"/>
        <v>0</v>
      </c>
      <c r="R185" s="23"/>
      <c r="S185" s="23"/>
      <c r="T185" s="23">
        <f t="shared" si="274"/>
        <v>0</v>
      </c>
      <c r="U185" s="23"/>
      <c r="V185" s="23"/>
      <c r="W185" s="23">
        <f t="shared" si="274"/>
        <v>0</v>
      </c>
      <c r="X185" s="23"/>
      <c r="Y185" s="23"/>
      <c r="Z185" s="23">
        <f t="shared" si="274"/>
        <v>0</v>
      </c>
      <c r="AA185" s="23"/>
      <c r="AB185" s="23"/>
      <c r="AC185" s="23">
        <f t="shared" si="274"/>
        <v>0</v>
      </c>
      <c r="AD185" s="23"/>
      <c r="AE185" s="23"/>
      <c r="AF185" s="23">
        <f t="shared" si="274"/>
        <v>0</v>
      </c>
      <c r="AG185" s="23"/>
      <c r="AH185" s="23"/>
      <c r="AI185" s="23">
        <f t="shared" si="274"/>
        <v>0</v>
      </c>
      <c r="AJ185" s="23"/>
      <c r="AK185" s="23"/>
      <c r="AL185" s="23">
        <f t="shared" si="274"/>
        <v>0</v>
      </c>
      <c r="AM185" s="23"/>
      <c r="AN185" s="23"/>
      <c r="AO185" s="23">
        <f t="shared" si="274"/>
        <v>0</v>
      </c>
      <c r="AP185" s="23"/>
      <c r="AQ185" s="24"/>
      <c r="AR185" s="33"/>
      <c r="AS185" s="33"/>
    </row>
    <row r="186" spans="1:45" x14ac:dyDescent="0.3">
      <c r="A186" s="105"/>
      <c r="B186" s="105"/>
      <c r="C186" s="105"/>
      <c r="D186" s="35" t="s">
        <v>21</v>
      </c>
      <c r="E186" s="23">
        <f t="shared" si="252"/>
        <v>0</v>
      </c>
      <c r="F186" s="23">
        <f t="shared" si="252"/>
        <v>0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4"/>
      <c r="AR186" s="33"/>
      <c r="AS186" s="33"/>
    </row>
    <row r="187" spans="1:45" ht="26.25" customHeight="1" x14ac:dyDescent="0.3">
      <c r="A187" s="105"/>
      <c r="B187" s="105"/>
      <c r="C187" s="105"/>
      <c r="D187" s="35" t="s">
        <v>4</v>
      </c>
      <c r="E187" s="23">
        <f t="shared" si="252"/>
        <v>0</v>
      </c>
      <c r="F187" s="23">
        <f t="shared" si="252"/>
        <v>0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4"/>
      <c r="AR187" s="33"/>
      <c r="AS187" s="33"/>
    </row>
    <row r="188" spans="1:45" x14ac:dyDescent="0.3">
      <c r="A188" s="105"/>
      <c r="B188" s="105"/>
      <c r="C188" s="105"/>
      <c r="D188" s="35" t="s">
        <v>44</v>
      </c>
      <c r="E188" s="23">
        <f t="shared" si="252"/>
        <v>0</v>
      </c>
      <c r="F188" s="23">
        <f t="shared" si="252"/>
        <v>0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4"/>
      <c r="AR188" s="33"/>
      <c r="AS188" s="33"/>
    </row>
    <row r="189" spans="1:45" ht="15.75" customHeight="1" x14ac:dyDescent="0.3">
      <c r="A189" s="105"/>
      <c r="B189" s="105"/>
      <c r="C189" s="105"/>
      <c r="D189" s="35" t="s">
        <v>22</v>
      </c>
      <c r="E189" s="23">
        <f t="shared" si="252"/>
        <v>0</v>
      </c>
      <c r="F189" s="23">
        <f t="shared" si="252"/>
        <v>0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4"/>
      <c r="AR189" s="33"/>
      <c r="AS189" s="33"/>
    </row>
    <row r="190" spans="1:45" ht="12" customHeight="1" x14ac:dyDescent="0.3">
      <c r="A190" s="119" t="s">
        <v>12</v>
      </c>
      <c r="B190" s="119"/>
      <c r="C190" s="119"/>
      <c r="D190" s="36" t="s">
        <v>3</v>
      </c>
      <c r="E190" s="37">
        <f t="shared" si="252"/>
        <v>50046.8</v>
      </c>
      <c r="F190" s="37">
        <f t="shared" si="252"/>
        <v>33194.9</v>
      </c>
      <c r="G190" s="37">
        <f>F190/E190*100</f>
        <v>66.327717256647773</v>
      </c>
      <c r="H190" s="37">
        <f>H191+H192+H193+H194</f>
        <v>1651.6</v>
      </c>
      <c r="I190" s="37">
        <f>I191+I192+I193+I194</f>
        <v>1859.3</v>
      </c>
      <c r="J190" s="37">
        <f>I190/H190*100</f>
        <v>112.5756841850327</v>
      </c>
      <c r="K190" s="37">
        <f t="shared" ref="K190:AO190" si="275">K191+K192+K193+K194</f>
        <v>6338.7</v>
      </c>
      <c r="L190" s="37">
        <f t="shared" si="275"/>
        <v>4857.8999999999996</v>
      </c>
      <c r="M190" s="37">
        <f t="shared" ref="M190:M193" si="276">L190/K190*100</f>
        <v>76.638742959912904</v>
      </c>
      <c r="N190" s="37">
        <f t="shared" si="275"/>
        <v>5377.9999999999991</v>
      </c>
      <c r="O190" s="37">
        <f t="shared" si="275"/>
        <v>4372.2999999999993</v>
      </c>
      <c r="P190" s="37">
        <f t="shared" ref="P190:P193" si="277">O190/N190*100</f>
        <v>81.299739680178504</v>
      </c>
      <c r="Q190" s="37">
        <f t="shared" si="275"/>
        <v>3017.1</v>
      </c>
      <c r="R190" s="37">
        <f t="shared" si="275"/>
        <v>3177.3999999999996</v>
      </c>
      <c r="S190" s="37">
        <f>R190/Q190*100</f>
        <v>105.31304895429385</v>
      </c>
      <c r="T190" s="37">
        <f t="shared" si="275"/>
        <v>3630.3</v>
      </c>
      <c r="U190" s="37">
        <f t="shared" si="275"/>
        <v>3546.2999999999997</v>
      </c>
      <c r="V190" s="37">
        <f>U190/T190*100</f>
        <v>97.686141641186666</v>
      </c>
      <c r="W190" s="37">
        <f t="shared" si="275"/>
        <v>3751.9</v>
      </c>
      <c r="X190" s="37">
        <f t="shared" si="275"/>
        <v>3011.6</v>
      </c>
      <c r="Y190" s="37">
        <f>X190/W190*100</f>
        <v>80.268663876968986</v>
      </c>
      <c r="Z190" s="37">
        <f t="shared" si="275"/>
        <v>5039.8999999999996</v>
      </c>
      <c r="AA190" s="37">
        <f t="shared" si="275"/>
        <v>5050.3</v>
      </c>
      <c r="AB190" s="37">
        <f>AA190/Z190*100</f>
        <v>100.20635330066074</v>
      </c>
      <c r="AC190" s="37">
        <f t="shared" si="275"/>
        <v>3528.5</v>
      </c>
      <c r="AD190" s="37">
        <f t="shared" si="275"/>
        <v>3929.2</v>
      </c>
      <c r="AE190" s="37">
        <f>AD190/AC190*100</f>
        <v>111.35610032591752</v>
      </c>
      <c r="AF190" s="37">
        <f t="shared" si="275"/>
        <v>4079.3</v>
      </c>
      <c r="AG190" s="37">
        <f t="shared" si="275"/>
        <v>3390.6000000000004</v>
      </c>
      <c r="AH190" s="37">
        <f>AG190/AF190*100</f>
        <v>83.117201480646202</v>
      </c>
      <c r="AI190" s="37">
        <f t="shared" si="275"/>
        <v>4216.6000000000004</v>
      </c>
      <c r="AJ190" s="37">
        <f t="shared" si="275"/>
        <v>0</v>
      </c>
      <c r="AK190" s="37">
        <f>AJ190/AI190*100</f>
        <v>0</v>
      </c>
      <c r="AL190" s="37">
        <f t="shared" si="275"/>
        <v>3800.1</v>
      </c>
      <c r="AM190" s="37">
        <f t="shared" si="275"/>
        <v>0</v>
      </c>
      <c r="AN190" s="37">
        <f>AM190/AL190*100</f>
        <v>0</v>
      </c>
      <c r="AO190" s="37">
        <f t="shared" si="275"/>
        <v>5614.7999999999993</v>
      </c>
      <c r="AP190" s="37"/>
      <c r="AQ190" s="21">
        <f t="shared" ref="AQ190:AQ193" si="278">AP190/AO190</f>
        <v>0</v>
      </c>
      <c r="AR190" s="33"/>
      <c r="AS190" s="33"/>
    </row>
    <row r="191" spans="1:45" x14ac:dyDescent="0.3">
      <c r="A191" s="119"/>
      <c r="B191" s="119"/>
      <c r="C191" s="119"/>
      <c r="D191" s="36" t="s">
        <v>21</v>
      </c>
      <c r="E191" s="37">
        <f t="shared" si="252"/>
        <v>0</v>
      </c>
      <c r="F191" s="37">
        <f t="shared" si="252"/>
        <v>0</v>
      </c>
      <c r="G191" s="22"/>
      <c r="H191" s="37">
        <f t="shared" ref="H191:I194" si="279">H161+H166+H171+H176+H181+H186</f>
        <v>0</v>
      </c>
      <c r="I191" s="37">
        <f t="shared" si="279"/>
        <v>0</v>
      </c>
      <c r="J191" s="22"/>
      <c r="K191" s="37">
        <f t="shared" ref="K191:AO194" si="280">K161+K166+K171+K176+K181+K186</f>
        <v>0</v>
      </c>
      <c r="L191" s="37">
        <f t="shared" si="280"/>
        <v>0</v>
      </c>
      <c r="M191" s="37"/>
      <c r="N191" s="37">
        <f t="shared" si="280"/>
        <v>0</v>
      </c>
      <c r="O191" s="37">
        <f t="shared" si="280"/>
        <v>0</v>
      </c>
      <c r="P191" s="37"/>
      <c r="Q191" s="37">
        <f t="shared" si="280"/>
        <v>0</v>
      </c>
      <c r="R191" s="37">
        <f t="shared" si="280"/>
        <v>0</v>
      </c>
      <c r="S191" s="22"/>
      <c r="T191" s="37">
        <f t="shared" si="280"/>
        <v>0</v>
      </c>
      <c r="U191" s="37">
        <f t="shared" si="280"/>
        <v>0</v>
      </c>
      <c r="V191" s="22"/>
      <c r="W191" s="37">
        <f t="shared" si="280"/>
        <v>0</v>
      </c>
      <c r="X191" s="37">
        <f t="shared" si="280"/>
        <v>0</v>
      </c>
      <c r="Y191" s="22"/>
      <c r="Z191" s="37">
        <f t="shared" si="280"/>
        <v>0</v>
      </c>
      <c r="AA191" s="37">
        <f t="shared" si="280"/>
        <v>0</v>
      </c>
      <c r="AB191" s="22"/>
      <c r="AC191" s="37">
        <f t="shared" si="280"/>
        <v>0</v>
      </c>
      <c r="AD191" s="37">
        <f t="shared" si="280"/>
        <v>0</v>
      </c>
      <c r="AE191" s="22"/>
      <c r="AF191" s="37">
        <f t="shared" si="280"/>
        <v>0</v>
      </c>
      <c r="AG191" s="37">
        <f t="shared" si="280"/>
        <v>0</v>
      </c>
      <c r="AH191" s="22"/>
      <c r="AI191" s="37">
        <f t="shared" si="280"/>
        <v>0</v>
      </c>
      <c r="AJ191" s="37">
        <f t="shared" si="280"/>
        <v>0</v>
      </c>
      <c r="AK191" s="22"/>
      <c r="AL191" s="37">
        <f t="shared" si="280"/>
        <v>0</v>
      </c>
      <c r="AM191" s="37">
        <f t="shared" si="280"/>
        <v>0</v>
      </c>
      <c r="AN191" s="22"/>
      <c r="AO191" s="37">
        <f t="shared" si="280"/>
        <v>0</v>
      </c>
      <c r="AP191" s="24"/>
      <c r="AQ191" s="21"/>
      <c r="AR191" s="33"/>
      <c r="AS191" s="33"/>
    </row>
    <row r="192" spans="1:45" ht="24" customHeight="1" x14ac:dyDescent="0.3">
      <c r="A192" s="119"/>
      <c r="B192" s="119"/>
      <c r="C192" s="119"/>
      <c r="D192" s="36" t="s">
        <v>4</v>
      </c>
      <c r="E192" s="37">
        <f t="shared" si="252"/>
        <v>1563</v>
      </c>
      <c r="F192" s="37">
        <f t="shared" si="252"/>
        <v>1015.8</v>
      </c>
      <c r="G192" s="37">
        <f>F192/E192*100</f>
        <v>64.990403071017269</v>
      </c>
      <c r="H192" s="37">
        <f t="shared" si="279"/>
        <v>59.6</v>
      </c>
      <c r="I192" s="37">
        <f t="shared" si="279"/>
        <v>7.3</v>
      </c>
      <c r="J192" s="37">
        <f>I192/H192*100</f>
        <v>12.248322147651006</v>
      </c>
      <c r="K192" s="37">
        <f t="shared" si="280"/>
        <v>147</v>
      </c>
      <c r="L192" s="37">
        <f t="shared" si="280"/>
        <v>101.4</v>
      </c>
      <c r="M192" s="37">
        <f t="shared" si="276"/>
        <v>68.979591836734699</v>
      </c>
      <c r="N192" s="37">
        <f t="shared" si="280"/>
        <v>255.9</v>
      </c>
      <c r="O192" s="37">
        <f t="shared" si="280"/>
        <v>200.4</v>
      </c>
      <c r="P192" s="37">
        <f t="shared" si="277"/>
        <v>78.311840562719809</v>
      </c>
      <c r="Q192" s="37">
        <f t="shared" si="280"/>
        <v>170</v>
      </c>
      <c r="R192" s="37">
        <f t="shared" si="280"/>
        <v>134.19999999999999</v>
      </c>
      <c r="S192" s="37">
        <f>R192/Q192*100</f>
        <v>78.941176470588232</v>
      </c>
      <c r="T192" s="37">
        <f t="shared" si="280"/>
        <v>158</v>
      </c>
      <c r="U192" s="37">
        <f t="shared" si="280"/>
        <v>93.6</v>
      </c>
      <c r="V192" s="37">
        <f>U192/T192*100</f>
        <v>59.24050632911392</v>
      </c>
      <c r="W192" s="37">
        <f t="shared" si="280"/>
        <v>105</v>
      </c>
      <c r="X192" s="37">
        <f t="shared" si="280"/>
        <v>156.1</v>
      </c>
      <c r="Y192" s="37">
        <f>X192/W192*100</f>
        <v>148.66666666666666</v>
      </c>
      <c r="Z192" s="37">
        <f t="shared" si="280"/>
        <v>102</v>
      </c>
      <c r="AA192" s="37">
        <f t="shared" si="280"/>
        <v>110.3</v>
      </c>
      <c r="AB192" s="37">
        <f>AA192/Z192*100</f>
        <v>108.13725490196077</v>
      </c>
      <c r="AC192" s="37">
        <f t="shared" si="280"/>
        <v>87</v>
      </c>
      <c r="AD192" s="37">
        <f t="shared" si="280"/>
        <v>100.2</v>
      </c>
      <c r="AE192" s="37">
        <f>AD192/AC192*100</f>
        <v>115.17241379310346</v>
      </c>
      <c r="AF192" s="37">
        <f t="shared" si="280"/>
        <v>149</v>
      </c>
      <c r="AG192" s="37">
        <f t="shared" si="280"/>
        <v>112.3</v>
      </c>
      <c r="AH192" s="37">
        <f>AG192/AF192*100</f>
        <v>75.369127516778519</v>
      </c>
      <c r="AI192" s="37">
        <f t="shared" si="280"/>
        <v>94</v>
      </c>
      <c r="AJ192" s="37">
        <f t="shared" si="280"/>
        <v>0</v>
      </c>
      <c r="AK192" s="37">
        <f>AJ192/AI192*100</f>
        <v>0</v>
      </c>
      <c r="AL192" s="37">
        <f t="shared" si="280"/>
        <v>87</v>
      </c>
      <c r="AM192" s="37">
        <f t="shared" si="280"/>
        <v>0</v>
      </c>
      <c r="AN192" s="37">
        <f>AM192/AL192*100</f>
        <v>0</v>
      </c>
      <c r="AO192" s="37">
        <f t="shared" si="280"/>
        <v>148.5</v>
      </c>
      <c r="AP192" s="24"/>
      <c r="AQ192" s="21"/>
      <c r="AR192" s="33"/>
      <c r="AS192" s="33"/>
    </row>
    <row r="193" spans="1:45" x14ac:dyDescent="0.3">
      <c r="A193" s="119"/>
      <c r="B193" s="119"/>
      <c r="C193" s="119"/>
      <c r="D193" s="36" t="s">
        <v>44</v>
      </c>
      <c r="E193" s="37">
        <f t="shared" si="252"/>
        <v>48483.8</v>
      </c>
      <c r="F193" s="37">
        <f t="shared" si="252"/>
        <v>32179.1</v>
      </c>
      <c r="G193" s="37">
        <f>F193/E193*100</f>
        <v>66.370829019177535</v>
      </c>
      <c r="H193" s="37">
        <f t="shared" si="279"/>
        <v>1592</v>
      </c>
      <c r="I193" s="37">
        <f t="shared" si="279"/>
        <v>1852</v>
      </c>
      <c r="J193" s="37">
        <f>I193/H193*100</f>
        <v>116.33165829145729</v>
      </c>
      <c r="K193" s="37">
        <f t="shared" si="280"/>
        <v>6191.7</v>
      </c>
      <c r="L193" s="37">
        <f t="shared" si="280"/>
        <v>4756.5</v>
      </c>
      <c r="M193" s="37">
        <f t="shared" si="276"/>
        <v>76.820582392557782</v>
      </c>
      <c r="N193" s="37">
        <f t="shared" si="280"/>
        <v>5122.0999999999995</v>
      </c>
      <c r="O193" s="37">
        <f t="shared" si="280"/>
        <v>4171.8999999999996</v>
      </c>
      <c r="P193" s="37">
        <f t="shared" si="277"/>
        <v>81.449015052419909</v>
      </c>
      <c r="Q193" s="37">
        <f t="shared" si="280"/>
        <v>2847.1</v>
      </c>
      <c r="R193" s="37">
        <f t="shared" si="280"/>
        <v>3043.2</v>
      </c>
      <c r="S193" s="37">
        <f>R193/Q193*100</f>
        <v>106.88771030171051</v>
      </c>
      <c r="T193" s="37">
        <f t="shared" si="280"/>
        <v>3472.3</v>
      </c>
      <c r="U193" s="37">
        <f t="shared" si="280"/>
        <v>3452.7</v>
      </c>
      <c r="V193" s="37">
        <f>U193/T193*100</f>
        <v>99.435532644068758</v>
      </c>
      <c r="W193" s="37">
        <f t="shared" si="280"/>
        <v>3646.9</v>
      </c>
      <c r="X193" s="37">
        <f t="shared" si="280"/>
        <v>2855.5</v>
      </c>
      <c r="Y193" s="37">
        <f>X193/W193*100</f>
        <v>78.299377553538619</v>
      </c>
      <c r="Z193" s="37">
        <f t="shared" si="280"/>
        <v>4937.8999999999996</v>
      </c>
      <c r="AA193" s="37">
        <f t="shared" si="280"/>
        <v>4940</v>
      </c>
      <c r="AB193" s="37">
        <f>AA193/Z193*100</f>
        <v>100.04252820024708</v>
      </c>
      <c r="AC193" s="37">
        <f t="shared" si="280"/>
        <v>3441.5</v>
      </c>
      <c r="AD193" s="37">
        <f t="shared" si="280"/>
        <v>3829</v>
      </c>
      <c r="AE193" s="37">
        <f>AD193/AC193*100</f>
        <v>111.25962516344616</v>
      </c>
      <c r="AF193" s="37">
        <f t="shared" si="280"/>
        <v>3930.3</v>
      </c>
      <c r="AG193" s="37">
        <f t="shared" si="280"/>
        <v>3278.3</v>
      </c>
      <c r="AH193" s="37">
        <f>AG193/AF193*100</f>
        <v>83.410935551993489</v>
      </c>
      <c r="AI193" s="37">
        <f t="shared" si="280"/>
        <v>4122.6000000000004</v>
      </c>
      <c r="AJ193" s="37">
        <f t="shared" si="280"/>
        <v>0</v>
      </c>
      <c r="AK193" s="37">
        <f>AJ193/AI193*100</f>
        <v>0</v>
      </c>
      <c r="AL193" s="37">
        <f t="shared" si="280"/>
        <v>3713.1</v>
      </c>
      <c r="AM193" s="37">
        <f t="shared" si="280"/>
        <v>0</v>
      </c>
      <c r="AN193" s="37">
        <f>AM193/AL193*100</f>
        <v>0</v>
      </c>
      <c r="AO193" s="37">
        <f t="shared" si="280"/>
        <v>5466.2999999999993</v>
      </c>
      <c r="AP193" s="24"/>
      <c r="AQ193" s="21">
        <f t="shared" si="278"/>
        <v>0</v>
      </c>
      <c r="AR193" s="33"/>
      <c r="AS193" s="33"/>
    </row>
    <row r="194" spans="1:45" ht="13.5" customHeight="1" x14ac:dyDescent="0.3">
      <c r="A194" s="119"/>
      <c r="B194" s="119"/>
      <c r="C194" s="119"/>
      <c r="D194" s="36" t="s">
        <v>22</v>
      </c>
      <c r="E194" s="37">
        <f t="shared" si="252"/>
        <v>0</v>
      </c>
      <c r="F194" s="37">
        <f t="shared" si="252"/>
        <v>0</v>
      </c>
      <c r="G194" s="37"/>
      <c r="H194" s="37">
        <f t="shared" si="279"/>
        <v>0</v>
      </c>
      <c r="I194" s="37">
        <f t="shared" si="279"/>
        <v>0</v>
      </c>
      <c r="J194" s="37"/>
      <c r="K194" s="37">
        <f t="shared" si="280"/>
        <v>0</v>
      </c>
      <c r="L194" s="37">
        <f t="shared" si="280"/>
        <v>0</v>
      </c>
      <c r="M194" s="37"/>
      <c r="N194" s="37">
        <f t="shared" si="280"/>
        <v>0</v>
      </c>
      <c r="O194" s="37">
        <f t="shared" si="280"/>
        <v>0</v>
      </c>
      <c r="P194" s="37"/>
      <c r="Q194" s="37">
        <f t="shared" si="280"/>
        <v>0</v>
      </c>
      <c r="R194" s="37">
        <f t="shared" si="280"/>
        <v>0</v>
      </c>
      <c r="S194" s="37"/>
      <c r="T194" s="37">
        <f t="shared" si="280"/>
        <v>0</v>
      </c>
      <c r="U194" s="37">
        <f t="shared" si="280"/>
        <v>0</v>
      </c>
      <c r="V194" s="37"/>
      <c r="W194" s="37">
        <f t="shared" si="280"/>
        <v>0</v>
      </c>
      <c r="X194" s="37">
        <f t="shared" si="280"/>
        <v>0</v>
      </c>
      <c r="Y194" s="37"/>
      <c r="Z194" s="37">
        <f t="shared" si="280"/>
        <v>0</v>
      </c>
      <c r="AA194" s="37"/>
      <c r="AB194" s="37"/>
      <c r="AC194" s="37">
        <f t="shared" si="280"/>
        <v>0</v>
      </c>
      <c r="AD194" s="37">
        <f t="shared" si="280"/>
        <v>0</v>
      </c>
      <c r="AE194" s="37"/>
      <c r="AF194" s="37">
        <f t="shared" si="280"/>
        <v>0</v>
      </c>
      <c r="AG194" s="37"/>
      <c r="AH194" s="37"/>
      <c r="AI194" s="37">
        <f t="shared" si="280"/>
        <v>0</v>
      </c>
      <c r="AJ194" s="37"/>
      <c r="AK194" s="37"/>
      <c r="AL194" s="37">
        <f t="shared" si="280"/>
        <v>0</v>
      </c>
      <c r="AM194" s="37">
        <f t="shared" si="280"/>
        <v>0</v>
      </c>
      <c r="AN194" s="37"/>
      <c r="AO194" s="37">
        <f t="shared" si="280"/>
        <v>0</v>
      </c>
      <c r="AP194" s="24"/>
      <c r="AQ194" s="25"/>
      <c r="AR194" s="33"/>
      <c r="AS194" s="33"/>
    </row>
    <row r="195" spans="1:45" ht="15" customHeight="1" x14ac:dyDescent="0.3">
      <c r="A195" s="43" t="s">
        <v>70</v>
      </c>
      <c r="B195" s="34" t="s">
        <v>13</v>
      </c>
      <c r="C195" s="34"/>
      <c r="D195" s="34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34"/>
      <c r="AQ195" s="34"/>
      <c r="AR195" s="33"/>
      <c r="AS195" s="33"/>
    </row>
    <row r="196" spans="1:45" ht="14.4" customHeight="1" x14ac:dyDescent="0.3">
      <c r="A196" s="120" t="s">
        <v>71</v>
      </c>
      <c r="B196" s="105" t="s">
        <v>102</v>
      </c>
      <c r="C196" s="105" t="s">
        <v>5</v>
      </c>
      <c r="D196" s="35" t="s">
        <v>3</v>
      </c>
      <c r="E196" s="23">
        <f t="shared" ref="E196:F211" si="281">H196+K196+N196+Q196+T196+W196+Z196+AC196+AF196+AI196+AL196+AO196</f>
        <v>0</v>
      </c>
      <c r="F196" s="23">
        <f t="shared" si="281"/>
        <v>0</v>
      </c>
      <c r="G196" s="23"/>
      <c r="H196" s="23">
        <f>H197+H198+H199+H200</f>
        <v>0</v>
      </c>
      <c r="I196" s="23"/>
      <c r="J196" s="21"/>
      <c r="K196" s="23">
        <f t="shared" ref="K196:AO196" si="282">K197+K198+K199+K200</f>
        <v>0</v>
      </c>
      <c r="L196" s="23"/>
      <c r="M196" s="21"/>
      <c r="N196" s="23">
        <f t="shared" si="282"/>
        <v>0</v>
      </c>
      <c r="O196" s="23">
        <f t="shared" si="282"/>
        <v>0</v>
      </c>
      <c r="P196" s="23"/>
      <c r="Q196" s="23">
        <f t="shared" si="282"/>
        <v>0</v>
      </c>
      <c r="R196" s="23"/>
      <c r="S196" s="21"/>
      <c r="T196" s="23">
        <f t="shared" si="282"/>
        <v>0</v>
      </c>
      <c r="U196" s="23">
        <f t="shared" si="282"/>
        <v>0</v>
      </c>
      <c r="V196" s="21"/>
      <c r="W196" s="23">
        <f t="shared" si="282"/>
        <v>0</v>
      </c>
      <c r="X196" s="23"/>
      <c r="Y196" s="21"/>
      <c r="Z196" s="23">
        <f t="shared" si="282"/>
        <v>0</v>
      </c>
      <c r="AA196" s="23"/>
      <c r="AB196" s="21"/>
      <c r="AC196" s="23">
        <f t="shared" si="282"/>
        <v>0</v>
      </c>
      <c r="AD196" s="23"/>
      <c r="AE196" s="21"/>
      <c r="AF196" s="23">
        <f t="shared" si="282"/>
        <v>0</v>
      </c>
      <c r="AG196" s="23"/>
      <c r="AH196" s="21"/>
      <c r="AI196" s="23">
        <f t="shared" si="282"/>
        <v>0</v>
      </c>
      <c r="AJ196" s="23">
        <f t="shared" si="282"/>
        <v>0</v>
      </c>
      <c r="AK196" s="21"/>
      <c r="AL196" s="23">
        <f t="shared" si="282"/>
        <v>0</v>
      </c>
      <c r="AM196" s="23"/>
      <c r="AN196" s="21"/>
      <c r="AO196" s="23">
        <f t="shared" si="282"/>
        <v>0</v>
      </c>
      <c r="AP196" s="23"/>
      <c r="AQ196" s="21" t="e">
        <f t="shared" ref="AQ196:AQ199" si="283">AP196/AO196</f>
        <v>#DIV/0!</v>
      </c>
      <c r="AR196" s="33"/>
      <c r="AS196" s="33"/>
    </row>
    <row r="197" spans="1:45" ht="15" customHeight="1" x14ac:dyDescent="0.3">
      <c r="A197" s="120"/>
      <c r="B197" s="105"/>
      <c r="C197" s="105"/>
      <c r="D197" s="35" t="s">
        <v>21</v>
      </c>
      <c r="E197" s="23">
        <f t="shared" si="281"/>
        <v>0</v>
      </c>
      <c r="F197" s="23">
        <f t="shared" si="281"/>
        <v>0</v>
      </c>
      <c r="G197" s="23"/>
      <c r="H197" s="23"/>
      <c r="I197" s="23"/>
      <c r="J197" s="21"/>
      <c r="K197" s="23"/>
      <c r="L197" s="23"/>
      <c r="M197" s="21"/>
      <c r="N197" s="23"/>
      <c r="O197" s="23"/>
      <c r="P197" s="23"/>
      <c r="Q197" s="23"/>
      <c r="R197" s="23"/>
      <c r="S197" s="21"/>
      <c r="T197" s="23"/>
      <c r="U197" s="23"/>
      <c r="V197" s="21"/>
      <c r="W197" s="23"/>
      <c r="X197" s="23"/>
      <c r="Y197" s="21"/>
      <c r="Z197" s="23"/>
      <c r="AA197" s="23"/>
      <c r="AB197" s="21"/>
      <c r="AC197" s="23"/>
      <c r="AD197" s="23"/>
      <c r="AE197" s="21"/>
      <c r="AF197" s="23"/>
      <c r="AG197" s="23"/>
      <c r="AH197" s="21"/>
      <c r="AI197" s="23"/>
      <c r="AJ197" s="23"/>
      <c r="AK197" s="21"/>
      <c r="AL197" s="23"/>
      <c r="AM197" s="23"/>
      <c r="AN197" s="21"/>
      <c r="AO197" s="23"/>
      <c r="AP197" s="23"/>
      <c r="AQ197" s="21"/>
      <c r="AR197" s="33"/>
      <c r="AS197" s="33"/>
    </row>
    <row r="198" spans="1:45" ht="24" customHeight="1" x14ac:dyDescent="0.3">
      <c r="A198" s="120"/>
      <c r="B198" s="105"/>
      <c r="C198" s="105"/>
      <c r="D198" s="35" t="s">
        <v>4</v>
      </c>
      <c r="E198" s="23">
        <f t="shared" si="281"/>
        <v>0</v>
      </c>
      <c r="F198" s="23">
        <f t="shared" si="281"/>
        <v>0</v>
      </c>
      <c r="G198" s="23"/>
      <c r="H198" s="23"/>
      <c r="I198" s="23"/>
      <c r="J198" s="21"/>
      <c r="K198" s="23"/>
      <c r="L198" s="23"/>
      <c r="M198" s="21"/>
      <c r="N198" s="23"/>
      <c r="O198" s="23"/>
      <c r="P198" s="23"/>
      <c r="Q198" s="23"/>
      <c r="R198" s="23"/>
      <c r="S198" s="21"/>
      <c r="T198" s="23"/>
      <c r="U198" s="23"/>
      <c r="V198" s="21"/>
      <c r="W198" s="23"/>
      <c r="X198" s="23"/>
      <c r="Y198" s="21"/>
      <c r="Z198" s="23"/>
      <c r="AA198" s="23"/>
      <c r="AB198" s="21"/>
      <c r="AC198" s="23"/>
      <c r="AD198" s="23"/>
      <c r="AE198" s="21"/>
      <c r="AF198" s="23"/>
      <c r="AG198" s="23"/>
      <c r="AH198" s="21"/>
      <c r="AI198" s="23"/>
      <c r="AJ198" s="23"/>
      <c r="AK198" s="21"/>
      <c r="AL198" s="23"/>
      <c r="AM198" s="23"/>
      <c r="AN198" s="21"/>
      <c r="AO198" s="23"/>
      <c r="AP198" s="24"/>
      <c r="AQ198" s="21"/>
      <c r="AR198" s="33"/>
      <c r="AS198" s="33"/>
    </row>
    <row r="199" spans="1:45" x14ac:dyDescent="0.3">
      <c r="A199" s="120"/>
      <c r="B199" s="105"/>
      <c r="C199" s="105"/>
      <c r="D199" s="35" t="s">
        <v>44</v>
      </c>
      <c r="E199" s="23">
        <f t="shared" si="281"/>
        <v>0</v>
      </c>
      <c r="F199" s="23">
        <f t="shared" si="281"/>
        <v>0</v>
      </c>
      <c r="G199" s="23"/>
      <c r="H199" s="23"/>
      <c r="I199" s="23"/>
      <c r="J199" s="21"/>
      <c r="K199" s="23"/>
      <c r="L199" s="23"/>
      <c r="M199" s="21"/>
      <c r="N199" s="23"/>
      <c r="O199" s="23"/>
      <c r="P199" s="23"/>
      <c r="Q199" s="23"/>
      <c r="R199" s="23"/>
      <c r="S199" s="21"/>
      <c r="T199" s="23">
        <f>211-92-119</f>
        <v>0</v>
      </c>
      <c r="U199" s="23">
        <v>0</v>
      </c>
      <c r="V199" s="21"/>
      <c r="W199" s="23"/>
      <c r="X199" s="23"/>
      <c r="Y199" s="21"/>
      <c r="Z199" s="23"/>
      <c r="AA199" s="23"/>
      <c r="AB199" s="21"/>
      <c r="AC199" s="23"/>
      <c r="AD199" s="23"/>
      <c r="AE199" s="21"/>
      <c r="AF199" s="23"/>
      <c r="AG199" s="23"/>
      <c r="AH199" s="21"/>
      <c r="AI199" s="23"/>
      <c r="AJ199" s="23"/>
      <c r="AK199" s="21"/>
      <c r="AL199" s="23"/>
      <c r="AM199" s="23"/>
      <c r="AN199" s="21"/>
      <c r="AO199" s="23"/>
      <c r="AP199" s="24"/>
      <c r="AQ199" s="21" t="e">
        <f t="shared" si="283"/>
        <v>#DIV/0!</v>
      </c>
      <c r="AS199" s="91"/>
    </row>
    <row r="200" spans="1:45" ht="15.75" customHeight="1" x14ac:dyDescent="0.3">
      <c r="A200" s="120"/>
      <c r="B200" s="105"/>
      <c r="C200" s="105"/>
      <c r="D200" s="35" t="s">
        <v>22</v>
      </c>
      <c r="E200" s="23">
        <f t="shared" si="281"/>
        <v>0</v>
      </c>
      <c r="F200" s="23">
        <f t="shared" si="281"/>
        <v>0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4"/>
      <c r="AQ200" s="24"/>
      <c r="AR200" s="33"/>
      <c r="AS200" s="33"/>
    </row>
    <row r="201" spans="1:45" ht="15.75" customHeight="1" x14ac:dyDescent="0.3">
      <c r="A201" s="120" t="s">
        <v>72</v>
      </c>
      <c r="B201" s="105" t="s">
        <v>103</v>
      </c>
      <c r="C201" s="105" t="s">
        <v>5</v>
      </c>
      <c r="D201" s="35" t="s">
        <v>3</v>
      </c>
      <c r="E201" s="23">
        <f t="shared" si="281"/>
        <v>0</v>
      </c>
      <c r="F201" s="23">
        <f t="shared" si="281"/>
        <v>0</v>
      </c>
      <c r="G201" s="23"/>
      <c r="H201" s="23">
        <f>H202+H203+H204+H205</f>
        <v>0</v>
      </c>
      <c r="I201" s="23"/>
      <c r="J201" s="23"/>
      <c r="K201" s="23">
        <f t="shared" ref="K201:AO201" si="284">K202+K203+K204+K205</f>
        <v>0</v>
      </c>
      <c r="L201" s="23"/>
      <c r="M201" s="23"/>
      <c r="N201" s="23">
        <f t="shared" si="284"/>
        <v>0</v>
      </c>
      <c r="O201" s="23"/>
      <c r="P201" s="23"/>
      <c r="Q201" s="23">
        <f t="shared" si="284"/>
        <v>0</v>
      </c>
      <c r="R201" s="23"/>
      <c r="S201" s="23"/>
      <c r="T201" s="23">
        <f t="shared" si="284"/>
        <v>0</v>
      </c>
      <c r="U201" s="23"/>
      <c r="V201" s="23"/>
      <c r="W201" s="23">
        <f t="shared" si="284"/>
        <v>0</v>
      </c>
      <c r="X201" s="23"/>
      <c r="Y201" s="23"/>
      <c r="Z201" s="23">
        <f t="shared" si="284"/>
        <v>0</v>
      </c>
      <c r="AA201" s="23"/>
      <c r="AB201" s="23"/>
      <c r="AC201" s="23">
        <f t="shared" si="284"/>
        <v>0</v>
      </c>
      <c r="AD201" s="23"/>
      <c r="AE201" s="23"/>
      <c r="AF201" s="23">
        <f t="shared" si="284"/>
        <v>0</v>
      </c>
      <c r="AG201" s="23"/>
      <c r="AH201" s="23"/>
      <c r="AI201" s="23">
        <f t="shared" si="284"/>
        <v>0</v>
      </c>
      <c r="AJ201" s="23"/>
      <c r="AK201" s="23"/>
      <c r="AL201" s="23">
        <f t="shared" si="284"/>
        <v>0</v>
      </c>
      <c r="AM201" s="23"/>
      <c r="AN201" s="23"/>
      <c r="AO201" s="23">
        <f t="shared" si="284"/>
        <v>0</v>
      </c>
      <c r="AP201" s="23"/>
      <c r="AQ201" s="24"/>
      <c r="AR201" s="33"/>
      <c r="AS201" s="33"/>
    </row>
    <row r="202" spans="1:45" x14ac:dyDescent="0.3">
      <c r="A202" s="120"/>
      <c r="B202" s="105"/>
      <c r="C202" s="105"/>
      <c r="D202" s="35" t="s">
        <v>21</v>
      </c>
      <c r="E202" s="23">
        <f t="shared" si="281"/>
        <v>0</v>
      </c>
      <c r="F202" s="23">
        <f t="shared" si="281"/>
        <v>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4"/>
      <c r="AR202" s="33"/>
      <c r="AS202" s="33"/>
    </row>
    <row r="203" spans="1:45" ht="24" x14ac:dyDescent="0.3">
      <c r="A203" s="120"/>
      <c r="B203" s="105"/>
      <c r="C203" s="105"/>
      <c r="D203" s="35" t="s">
        <v>4</v>
      </c>
      <c r="E203" s="23">
        <f t="shared" si="281"/>
        <v>0</v>
      </c>
      <c r="F203" s="23">
        <f t="shared" si="281"/>
        <v>0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4"/>
      <c r="AQ203" s="24"/>
      <c r="AR203" s="33"/>
      <c r="AS203" s="33"/>
    </row>
    <row r="204" spans="1:45" x14ac:dyDescent="0.3">
      <c r="A204" s="120"/>
      <c r="B204" s="105"/>
      <c r="C204" s="105"/>
      <c r="D204" s="35" t="s">
        <v>44</v>
      </c>
      <c r="E204" s="23">
        <f t="shared" si="281"/>
        <v>0</v>
      </c>
      <c r="F204" s="23">
        <f t="shared" si="281"/>
        <v>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4"/>
      <c r="AQ204" s="24"/>
      <c r="AR204" s="33"/>
      <c r="AS204" s="33"/>
    </row>
    <row r="205" spans="1:45" ht="15.75" customHeight="1" x14ac:dyDescent="0.3">
      <c r="A205" s="120"/>
      <c r="B205" s="105"/>
      <c r="C205" s="105"/>
      <c r="D205" s="35" t="s">
        <v>22</v>
      </c>
      <c r="E205" s="23">
        <f t="shared" si="281"/>
        <v>0</v>
      </c>
      <c r="F205" s="23">
        <f t="shared" si="281"/>
        <v>0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4"/>
      <c r="AQ205" s="24"/>
      <c r="AR205" s="33"/>
      <c r="AS205" s="33"/>
    </row>
    <row r="206" spans="1:45" ht="15.75" customHeight="1" x14ac:dyDescent="0.3">
      <c r="A206" s="120" t="s">
        <v>73</v>
      </c>
      <c r="B206" s="105" t="s">
        <v>104</v>
      </c>
      <c r="C206" s="105" t="s">
        <v>5</v>
      </c>
      <c r="D206" s="35" t="s">
        <v>3</v>
      </c>
      <c r="E206" s="23">
        <f t="shared" si="281"/>
        <v>0</v>
      </c>
      <c r="F206" s="23">
        <f t="shared" si="281"/>
        <v>0</v>
      </c>
      <c r="G206" s="23"/>
      <c r="H206" s="23">
        <f>H207+H208+H209+H210</f>
        <v>0</v>
      </c>
      <c r="I206" s="23"/>
      <c r="J206" s="23"/>
      <c r="K206" s="23">
        <f t="shared" ref="K206:AO206" si="285">K207+K208+K209+K210</f>
        <v>0</v>
      </c>
      <c r="L206" s="23"/>
      <c r="M206" s="23"/>
      <c r="N206" s="23">
        <f t="shared" si="285"/>
        <v>0</v>
      </c>
      <c r="O206" s="23"/>
      <c r="P206" s="23"/>
      <c r="Q206" s="23">
        <f t="shared" si="285"/>
        <v>0</v>
      </c>
      <c r="R206" s="23">
        <f t="shared" si="285"/>
        <v>0</v>
      </c>
      <c r="S206" s="23"/>
      <c r="T206" s="23">
        <f t="shared" si="285"/>
        <v>0</v>
      </c>
      <c r="U206" s="23">
        <f t="shared" si="285"/>
        <v>0</v>
      </c>
      <c r="V206" s="23"/>
      <c r="W206" s="23">
        <f t="shared" si="285"/>
        <v>0</v>
      </c>
      <c r="X206" s="23"/>
      <c r="Y206" s="23"/>
      <c r="Z206" s="23">
        <f t="shared" si="285"/>
        <v>0</v>
      </c>
      <c r="AA206" s="23">
        <f t="shared" si="285"/>
        <v>0</v>
      </c>
      <c r="AB206" s="23"/>
      <c r="AC206" s="23">
        <f t="shared" si="285"/>
        <v>0</v>
      </c>
      <c r="AD206" s="23">
        <f t="shared" si="285"/>
        <v>0</v>
      </c>
      <c r="AE206" s="23"/>
      <c r="AF206" s="23">
        <f t="shared" si="285"/>
        <v>0</v>
      </c>
      <c r="AG206" s="23">
        <f t="shared" si="285"/>
        <v>0</v>
      </c>
      <c r="AH206" s="23"/>
      <c r="AI206" s="23">
        <f t="shared" si="285"/>
        <v>0</v>
      </c>
      <c r="AJ206" s="23"/>
      <c r="AK206" s="23"/>
      <c r="AL206" s="23">
        <f t="shared" si="285"/>
        <v>0</v>
      </c>
      <c r="AM206" s="23"/>
      <c r="AN206" s="23"/>
      <c r="AO206" s="23">
        <f t="shared" si="285"/>
        <v>0</v>
      </c>
      <c r="AP206" s="23"/>
      <c r="AQ206" s="24"/>
      <c r="AR206" s="33"/>
      <c r="AS206" s="33"/>
    </row>
    <row r="207" spans="1:45" x14ac:dyDescent="0.3">
      <c r="A207" s="120"/>
      <c r="B207" s="105"/>
      <c r="C207" s="105"/>
      <c r="D207" s="35" t="s">
        <v>21</v>
      </c>
      <c r="E207" s="23">
        <f t="shared" si="281"/>
        <v>0</v>
      </c>
      <c r="F207" s="23">
        <f t="shared" si="281"/>
        <v>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4"/>
      <c r="AR207" s="33"/>
      <c r="AS207" s="33"/>
    </row>
    <row r="208" spans="1:45" ht="24" x14ac:dyDescent="0.3">
      <c r="A208" s="120"/>
      <c r="B208" s="105"/>
      <c r="C208" s="105"/>
      <c r="D208" s="35" t="s">
        <v>4</v>
      </c>
      <c r="E208" s="23">
        <f t="shared" si="281"/>
        <v>0</v>
      </c>
      <c r="F208" s="23">
        <f t="shared" si="281"/>
        <v>0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4"/>
      <c r="AQ208" s="24"/>
      <c r="AR208" s="33"/>
      <c r="AS208" s="33"/>
    </row>
    <row r="209" spans="1:45" x14ac:dyDescent="0.3">
      <c r="A209" s="120"/>
      <c r="B209" s="105"/>
      <c r="C209" s="105"/>
      <c r="D209" s="35" t="s">
        <v>44</v>
      </c>
      <c r="E209" s="23">
        <f t="shared" si="281"/>
        <v>0</v>
      </c>
      <c r="F209" s="23">
        <f t="shared" si="281"/>
        <v>0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>
        <v>0</v>
      </c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4"/>
      <c r="AR209" s="91"/>
      <c r="AS209" s="91"/>
    </row>
    <row r="210" spans="1:45" ht="15.75" customHeight="1" x14ac:dyDescent="0.3">
      <c r="A210" s="120"/>
      <c r="B210" s="105"/>
      <c r="C210" s="105"/>
      <c r="D210" s="35" t="s">
        <v>22</v>
      </c>
      <c r="E210" s="23">
        <f t="shared" si="281"/>
        <v>0</v>
      </c>
      <c r="F210" s="23">
        <f t="shared" si="281"/>
        <v>0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4"/>
      <c r="AR210" s="33"/>
      <c r="AS210" s="33"/>
    </row>
    <row r="211" spans="1:45" ht="15.75" customHeight="1" x14ac:dyDescent="0.3">
      <c r="A211" s="120" t="s">
        <v>74</v>
      </c>
      <c r="B211" s="105" t="s">
        <v>105</v>
      </c>
      <c r="C211" s="105" t="s">
        <v>5</v>
      </c>
      <c r="D211" s="35" t="s">
        <v>3</v>
      </c>
      <c r="E211" s="23">
        <f t="shared" si="281"/>
        <v>0</v>
      </c>
      <c r="F211" s="23">
        <f t="shared" si="281"/>
        <v>0</v>
      </c>
      <c r="G211" s="23"/>
      <c r="H211" s="23">
        <f>H212+H213+H214+H215</f>
        <v>0</v>
      </c>
      <c r="I211" s="23"/>
      <c r="J211" s="21"/>
      <c r="K211" s="23">
        <f t="shared" ref="K211:AO211" si="286">K212+K213+K214+K215</f>
        <v>0</v>
      </c>
      <c r="L211" s="23">
        <f t="shared" si="286"/>
        <v>0</v>
      </c>
      <c r="M211" s="21"/>
      <c r="N211" s="23">
        <f t="shared" si="286"/>
        <v>0</v>
      </c>
      <c r="O211" s="23">
        <f t="shared" si="286"/>
        <v>0</v>
      </c>
      <c r="P211" s="23"/>
      <c r="Q211" s="23">
        <f t="shared" si="286"/>
        <v>0</v>
      </c>
      <c r="R211" s="23"/>
      <c r="S211" s="21"/>
      <c r="T211" s="23">
        <f t="shared" si="286"/>
        <v>0</v>
      </c>
      <c r="U211" s="23"/>
      <c r="V211" s="21"/>
      <c r="W211" s="23">
        <f t="shared" si="286"/>
        <v>0</v>
      </c>
      <c r="X211" s="23">
        <f t="shared" si="286"/>
        <v>0</v>
      </c>
      <c r="Y211" s="21"/>
      <c r="Z211" s="23">
        <f t="shared" si="286"/>
        <v>0</v>
      </c>
      <c r="AA211" s="23"/>
      <c r="AB211" s="21"/>
      <c r="AC211" s="23">
        <f t="shared" si="286"/>
        <v>0</v>
      </c>
      <c r="AD211" s="23">
        <f t="shared" si="286"/>
        <v>0</v>
      </c>
      <c r="AE211" s="23"/>
      <c r="AF211" s="23">
        <f t="shared" si="286"/>
        <v>0</v>
      </c>
      <c r="AG211" s="23"/>
      <c r="AH211" s="21"/>
      <c r="AI211" s="23">
        <f t="shared" si="286"/>
        <v>0</v>
      </c>
      <c r="AJ211" s="23"/>
      <c r="AK211" s="21"/>
      <c r="AL211" s="23">
        <f t="shared" si="286"/>
        <v>0</v>
      </c>
      <c r="AM211" s="23"/>
      <c r="AN211" s="21"/>
      <c r="AO211" s="23">
        <f t="shared" si="286"/>
        <v>0</v>
      </c>
      <c r="AP211" s="23"/>
      <c r="AQ211" s="21" t="e">
        <f t="shared" ref="AQ211:AQ214" si="287">AP211/AO211</f>
        <v>#DIV/0!</v>
      </c>
      <c r="AR211" s="33"/>
      <c r="AS211" s="33"/>
    </row>
    <row r="212" spans="1:45" x14ac:dyDescent="0.3">
      <c r="A212" s="120"/>
      <c r="B212" s="105"/>
      <c r="C212" s="105"/>
      <c r="D212" s="35" t="s">
        <v>21</v>
      </c>
      <c r="E212" s="23">
        <f t="shared" ref="E212:F230" si="288">H212+K212+N212+Q212+T212+W212+Z212+AC212+AF212+AI212+AL212+AO212</f>
        <v>0</v>
      </c>
      <c r="F212" s="23">
        <f t="shared" si="288"/>
        <v>0</v>
      </c>
      <c r="G212" s="23"/>
      <c r="H212" s="23"/>
      <c r="I212" s="23"/>
      <c r="J212" s="21"/>
      <c r="K212" s="23"/>
      <c r="L212" s="23"/>
      <c r="M212" s="21"/>
      <c r="N212" s="23"/>
      <c r="O212" s="23"/>
      <c r="P212" s="23"/>
      <c r="Q212" s="23"/>
      <c r="R212" s="23"/>
      <c r="S212" s="21"/>
      <c r="T212" s="23"/>
      <c r="U212" s="23"/>
      <c r="V212" s="21"/>
      <c r="W212" s="23"/>
      <c r="X212" s="23"/>
      <c r="Y212" s="21"/>
      <c r="Z212" s="23"/>
      <c r="AA212" s="23"/>
      <c r="AB212" s="21"/>
      <c r="AC212" s="23"/>
      <c r="AD212" s="23"/>
      <c r="AE212" s="23"/>
      <c r="AF212" s="23"/>
      <c r="AG212" s="23"/>
      <c r="AH212" s="21"/>
      <c r="AI212" s="23"/>
      <c r="AJ212" s="23"/>
      <c r="AK212" s="21"/>
      <c r="AL212" s="23"/>
      <c r="AM212" s="23"/>
      <c r="AN212" s="21"/>
      <c r="AO212" s="23"/>
      <c r="AP212" s="23"/>
      <c r="AQ212" s="21"/>
      <c r="AR212" s="33"/>
      <c r="AS212" s="33"/>
    </row>
    <row r="213" spans="1:45" ht="24" x14ac:dyDescent="0.3">
      <c r="A213" s="120"/>
      <c r="B213" s="105"/>
      <c r="C213" s="105"/>
      <c r="D213" s="35" t="s">
        <v>4</v>
      </c>
      <c r="E213" s="23">
        <f t="shared" si="288"/>
        <v>0</v>
      </c>
      <c r="F213" s="23">
        <f t="shared" si="288"/>
        <v>0</v>
      </c>
      <c r="G213" s="23"/>
      <c r="H213" s="23"/>
      <c r="I213" s="23"/>
      <c r="J213" s="21"/>
      <c r="K213" s="23"/>
      <c r="L213" s="23"/>
      <c r="M213" s="21"/>
      <c r="N213" s="23"/>
      <c r="O213" s="23"/>
      <c r="P213" s="23"/>
      <c r="Q213" s="23"/>
      <c r="R213" s="23"/>
      <c r="S213" s="21"/>
      <c r="T213" s="23"/>
      <c r="U213" s="23"/>
      <c r="V213" s="21"/>
      <c r="W213" s="23"/>
      <c r="X213" s="23"/>
      <c r="Y213" s="21"/>
      <c r="Z213" s="23"/>
      <c r="AA213" s="23"/>
      <c r="AB213" s="21"/>
      <c r="AC213" s="23"/>
      <c r="AD213" s="23"/>
      <c r="AE213" s="23"/>
      <c r="AF213" s="23"/>
      <c r="AG213" s="23"/>
      <c r="AH213" s="21"/>
      <c r="AI213" s="23"/>
      <c r="AJ213" s="23"/>
      <c r="AK213" s="21"/>
      <c r="AL213" s="23"/>
      <c r="AM213" s="23"/>
      <c r="AN213" s="21"/>
      <c r="AO213" s="23"/>
      <c r="AP213" s="24"/>
      <c r="AQ213" s="21"/>
      <c r="AR213" s="33"/>
      <c r="AS213" s="33"/>
    </row>
    <row r="214" spans="1:45" x14ac:dyDescent="0.3">
      <c r="A214" s="120"/>
      <c r="B214" s="105"/>
      <c r="C214" s="105"/>
      <c r="D214" s="35" t="s">
        <v>44</v>
      </c>
      <c r="E214" s="23">
        <f t="shared" si="288"/>
        <v>0</v>
      </c>
      <c r="F214" s="23">
        <f t="shared" si="288"/>
        <v>0</v>
      </c>
      <c r="G214" s="23"/>
      <c r="H214" s="23"/>
      <c r="I214" s="23"/>
      <c r="J214" s="21"/>
      <c r="K214" s="23">
        <f>5-5</f>
        <v>0</v>
      </c>
      <c r="L214" s="23">
        <v>0</v>
      </c>
      <c r="M214" s="21"/>
      <c r="N214" s="23">
        <f>5-5</f>
        <v>0</v>
      </c>
      <c r="O214" s="23"/>
      <c r="P214" s="23"/>
      <c r="Q214" s="23"/>
      <c r="R214" s="23"/>
      <c r="S214" s="21"/>
      <c r="T214" s="23"/>
      <c r="U214" s="23"/>
      <c r="V214" s="21"/>
      <c r="W214" s="23"/>
      <c r="X214" s="23"/>
      <c r="Y214" s="21"/>
      <c r="Z214" s="23"/>
      <c r="AA214" s="23"/>
      <c r="AB214" s="21"/>
      <c r="AC214" s="23"/>
      <c r="AD214" s="23"/>
      <c r="AE214" s="23"/>
      <c r="AF214" s="23"/>
      <c r="AG214" s="23"/>
      <c r="AH214" s="21"/>
      <c r="AI214" s="23"/>
      <c r="AJ214" s="23"/>
      <c r="AK214" s="21"/>
      <c r="AL214" s="23">
        <f>15-15</f>
        <v>0</v>
      </c>
      <c r="AM214" s="23"/>
      <c r="AN214" s="21"/>
      <c r="AO214" s="23">
        <f>15+10-25</f>
        <v>0</v>
      </c>
      <c r="AP214" s="23"/>
      <c r="AQ214" s="21" t="e">
        <f t="shared" si="287"/>
        <v>#DIV/0!</v>
      </c>
      <c r="AR214" s="91"/>
      <c r="AS214" s="91"/>
    </row>
    <row r="215" spans="1:45" ht="15.75" customHeight="1" x14ac:dyDescent="0.3">
      <c r="A215" s="120"/>
      <c r="B215" s="105"/>
      <c r="C215" s="105"/>
      <c r="D215" s="35" t="s">
        <v>22</v>
      </c>
      <c r="E215" s="23">
        <f t="shared" si="288"/>
        <v>0</v>
      </c>
      <c r="F215" s="23">
        <f t="shared" si="288"/>
        <v>0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4"/>
      <c r="AR215" s="33"/>
      <c r="AS215" s="33"/>
    </row>
    <row r="216" spans="1:45" ht="13.2" customHeight="1" x14ac:dyDescent="0.3">
      <c r="A216" s="121" t="s">
        <v>75</v>
      </c>
      <c r="B216" s="105" t="s">
        <v>146</v>
      </c>
      <c r="C216" s="105" t="s">
        <v>5</v>
      </c>
      <c r="D216" s="35" t="s">
        <v>3</v>
      </c>
      <c r="E216" s="23">
        <f t="shared" si="288"/>
        <v>141957.9</v>
      </c>
      <c r="F216" s="23">
        <f t="shared" si="288"/>
        <v>63922.2</v>
      </c>
      <c r="G216" s="23">
        <f>F216/E216*100</f>
        <v>45.0289839452401</v>
      </c>
      <c r="H216" s="23">
        <f>H217+H218+H219+H220</f>
        <v>80</v>
      </c>
      <c r="I216" s="23">
        <f>I217+I218+I219+I220</f>
        <v>80</v>
      </c>
      <c r="J216" s="23">
        <f>I216/H216*100</f>
        <v>100</v>
      </c>
      <c r="K216" s="23">
        <f t="shared" ref="K216:AO216" si="289">K217+K218+K219+K220</f>
        <v>11775.500000000002</v>
      </c>
      <c r="L216" s="23">
        <f t="shared" si="289"/>
        <v>11775.500000000002</v>
      </c>
      <c r="M216" s="23">
        <f t="shared" ref="M216:M219" si="290">L216/K216*100</f>
        <v>100</v>
      </c>
      <c r="N216" s="23">
        <f t="shared" si="289"/>
        <v>8117.2</v>
      </c>
      <c r="O216" s="23">
        <f t="shared" si="289"/>
        <v>8117.2</v>
      </c>
      <c r="P216" s="23">
        <f t="shared" ref="P216:P219" si="291">O216/N216*100</f>
        <v>100</v>
      </c>
      <c r="Q216" s="23">
        <f t="shared" si="289"/>
        <v>16427.599999999999</v>
      </c>
      <c r="R216" s="23">
        <f t="shared" si="289"/>
        <v>13388.1</v>
      </c>
      <c r="S216" s="23">
        <f>R216/Q216*100</f>
        <v>81.497601597311856</v>
      </c>
      <c r="T216" s="23">
        <f t="shared" si="289"/>
        <v>17001.099999999999</v>
      </c>
      <c r="U216" s="23">
        <f t="shared" si="289"/>
        <v>16709</v>
      </c>
      <c r="V216" s="23">
        <f>U216/T216*100</f>
        <v>98.28187587861963</v>
      </c>
      <c r="W216" s="23">
        <f t="shared" si="289"/>
        <v>20134.5</v>
      </c>
      <c r="X216" s="23">
        <f t="shared" si="289"/>
        <v>13845.699999999999</v>
      </c>
      <c r="Y216" s="23">
        <f>X216/W216*100</f>
        <v>68.766048325014268</v>
      </c>
      <c r="Z216" s="23">
        <f t="shared" si="289"/>
        <v>0</v>
      </c>
      <c r="AA216" s="23">
        <f t="shared" si="289"/>
        <v>5.2</v>
      </c>
      <c r="AB216" s="23"/>
      <c r="AC216" s="23">
        <f t="shared" si="289"/>
        <v>0</v>
      </c>
      <c r="AD216" s="23">
        <f t="shared" si="289"/>
        <v>1.5</v>
      </c>
      <c r="AE216" s="21"/>
      <c r="AF216" s="23">
        <f t="shared" si="289"/>
        <v>80</v>
      </c>
      <c r="AG216" s="23">
        <f t="shared" si="289"/>
        <v>0</v>
      </c>
      <c r="AH216" s="23">
        <f>AG216/AF216*100</f>
        <v>0</v>
      </c>
      <c r="AI216" s="23">
        <f t="shared" si="289"/>
        <v>18333</v>
      </c>
      <c r="AJ216" s="23">
        <f t="shared" si="289"/>
        <v>0</v>
      </c>
      <c r="AK216" s="23">
        <f>AJ216/AI216*100</f>
        <v>0</v>
      </c>
      <c r="AL216" s="23">
        <f t="shared" si="289"/>
        <v>17063.899999999998</v>
      </c>
      <c r="AM216" s="23">
        <f t="shared" si="289"/>
        <v>0</v>
      </c>
      <c r="AN216" s="23">
        <f>AM216/AL216*100</f>
        <v>0</v>
      </c>
      <c r="AO216" s="23">
        <f t="shared" si="289"/>
        <v>32945.1</v>
      </c>
      <c r="AP216" s="23"/>
      <c r="AQ216" s="21">
        <f t="shared" ref="AQ216:AQ229" si="292">AP216/AO216</f>
        <v>0</v>
      </c>
      <c r="AR216" s="33"/>
      <c r="AS216" s="33"/>
    </row>
    <row r="217" spans="1:45" ht="13.2" customHeight="1" x14ac:dyDescent="0.3">
      <c r="A217" s="121"/>
      <c r="B217" s="105"/>
      <c r="C217" s="105"/>
      <c r="D217" s="35" t="s">
        <v>21</v>
      </c>
      <c r="E217" s="23">
        <f t="shared" si="288"/>
        <v>15326.5</v>
      </c>
      <c r="F217" s="23">
        <f t="shared" si="288"/>
        <v>5966.5000000000009</v>
      </c>
      <c r="G217" s="23">
        <f>F217/E217*100</f>
        <v>38.929305451342451</v>
      </c>
      <c r="H217" s="23"/>
      <c r="I217" s="23"/>
      <c r="J217" s="23"/>
      <c r="K217" s="23">
        <v>856.6</v>
      </c>
      <c r="L217" s="23">
        <v>856.6</v>
      </c>
      <c r="M217" s="23">
        <f t="shared" si="290"/>
        <v>100</v>
      </c>
      <c r="N217" s="23">
        <v>693.3</v>
      </c>
      <c r="O217" s="23">
        <v>693.3</v>
      </c>
      <c r="P217" s="23">
        <f t="shared" si="291"/>
        <v>100</v>
      </c>
      <c r="Q217" s="23">
        <v>1664</v>
      </c>
      <c r="R217" s="23">
        <v>1343.4</v>
      </c>
      <c r="S217" s="23">
        <f t="shared" ref="S217:S218" si="293">R217/Q217*100</f>
        <v>80.73317307692308</v>
      </c>
      <c r="T217" s="23">
        <v>1824</v>
      </c>
      <c r="U217" s="23">
        <v>1663.9</v>
      </c>
      <c r="V217" s="23">
        <f>U217/T217*100</f>
        <v>91.222587719298247</v>
      </c>
      <c r="W217" s="23">
        <f>1958+657.9</f>
        <v>2615.9</v>
      </c>
      <c r="X217" s="23">
        <v>1409.3</v>
      </c>
      <c r="Y217" s="23">
        <f>X217/W217*100</f>
        <v>53.874383577353868</v>
      </c>
      <c r="Z217" s="23"/>
      <c r="AA217" s="23">
        <v>0</v>
      </c>
      <c r="AB217" s="23"/>
      <c r="AC217" s="23"/>
      <c r="AD217" s="23"/>
      <c r="AE217" s="21"/>
      <c r="AF217" s="23">
        <v>0</v>
      </c>
      <c r="AG217" s="23">
        <v>0</v>
      </c>
      <c r="AH217" s="23"/>
      <c r="AI217" s="23">
        <v>2006</v>
      </c>
      <c r="AJ217" s="23"/>
      <c r="AK217" s="23">
        <f t="shared" ref="AK217:AK218" si="294">AJ217/AI217*100</f>
        <v>0</v>
      </c>
      <c r="AL217" s="23">
        <v>1741</v>
      </c>
      <c r="AM217" s="23"/>
      <c r="AN217" s="23"/>
      <c r="AO217" s="23">
        <f>2888+69.5+968.2</f>
        <v>3925.7</v>
      </c>
      <c r="AP217" s="23"/>
      <c r="AQ217" s="21"/>
      <c r="AR217" s="94" t="s">
        <v>156</v>
      </c>
      <c r="AS217" s="94" t="s">
        <v>167</v>
      </c>
    </row>
    <row r="218" spans="1:45" ht="24.6" customHeight="1" x14ac:dyDescent="0.3">
      <c r="A218" s="121"/>
      <c r="B218" s="105"/>
      <c r="C218" s="105"/>
      <c r="D218" s="35" t="s">
        <v>4</v>
      </c>
      <c r="E218" s="23">
        <f t="shared" si="288"/>
        <v>105662.9</v>
      </c>
      <c r="F218" s="23">
        <f t="shared" si="288"/>
        <v>49607.1</v>
      </c>
      <c r="G218" s="23">
        <f>F218/E218*100</f>
        <v>46.948455891329886</v>
      </c>
      <c r="H218" s="23">
        <v>80</v>
      </c>
      <c r="I218" s="23">
        <v>80</v>
      </c>
      <c r="J218" s="23">
        <f>I218/H218*100</f>
        <v>100</v>
      </c>
      <c r="K218" s="23">
        <v>9754.7000000000007</v>
      </c>
      <c r="L218" s="23">
        <v>9754.7000000000007</v>
      </c>
      <c r="M218" s="23">
        <f t="shared" si="290"/>
        <v>100</v>
      </c>
      <c r="N218" s="23">
        <v>6292.7</v>
      </c>
      <c r="O218" s="23">
        <v>6292.7</v>
      </c>
      <c r="P218" s="23">
        <f t="shared" si="291"/>
        <v>100</v>
      </c>
      <c r="Q218" s="23">
        <f>12004.6-414.1</f>
        <v>11590.5</v>
      </c>
      <c r="R218" s="23">
        <v>10213.6</v>
      </c>
      <c r="S218" s="23">
        <f t="shared" si="293"/>
        <v>88.120443466632153</v>
      </c>
      <c r="T218" s="23">
        <f>13102.3-277.3</f>
        <v>12825</v>
      </c>
      <c r="U218" s="23">
        <v>12672.5</v>
      </c>
      <c r="V218" s="23">
        <f>U218/T218*100</f>
        <v>98.810916179337227</v>
      </c>
      <c r="W218" s="23">
        <f>12254.3+3535-1565.5</f>
        <v>14223.8</v>
      </c>
      <c r="X218" s="23">
        <v>10586.9</v>
      </c>
      <c r="Y218" s="23">
        <f>X218/W218*100</f>
        <v>74.430883448867391</v>
      </c>
      <c r="Z218" s="23"/>
      <c r="AA218" s="23">
        <v>5.2</v>
      </c>
      <c r="AB218" s="23"/>
      <c r="AC218" s="23"/>
      <c r="AD218" s="23">
        <v>1.5</v>
      </c>
      <c r="AE218" s="21"/>
      <c r="AF218" s="23">
        <v>80</v>
      </c>
      <c r="AG218" s="23">
        <v>0</v>
      </c>
      <c r="AH218" s="23">
        <f>AG218/AF218*100</f>
        <v>0</v>
      </c>
      <c r="AI218" s="23">
        <v>13860.9</v>
      </c>
      <c r="AJ218" s="23"/>
      <c r="AK218" s="23">
        <f t="shared" si="294"/>
        <v>0</v>
      </c>
      <c r="AL218" s="23">
        <v>12947.8</v>
      </c>
      <c r="AM218" s="23"/>
      <c r="AN218" s="23"/>
      <c r="AO218" s="23">
        <f>21339+375.8+2621.3-328.6</f>
        <v>24007.5</v>
      </c>
      <c r="AP218" s="24"/>
      <c r="AQ218" s="21">
        <f t="shared" si="292"/>
        <v>0</v>
      </c>
      <c r="AR218" s="96"/>
      <c r="AS218" s="96"/>
    </row>
    <row r="219" spans="1:45" ht="13.8" customHeight="1" x14ac:dyDescent="0.3">
      <c r="A219" s="121"/>
      <c r="B219" s="105"/>
      <c r="C219" s="105"/>
      <c r="D219" s="35" t="s">
        <v>44</v>
      </c>
      <c r="E219" s="23">
        <f t="shared" si="288"/>
        <v>20968.5</v>
      </c>
      <c r="F219" s="23">
        <f t="shared" si="288"/>
        <v>8348.6</v>
      </c>
      <c r="G219" s="23">
        <f>F219/E219*100</f>
        <v>39.814960536042157</v>
      </c>
      <c r="H219" s="23"/>
      <c r="I219" s="23"/>
      <c r="J219" s="21"/>
      <c r="K219" s="23">
        <v>1164.2</v>
      </c>
      <c r="L219" s="23">
        <v>1164.2</v>
      </c>
      <c r="M219" s="23">
        <f t="shared" si="290"/>
        <v>100</v>
      </c>
      <c r="N219" s="23">
        <v>1131.2</v>
      </c>
      <c r="O219" s="23">
        <v>1131.2</v>
      </c>
      <c r="P219" s="23">
        <f t="shared" si="291"/>
        <v>100</v>
      </c>
      <c r="Q219" s="23">
        <f>2621.1-790+1342</f>
        <v>3173.1</v>
      </c>
      <c r="R219" s="23">
        <v>1831.1</v>
      </c>
      <c r="S219" s="23">
        <f>R219/Q219*100</f>
        <v>57.706974252308463</v>
      </c>
      <c r="T219" s="23">
        <f>2904.1-552</f>
        <v>2352.1</v>
      </c>
      <c r="U219" s="23">
        <v>2372.6</v>
      </c>
      <c r="V219" s="23">
        <f>U219/T219*100</f>
        <v>100.87156158326603</v>
      </c>
      <c r="W219" s="23">
        <f>2848+446.8</f>
        <v>3294.8</v>
      </c>
      <c r="X219" s="23">
        <v>1849.5</v>
      </c>
      <c r="Y219" s="23">
        <f>X219/W219*100</f>
        <v>56.133907976204924</v>
      </c>
      <c r="Z219" s="23"/>
      <c r="AA219" s="23">
        <v>0</v>
      </c>
      <c r="AB219" s="23"/>
      <c r="AC219" s="23"/>
      <c r="AD219" s="23"/>
      <c r="AE219" s="21"/>
      <c r="AF219" s="23"/>
      <c r="AG219" s="23"/>
      <c r="AH219" s="23"/>
      <c r="AI219" s="23">
        <f>2816.1-350</f>
        <v>2466.1</v>
      </c>
      <c r="AJ219" s="23"/>
      <c r="AK219" s="23">
        <f>AJ219/AI219*100</f>
        <v>0</v>
      </c>
      <c r="AL219" s="23">
        <f>2725.1-350</f>
        <v>2375.1</v>
      </c>
      <c r="AM219" s="23"/>
      <c r="AN219" s="23"/>
      <c r="AO219" s="23">
        <f>3955.4+486+1212.5-642</f>
        <v>5011.8999999999996</v>
      </c>
      <c r="AP219" s="23"/>
      <c r="AQ219" s="21"/>
      <c r="AR219" s="95"/>
      <c r="AS219" s="95"/>
    </row>
    <row r="220" spans="1:45" ht="15.75" customHeight="1" x14ac:dyDescent="0.3">
      <c r="A220" s="121"/>
      <c r="B220" s="105"/>
      <c r="C220" s="105"/>
      <c r="D220" s="35" t="s">
        <v>22</v>
      </c>
      <c r="E220" s="23">
        <f t="shared" si="288"/>
        <v>0</v>
      </c>
      <c r="F220" s="23">
        <f t="shared" si="288"/>
        <v>0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4"/>
      <c r="AR220" s="33"/>
      <c r="AS220" s="33"/>
    </row>
    <row r="221" spans="1:45" ht="12.6" customHeight="1" x14ac:dyDescent="0.3">
      <c r="A221" s="121" t="s">
        <v>145</v>
      </c>
      <c r="B221" s="105" t="s">
        <v>147</v>
      </c>
      <c r="C221" s="105" t="s">
        <v>5</v>
      </c>
      <c r="D221" s="35" t="s">
        <v>3</v>
      </c>
      <c r="E221" s="23">
        <f t="shared" si="288"/>
        <v>32291.299999999996</v>
      </c>
      <c r="F221" s="23">
        <f t="shared" si="288"/>
        <v>13577.199999999999</v>
      </c>
      <c r="G221" s="23">
        <f>F221/E221*100</f>
        <v>42.046000006193623</v>
      </c>
      <c r="H221" s="23">
        <f>H222+H223+H224+H225</f>
        <v>0</v>
      </c>
      <c r="I221" s="23"/>
      <c r="J221" s="21"/>
      <c r="K221" s="23">
        <f t="shared" ref="K221:L221" si="295">K222+K223+K224+K225</f>
        <v>1949.2</v>
      </c>
      <c r="L221" s="23">
        <f t="shared" si="295"/>
        <v>1949.2</v>
      </c>
      <c r="M221" s="23">
        <f t="shared" ref="M221:M224" si="296">L221/K221*100</f>
        <v>100</v>
      </c>
      <c r="N221" s="23">
        <f t="shared" ref="N221:O221" si="297">N222+N223+N224+N225</f>
        <v>1577.6999999999998</v>
      </c>
      <c r="O221" s="23">
        <f t="shared" si="297"/>
        <v>1577.6999999999998</v>
      </c>
      <c r="P221" s="23">
        <f t="shared" ref="P221:P224" si="298">O221/N221*100</f>
        <v>100</v>
      </c>
      <c r="Q221" s="23">
        <f t="shared" ref="Q221:R221" si="299">Q222+Q223+Q224+Q225</f>
        <v>3397</v>
      </c>
      <c r="R221" s="23">
        <f t="shared" si="299"/>
        <v>3057</v>
      </c>
      <c r="S221" s="23">
        <f>R221/Q221*100</f>
        <v>89.991168678245515</v>
      </c>
      <c r="T221" s="23">
        <f t="shared" ref="T221:U221" si="300">T222+T223+T224+T225</f>
        <v>3955.7999999999997</v>
      </c>
      <c r="U221" s="23">
        <f t="shared" si="300"/>
        <v>3786.4000000000005</v>
      </c>
      <c r="V221" s="23">
        <f>U221/T221*100</f>
        <v>95.717680368067164</v>
      </c>
      <c r="W221" s="23">
        <f t="shared" ref="W221:X221" si="301">W222+W223+W224+W225</f>
        <v>4473.3999999999996</v>
      </c>
      <c r="X221" s="23">
        <f t="shared" si="301"/>
        <v>3206.8999999999996</v>
      </c>
      <c r="Y221" s="23">
        <f>X221/W221*100</f>
        <v>71.688201368086908</v>
      </c>
      <c r="Z221" s="23">
        <f t="shared" ref="Z221:AA221" si="302">Z222+Z223+Z224+Z225</f>
        <v>0</v>
      </c>
      <c r="AA221" s="23">
        <f t="shared" si="302"/>
        <v>0</v>
      </c>
      <c r="AB221" s="23"/>
      <c r="AC221" s="23">
        <f t="shared" ref="AC221:AD221" si="303">AC222+AC223+AC224+AC225</f>
        <v>0</v>
      </c>
      <c r="AD221" s="23">
        <f t="shared" si="303"/>
        <v>0</v>
      </c>
      <c r="AE221" s="21"/>
      <c r="AF221" s="23">
        <f t="shared" ref="AF221" si="304">AF222+AF223+AF224+AF225</f>
        <v>0</v>
      </c>
      <c r="AG221" s="23"/>
      <c r="AH221" s="21"/>
      <c r="AI221" s="23">
        <f t="shared" ref="AI221:AJ221" si="305">AI222+AI223+AI224+AI225</f>
        <v>4482.1000000000004</v>
      </c>
      <c r="AJ221" s="23">
        <f t="shared" si="305"/>
        <v>0</v>
      </c>
      <c r="AK221" s="23">
        <f>AJ221/AI221*100</f>
        <v>0</v>
      </c>
      <c r="AL221" s="23">
        <f t="shared" ref="AL221:AM221" si="306">AL222+AL223+AL224+AL225</f>
        <v>3940.1</v>
      </c>
      <c r="AM221" s="23">
        <f t="shared" si="306"/>
        <v>0</v>
      </c>
      <c r="AN221" s="23">
        <f>AM221/AL221*100</f>
        <v>0</v>
      </c>
      <c r="AO221" s="23">
        <f t="shared" ref="AO221" si="307">AO222+AO223+AO224+AO225</f>
        <v>8516</v>
      </c>
      <c r="AP221" s="23"/>
      <c r="AQ221" s="21">
        <f t="shared" ref="AQ221" si="308">AP221/AO221</f>
        <v>0</v>
      </c>
      <c r="AR221" s="33"/>
      <c r="AS221" s="33"/>
    </row>
    <row r="222" spans="1:45" ht="13.2" customHeight="1" x14ac:dyDescent="0.3">
      <c r="A222" s="121"/>
      <c r="B222" s="105"/>
      <c r="C222" s="105"/>
      <c r="D222" s="35" t="s">
        <v>21</v>
      </c>
      <c r="E222" s="23">
        <f t="shared" si="288"/>
        <v>15326.5</v>
      </c>
      <c r="F222" s="23">
        <f t="shared" si="288"/>
        <v>5966.5000000000009</v>
      </c>
      <c r="G222" s="23">
        <f>F222/E222*100</f>
        <v>38.929305451342451</v>
      </c>
      <c r="H222" s="23"/>
      <c r="I222" s="23"/>
      <c r="J222" s="23"/>
      <c r="K222" s="23">
        <v>856.6</v>
      </c>
      <c r="L222" s="23">
        <v>856.6</v>
      </c>
      <c r="M222" s="23">
        <f t="shared" si="296"/>
        <v>100</v>
      </c>
      <c r="N222" s="23">
        <v>693.3</v>
      </c>
      <c r="O222" s="23">
        <v>693.3</v>
      </c>
      <c r="P222" s="23">
        <f t="shared" si="298"/>
        <v>100</v>
      </c>
      <c r="Q222" s="23">
        <v>1664</v>
      </c>
      <c r="R222" s="23">
        <v>1343.4</v>
      </c>
      <c r="S222" s="23">
        <f t="shared" ref="S222" si="309">R222/Q222*100</f>
        <v>80.73317307692308</v>
      </c>
      <c r="T222" s="23">
        <v>1824</v>
      </c>
      <c r="U222" s="23">
        <v>1663.9</v>
      </c>
      <c r="V222" s="23">
        <f>U222/T222*100</f>
        <v>91.222587719298247</v>
      </c>
      <c r="W222" s="23">
        <f>1958+657.9</f>
        <v>2615.9</v>
      </c>
      <c r="X222" s="23">
        <v>1409.3</v>
      </c>
      <c r="Y222" s="23">
        <f>X222/W222*100</f>
        <v>53.874383577353868</v>
      </c>
      <c r="Z222" s="23"/>
      <c r="AA222" s="23">
        <v>0</v>
      </c>
      <c r="AB222" s="23"/>
      <c r="AC222" s="23"/>
      <c r="AD222" s="23"/>
      <c r="AE222" s="21"/>
      <c r="AF222" s="23">
        <v>0</v>
      </c>
      <c r="AG222" s="23">
        <v>0</v>
      </c>
      <c r="AH222" s="23"/>
      <c r="AI222" s="23">
        <v>2006</v>
      </c>
      <c r="AJ222" s="23"/>
      <c r="AK222" s="23">
        <f t="shared" ref="AK222:AK223" si="310">AJ222/AI222*100</f>
        <v>0</v>
      </c>
      <c r="AL222" s="23">
        <v>1741</v>
      </c>
      <c r="AM222" s="23"/>
      <c r="AN222" s="23"/>
      <c r="AO222" s="23">
        <f>2888+69.5+968.2</f>
        <v>3925.7</v>
      </c>
      <c r="AP222" s="23"/>
      <c r="AQ222" s="21"/>
      <c r="AR222" s="94" t="s">
        <v>157</v>
      </c>
      <c r="AS222" s="94" t="s">
        <v>167</v>
      </c>
    </row>
    <row r="223" spans="1:45" ht="24.6" customHeight="1" x14ac:dyDescent="0.3">
      <c r="A223" s="121"/>
      <c r="B223" s="105"/>
      <c r="C223" s="105"/>
      <c r="D223" s="35" t="s">
        <v>4</v>
      </c>
      <c r="E223" s="23">
        <f t="shared" si="288"/>
        <v>16146.900000000001</v>
      </c>
      <c r="F223" s="23">
        <f t="shared" si="288"/>
        <v>7292.3000000000011</v>
      </c>
      <c r="G223" s="23">
        <f>F223/E223*100</f>
        <v>45.162229282400958</v>
      </c>
      <c r="H223" s="23">
        <v>0</v>
      </c>
      <c r="I223" s="23"/>
      <c r="J223" s="21"/>
      <c r="K223" s="23">
        <v>1046.9000000000001</v>
      </c>
      <c r="L223" s="23">
        <v>1046.9000000000001</v>
      </c>
      <c r="M223" s="23">
        <f t="shared" si="296"/>
        <v>100</v>
      </c>
      <c r="N223" s="23">
        <v>847.4</v>
      </c>
      <c r="O223" s="23">
        <v>847.4</v>
      </c>
      <c r="P223" s="23">
        <f t="shared" si="298"/>
        <v>100</v>
      </c>
      <c r="Q223" s="23">
        <v>1641.9</v>
      </c>
      <c r="R223" s="23">
        <v>1641.9</v>
      </c>
      <c r="S223" s="23">
        <f>R223/Q223*100</f>
        <v>100</v>
      </c>
      <c r="T223" s="23">
        <v>2033.7</v>
      </c>
      <c r="U223" s="23">
        <v>2033.7</v>
      </c>
      <c r="V223" s="23">
        <f t="shared" ref="V223:V224" si="311">U223/T223*100</f>
        <v>100</v>
      </c>
      <c r="W223" s="23">
        <v>1722.5</v>
      </c>
      <c r="X223" s="23">
        <v>1722.4</v>
      </c>
      <c r="Y223" s="23">
        <f>X223/W223*100</f>
        <v>99.994194484760527</v>
      </c>
      <c r="Z223" s="23"/>
      <c r="AA223" s="23">
        <v>0</v>
      </c>
      <c r="AB223" s="23"/>
      <c r="AC223" s="23">
        <v>0</v>
      </c>
      <c r="AD223" s="23"/>
      <c r="AE223" s="21"/>
      <c r="AF223" s="23">
        <v>0</v>
      </c>
      <c r="AG223" s="23"/>
      <c r="AH223" s="21"/>
      <c r="AI223" s="23">
        <v>2370</v>
      </c>
      <c r="AJ223" s="23"/>
      <c r="AK223" s="23">
        <f t="shared" si="310"/>
        <v>0</v>
      </c>
      <c r="AL223" s="23">
        <v>2110</v>
      </c>
      <c r="AM223" s="23"/>
      <c r="AN223" s="23"/>
      <c r="AO223" s="23">
        <f>3445.1+85.3+1172.7-328.6</f>
        <v>4374.5</v>
      </c>
      <c r="AP223" s="24"/>
      <c r="AQ223" s="21">
        <f t="shared" ref="AQ223" si="312">AP223/AO223</f>
        <v>0</v>
      </c>
      <c r="AR223" s="96"/>
      <c r="AS223" s="96"/>
    </row>
    <row r="224" spans="1:45" ht="13.2" customHeight="1" x14ac:dyDescent="0.3">
      <c r="A224" s="121"/>
      <c r="B224" s="105"/>
      <c r="C224" s="105"/>
      <c r="D224" s="35" t="s">
        <v>44</v>
      </c>
      <c r="E224" s="23">
        <f t="shared" si="288"/>
        <v>817.90000000000009</v>
      </c>
      <c r="F224" s="23">
        <f t="shared" si="288"/>
        <v>318.39999999999998</v>
      </c>
      <c r="G224" s="23">
        <f>F224/E224*100</f>
        <v>38.928964421078369</v>
      </c>
      <c r="H224" s="23"/>
      <c r="I224" s="23"/>
      <c r="J224" s="21"/>
      <c r="K224" s="23">
        <v>45.7</v>
      </c>
      <c r="L224" s="23">
        <v>45.7</v>
      </c>
      <c r="M224" s="23">
        <f t="shared" si="296"/>
        <v>100</v>
      </c>
      <c r="N224" s="23">
        <v>37</v>
      </c>
      <c r="O224" s="23">
        <v>37</v>
      </c>
      <c r="P224" s="23">
        <f t="shared" si="298"/>
        <v>100</v>
      </c>
      <c r="Q224" s="23">
        <v>91.1</v>
      </c>
      <c r="R224" s="23">
        <v>71.7</v>
      </c>
      <c r="S224" s="23">
        <f>R224/Q224*100</f>
        <v>78.704720087815588</v>
      </c>
      <c r="T224" s="23">
        <v>98.1</v>
      </c>
      <c r="U224" s="23">
        <v>88.8</v>
      </c>
      <c r="V224" s="23">
        <f t="shared" si="311"/>
        <v>90.519877675840974</v>
      </c>
      <c r="W224" s="23">
        <f>99+36</f>
        <v>135</v>
      </c>
      <c r="X224" s="23">
        <v>75.2</v>
      </c>
      <c r="Y224" s="23">
        <f>X224/W224*100</f>
        <v>55.703703703703709</v>
      </c>
      <c r="Z224" s="23">
        <v>0</v>
      </c>
      <c r="AA224" s="23">
        <v>0</v>
      </c>
      <c r="AB224" s="23"/>
      <c r="AC224" s="23">
        <v>0</v>
      </c>
      <c r="AD224" s="23"/>
      <c r="AE224" s="21"/>
      <c r="AF224" s="23"/>
      <c r="AG224" s="23"/>
      <c r="AH224" s="21"/>
      <c r="AI224" s="23">
        <v>106.1</v>
      </c>
      <c r="AJ224" s="23"/>
      <c r="AK224" s="23">
        <f>AJ224/AI224*100</f>
        <v>0</v>
      </c>
      <c r="AL224" s="23">
        <v>89.1</v>
      </c>
      <c r="AM224" s="23"/>
      <c r="AN224" s="23"/>
      <c r="AO224" s="23">
        <f>164.6+2+49.2</f>
        <v>215.8</v>
      </c>
      <c r="AP224" s="23"/>
      <c r="AQ224" s="21"/>
      <c r="AR224" s="95"/>
      <c r="AS224" s="95"/>
    </row>
    <row r="225" spans="1:45" ht="13.2" customHeight="1" x14ac:dyDescent="0.3">
      <c r="A225" s="121"/>
      <c r="B225" s="105"/>
      <c r="C225" s="105"/>
      <c r="D225" s="35" t="s">
        <v>22</v>
      </c>
      <c r="E225" s="23">
        <f t="shared" si="288"/>
        <v>0</v>
      </c>
      <c r="F225" s="23">
        <f t="shared" si="288"/>
        <v>0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4"/>
      <c r="AR225" s="33"/>
      <c r="AS225" s="33"/>
    </row>
    <row r="226" spans="1:45" x14ac:dyDescent="0.3">
      <c r="A226" s="119" t="s">
        <v>14</v>
      </c>
      <c r="B226" s="119"/>
      <c r="C226" s="119"/>
      <c r="D226" s="36" t="s">
        <v>3</v>
      </c>
      <c r="E226" s="37">
        <f t="shared" si="288"/>
        <v>141957.9</v>
      </c>
      <c r="F226" s="37">
        <f t="shared" si="288"/>
        <v>63922.2</v>
      </c>
      <c r="G226" s="37">
        <f>F226/E226*100</f>
        <v>45.0289839452401</v>
      </c>
      <c r="H226" s="37">
        <f>H227+H228+H229+H230</f>
        <v>80</v>
      </c>
      <c r="I226" s="37">
        <f>I227+I228+I229+I230</f>
        <v>80</v>
      </c>
      <c r="J226" s="37">
        <f>I226/H226*100</f>
        <v>100</v>
      </c>
      <c r="K226" s="37">
        <f t="shared" ref="K226:AO226" si="313">K227+K228+K229+K230</f>
        <v>11775.500000000002</v>
      </c>
      <c r="L226" s="37">
        <f t="shared" si="313"/>
        <v>11775.500000000002</v>
      </c>
      <c r="M226" s="37">
        <f t="shared" ref="M226:M229" si="314">L226/K226*100</f>
        <v>100</v>
      </c>
      <c r="N226" s="37">
        <f t="shared" si="313"/>
        <v>8117.2</v>
      </c>
      <c r="O226" s="37">
        <f t="shared" si="313"/>
        <v>8117.2</v>
      </c>
      <c r="P226" s="37">
        <f t="shared" ref="P226:P229" si="315">O226/N226*100</f>
        <v>100</v>
      </c>
      <c r="Q226" s="37">
        <f t="shared" si="313"/>
        <v>16427.599999999999</v>
      </c>
      <c r="R226" s="37">
        <f t="shared" si="313"/>
        <v>13388.1</v>
      </c>
      <c r="S226" s="37">
        <f>R226/Q226*100</f>
        <v>81.497601597311856</v>
      </c>
      <c r="T226" s="37">
        <f t="shared" si="313"/>
        <v>17001.099999999999</v>
      </c>
      <c r="U226" s="37">
        <f t="shared" si="313"/>
        <v>16709</v>
      </c>
      <c r="V226" s="37">
        <f>U226/T226*100</f>
        <v>98.28187587861963</v>
      </c>
      <c r="W226" s="37">
        <f t="shared" si="313"/>
        <v>20134.5</v>
      </c>
      <c r="X226" s="37">
        <f t="shared" si="313"/>
        <v>13845.699999999999</v>
      </c>
      <c r="Y226" s="37">
        <f>X226/W226*100</f>
        <v>68.766048325014268</v>
      </c>
      <c r="Z226" s="37">
        <f t="shared" si="313"/>
        <v>0</v>
      </c>
      <c r="AA226" s="37">
        <f t="shared" si="313"/>
        <v>5.2</v>
      </c>
      <c r="AB226" s="37"/>
      <c r="AC226" s="37">
        <f t="shared" si="313"/>
        <v>0</v>
      </c>
      <c r="AD226" s="37">
        <f t="shared" si="313"/>
        <v>1.5</v>
      </c>
      <c r="AE226" s="37"/>
      <c r="AF226" s="37">
        <f t="shared" si="313"/>
        <v>80</v>
      </c>
      <c r="AG226" s="37">
        <f t="shared" si="313"/>
        <v>0</v>
      </c>
      <c r="AH226" s="22"/>
      <c r="AI226" s="37">
        <f t="shared" si="313"/>
        <v>18333</v>
      </c>
      <c r="AJ226" s="37">
        <f t="shared" si="313"/>
        <v>0</v>
      </c>
      <c r="AK226" s="37">
        <f>AJ226/AI226*100</f>
        <v>0</v>
      </c>
      <c r="AL226" s="37">
        <f t="shared" si="313"/>
        <v>17063.899999999998</v>
      </c>
      <c r="AM226" s="37">
        <f t="shared" si="313"/>
        <v>0</v>
      </c>
      <c r="AN226" s="37">
        <f>AM226/AL226*100</f>
        <v>0</v>
      </c>
      <c r="AO226" s="37">
        <f t="shared" si="313"/>
        <v>32945.1</v>
      </c>
      <c r="AP226" s="37"/>
      <c r="AQ226" s="22">
        <f t="shared" si="292"/>
        <v>0</v>
      </c>
      <c r="AR226" s="33"/>
      <c r="AS226" s="33"/>
    </row>
    <row r="227" spans="1:45" ht="15" customHeight="1" x14ac:dyDescent="0.3">
      <c r="A227" s="119"/>
      <c r="B227" s="119"/>
      <c r="C227" s="119"/>
      <c r="D227" s="36" t="s">
        <v>21</v>
      </c>
      <c r="E227" s="37">
        <f t="shared" si="288"/>
        <v>15326.5</v>
      </c>
      <c r="F227" s="37">
        <f t="shared" si="288"/>
        <v>5966.5000000000009</v>
      </c>
      <c r="G227" s="37">
        <f>F227/E227*100</f>
        <v>38.929305451342451</v>
      </c>
      <c r="H227" s="37">
        <f t="shared" ref="H227:I230" si="316">H197+H202+H207+H212+H217</f>
        <v>0</v>
      </c>
      <c r="I227" s="37">
        <f t="shared" si="316"/>
        <v>0</v>
      </c>
      <c r="J227" s="37"/>
      <c r="K227" s="37">
        <f t="shared" ref="K227:L230" si="317">K197+K202+K207+K212+K217</f>
        <v>856.6</v>
      </c>
      <c r="L227" s="37">
        <f t="shared" si="317"/>
        <v>856.6</v>
      </c>
      <c r="M227" s="37">
        <f t="shared" si="314"/>
        <v>100</v>
      </c>
      <c r="N227" s="37">
        <f t="shared" ref="N227:O230" si="318">N197+N202+N207+N212+N217</f>
        <v>693.3</v>
      </c>
      <c r="O227" s="37">
        <f t="shared" si="318"/>
        <v>693.3</v>
      </c>
      <c r="P227" s="37"/>
      <c r="Q227" s="37">
        <f t="shared" ref="Q227:R230" si="319">Q197+Q202+Q207+Q212+Q217</f>
        <v>1664</v>
      </c>
      <c r="R227" s="37">
        <f t="shared" si="319"/>
        <v>1343.4</v>
      </c>
      <c r="S227" s="37">
        <f>R227/Q227*100</f>
        <v>80.73317307692308</v>
      </c>
      <c r="T227" s="37">
        <f t="shared" ref="T227:U230" si="320">T197+T202+T207+T212+T217</f>
        <v>1824</v>
      </c>
      <c r="U227" s="37">
        <f t="shared" si="320"/>
        <v>1663.9</v>
      </c>
      <c r="V227" s="37">
        <f>U227/T227*100</f>
        <v>91.222587719298247</v>
      </c>
      <c r="W227" s="37">
        <f t="shared" ref="W227:X230" si="321">W197+W202+W207+W212+W217</f>
        <v>2615.9</v>
      </c>
      <c r="X227" s="37">
        <f t="shared" si="321"/>
        <v>1409.3</v>
      </c>
      <c r="Y227" s="37">
        <f t="shared" ref="Y227:Y229" si="322">X227/W227*100</f>
        <v>53.874383577353868</v>
      </c>
      <c r="Z227" s="37">
        <f t="shared" ref="Z227:AA230" si="323">Z197+Z202+Z207+Z212+Z217</f>
        <v>0</v>
      </c>
      <c r="AA227" s="37">
        <f t="shared" si="323"/>
        <v>0</v>
      </c>
      <c r="AB227" s="37"/>
      <c r="AC227" s="37">
        <f t="shared" ref="AC227:AD230" si="324">AC197+AC202+AC207+AC212+AC217</f>
        <v>0</v>
      </c>
      <c r="AD227" s="37">
        <f t="shared" si="324"/>
        <v>0</v>
      </c>
      <c r="AE227" s="37"/>
      <c r="AF227" s="37">
        <f t="shared" ref="AF227:AG229" si="325">AF197+AF202+AF207+AF212+AF217</f>
        <v>0</v>
      </c>
      <c r="AG227" s="37">
        <f t="shared" si="325"/>
        <v>0</v>
      </c>
      <c r="AH227" s="22"/>
      <c r="AI227" s="37">
        <f t="shared" ref="AI227:AJ229" si="326">AI197+AI202+AI207+AI212+AI217</f>
        <v>2006</v>
      </c>
      <c r="AJ227" s="37">
        <f t="shared" si="326"/>
        <v>0</v>
      </c>
      <c r="AK227" s="37">
        <f>AJ227/AI227*100</f>
        <v>0</v>
      </c>
      <c r="AL227" s="37">
        <f t="shared" ref="AL227:AM229" si="327">AL197+AL202+AL207+AL212+AL217</f>
        <v>1741</v>
      </c>
      <c r="AM227" s="37">
        <f t="shared" si="327"/>
        <v>0</v>
      </c>
      <c r="AN227" s="37">
        <f>AM227/AL227*100</f>
        <v>0</v>
      </c>
      <c r="AO227" s="37">
        <f>AO197+AO202+AO207+AO212+AO217</f>
        <v>3925.7</v>
      </c>
      <c r="AP227" s="24"/>
      <c r="AQ227" s="22"/>
      <c r="AR227" s="33"/>
      <c r="AS227" s="33"/>
    </row>
    <row r="228" spans="1:45" ht="25.5" customHeight="1" x14ac:dyDescent="0.3">
      <c r="A228" s="119"/>
      <c r="B228" s="119"/>
      <c r="C228" s="119"/>
      <c r="D228" s="36" t="s">
        <v>4</v>
      </c>
      <c r="E228" s="37">
        <f t="shared" si="288"/>
        <v>105662.9</v>
      </c>
      <c r="F228" s="37">
        <f t="shared" si="288"/>
        <v>49607.1</v>
      </c>
      <c r="G228" s="37">
        <f t="shared" ref="G228:G229" si="328">F228/E228*100</f>
        <v>46.948455891329886</v>
      </c>
      <c r="H228" s="37">
        <f t="shared" si="316"/>
        <v>80</v>
      </c>
      <c r="I228" s="37">
        <f t="shared" si="316"/>
        <v>80</v>
      </c>
      <c r="J228" s="37">
        <f t="shared" ref="J228" si="329">I228/H228*100</f>
        <v>100</v>
      </c>
      <c r="K228" s="37">
        <f t="shared" si="317"/>
        <v>9754.7000000000007</v>
      </c>
      <c r="L228" s="37">
        <f t="shared" si="317"/>
        <v>9754.7000000000007</v>
      </c>
      <c r="M228" s="37">
        <f t="shared" si="314"/>
        <v>100</v>
      </c>
      <c r="N228" s="37">
        <f t="shared" si="318"/>
        <v>6292.7</v>
      </c>
      <c r="O228" s="37">
        <f t="shared" si="318"/>
        <v>6292.7</v>
      </c>
      <c r="P228" s="37">
        <f t="shared" si="315"/>
        <v>100</v>
      </c>
      <c r="Q228" s="37">
        <f t="shared" si="319"/>
        <v>11590.5</v>
      </c>
      <c r="R228" s="37">
        <f t="shared" si="319"/>
        <v>10213.6</v>
      </c>
      <c r="S228" s="37">
        <f t="shared" ref="S228:S229" si="330">R228/Q228*100</f>
        <v>88.120443466632153</v>
      </c>
      <c r="T228" s="37">
        <f t="shared" si="320"/>
        <v>12825</v>
      </c>
      <c r="U228" s="37">
        <f t="shared" si="320"/>
        <v>12672.5</v>
      </c>
      <c r="V228" s="37">
        <f t="shared" ref="V228:V229" si="331">U228/T228*100</f>
        <v>98.810916179337227</v>
      </c>
      <c r="W228" s="37">
        <f t="shared" si="321"/>
        <v>14223.8</v>
      </c>
      <c r="X228" s="37">
        <f t="shared" si="321"/>
        <v>10586.9</v>
      </c>
      <c r="Y228" s="37">
        <f t="shared" si="322"/>
        <v>74.430883448867391</v>
      </c>
      <c r="Z228" s="37">
        <f t="shared" si="323"/>
        <v>0</v>
      </c>
      <c r="AA228" s="37">
        <f t="shared" si="323"/>
        <v>5.2</v>
      </c>
      <c r="AB228" s="37"/>
      <c r="AC228" s="37">
        <f t="shared" si="324"/>
        <v>0</v>
      </c>
      <c r="AD228" s="37">
        <f t="shared" si="324"/>
        <v>1.5</v>
      </c>
      <c r="AE228" s="37"/>
      <c r="AF228" s="37">
        <f t="shared" si="325"/>
        <v>80</v>
      </c>
      <c r="AG228" s="37">
        <f t="shared" si="325"/>
        <v>0</v>
      </c>
      <c r="AH228" s="22"/>
      <c r="AI228" s="37">
        <f t="shared" si="326"/>
        <v>13860.9</v>
      </c>
      <c r="AJ228" s="37">
        <f t="shared" si="326"/>
        <v>0</v>
      </c>
      <c r="AK228" s="37">
        <f t="shared" ref="AK228:AK229" si="332">AJ228/AI228*100</f>
        <v>0</v>
      </c>
      <c r="AL228" s="37">
        <f t="shared" si="327"/>
        <v>12947.8</v>
      </c>
      <c r="AM228" s="37">
        <f t="shared" si="327"/>
        <v>0</v>
      </c>
      <c r="AN228" s="37">
        <f t="shared" ref="AN228:AN229" si="333">AM228/AL228*100</f>
        <v>0</v>
      </c>
      <c r="AO228" s="37">
        <f>AO198+AO203+AO208+AO213+AO218</f>
        <v>24007.5</v>
      </c>
      <c r="AP228" s="24"/>
      <c r="AQ228" s="22">
        <f t="shared" si="292"/>
        <v>0</v>
      </c>
      <c r="AR228" s="33"/>
      <c r="AS228" s="33"/>
    </row>
    <row r="229" spans="1:45" x14ac:dyDescent="0.3">
      <c r="A229" s="119"/>
      <c r="B229" s="119"/>
      <c r="C229" s="119"/>
      <c r="D229" s="36" t="s">
        <v>44</v>
      </c>
      <c r="E229" s="37">
        <f t="shared" si="288"/>
        <v>20968.5</v>
      </c>
      <c r="F229" s="37">
        <f t="shared" si="288"/>
        <v>8348.6</v>
      </c>
      <c r="G229" s="37">
        <f t="shared" si="328"/>
        <v>39.814960536042157</v>
      </c>
      <c r="H229" s="37">
        <f t="shared" si="316"/>
        <v>0</v>
      </c>
      <c r="I229" s="37">
        <f t="shared" si="316"/>
        <v>0</v>
      </c>
      <c r="J229" s="37"/>
      <c r="K229" s="37">
        <f t="shared" si="317"/>
        <v>1164.2</v>
      </c>
      <c r="L229" s="37">
        <f t="shared" si="317"/>
        <v>1164.2</v>
      </c>
      <c r="M229" s="37">
        <f t="shared" si="314"/>
        <v>100</v>
      </c>
      <c r="N229" s="37">
        <f t="shared" si="318"/>
        <v>1131.2</v>
      </c>
      <c r="O229" s="37">
        <f t="shared" si="318"/>
        <v>1131.2</v>
      </c>
      <c r="P229" s="37">
        <f t="shared" si="315"/>
        <v>100</v>
      </c>
      <c r="Q229" s="37">
        <f t="shared" si="319"/>
        <v>3173.1</v>
      </c>
      <c r="R229" s="37">
        <f t="shared" si="319"/>
        <v>1831.1</v>
      </c>
      <c r="S229" s="37">
        <f t="shared" si="330"/>
        <v>57.706974252308463</v>
      </c>
      <c r="T229" s="37">
        <f t="shared" si="320"/>
        <v>2352.1</v>
      </c>
      <c r="U229" s="37">
        <f t="shared" si="320"/>
        <v>2372.6</v>
      </c>
      <c r="V229" s="37">
        <f t="shared" si="331"/>
        <v>100.87156158326603</v>
      </c>
      <c r="W229" s="37">
        <f t="shared" si="321"/>
        <v>3294.8</v>
      </c>
      <c r="X229" s="37">
        <f t="shared" si="321"/>
        <v>1849.5</v>
      </c>
      <c r="Y229" s="37">
        <f t="shared" si="322"/>
        <v>56.133907976204924</v>
      </c>
      <c r="Z229" s="37">
        <f t="shared" si="323"/>
        <v>0</v>
      </c>
      <c r="AA229" s="37">
        <f t="shared" si="323"/>
        <v>0</v>
      </c>
      <c r="AB229" s="37"/>
      <c r="AC229" s="37">
        <f t="shared" si="324"/>
        <v>0</v>
      </c>
      <c r="AD229" s="37">
        <f t="shared" si="324"/>
        <v>0</v>
      </c>
      <c r="AE229" s="37"/>
      <c r="AF229" s="37">
        <f t="shared" si="325"/>
        <v>0</v>
      </c>
      <c r="AG229" s="37">
        <f t="shared" si="325"/>
        <v>0</v>
      </c>
      <c r="AH229" s="22"/>
      <c r="AI229" s="37">
        <f t="shared" si="326"/>
        <v>2466.1</v>
      </c>
      <c r="AJ229" s="37">
        <f t="shared" si="326"/>
        <v>0</v>
      </c>
      <c r="AK229" s="37">
        <f t="shared" si="332"/>
        <v>0</v>
      </c>
      <c r="AL229" s="37">
        <f t="shared" si="327"/>
        <v>2375.1</v>
      </c>
      <c r="AM229" s="37">
        <f t="shared" si="327"/>
        <v>0</v>
      </c>
      <c r="AN229" s="37">
        <f t="shared" si="333"/>
        <v>0</v>
      </c>
      <c r="AO229" s="37">
        <f>AO199+AO204+AO209+AO214+AO219</f>
        <v>5011.8999999999996</v>
      </c>
      <c r="AP229" s="24"/>
      <c r="AQ229" s="22">
        <f t="shared" si="292"/>
        <v>0</v>
      </c>
      <c r="AR229" s="33"/>
      <c r="AS229" s="33"/>
    </row>
    <row r="230" spans="1:45" ht="14.25" customHeight="1" x14ac:dyDescent="0.3">
      <c r="A230" s="119"/>
      <c r="B230" s="119"/>
      <c r="C230" s="119"/>
      <c r="D230" s="36" t="s">
        <v>22</v>
      </c>
      <c r="E230" s="37">
        <f t="shared" si="288"/>
        <v>0</v>
      </c>
      <c r="F230" s="37">
        <f t="shared" si="288"/>
        <v>0</v>
      </c>
      <c r="G230" s="37"/>
      <c r="H230" s="37">
        <f t="shared" si="316"/>
        <v>0</v>
      </c>
      <c r="I230" s="37">
        <f t="shared" si="316"/>
        <v>0</v>
      </c>
      <c r="J230" s="37"/>
      <c r="K230" s="37">
        <f t="shared" si="317"/>
        <v>0</v>
      </c>
      <c r="L230" s="37">
        <f t="shared" si="317"/>
        <v>0</v>
      </c>
      <c r="M230" s="37"/>
      <c r="N230" s="37">
        <f t="shared" si="318"/>
        <v>0</v>
      </c>
      <c r="O230" s="37">
        <f t="shared" si="318"/>
        <v>0</v>
      </c>
      <c r="P230" s="37"/>
      <c r="Q230" s="37">
        <f t="shared" si="319"/>
        <v>0</v>
      </c>
      <c r="R230" s="37">
        <f t="shared" si="319"/>
        <v>0</v>
      </c>
      <c r="S230" s="37"/>
      <c r="T230" s="37">
        <f t="shared" si="320"/>
        <v>0</v>
      </c>
      <c r="U230" s="37">
        <f t="shared" si="320"/>
        <v>0</v>
      </c>
      <c r="V230" s="37"/>
      <c r="W230" s="37">
        <f t="shared" si="321"/>
        <v>0</v>
      </c>
      <c r="X230" s="37">
        <f t="shared" si="321"/>
        <v>0</v>
      </c>
      <c r="Y230" s="37"/>
      <c r="Z230" s="37">
        <f t="shared" si="323"/>
        <v>0</v>
      </c>
      <c r="AA230" s="37">
        <f t="shared" si="323"/>
        <v>0</v>
      </c>
      <c r="AB230" s="37"/>
      <c r="AC230" s="37">
        <f t="shared" si="324"/>
        <v>0</v>
      </c>
      <c r="AD230" s="37">
        <f t="shared" si="324"/>
        <v>0</v>
      </c>
      <c r="AE230" s="37"/>
      <c r="AF230" s="37">
        <f>AF200+AF205+AF210+AF215+AF220</f>
        <v>0</v>
      </c>
      <c r="AG230" s="37"/>
      <c r="AH230" s="37"/>
      <c r="AI230" s="37">
        <f>AI200+AI205+AI210+AI215+AI220</f>
        <v>0</v>
      </c>
      <c r="AJ230" s="37"/>
      <c r="AK230" s="37"/>
      <c r="AL230" s="37">
        <f>AL200+AL205+AL210+AL215+AL220</f>
        <v>0</v>
      </c>
      <c r="AM230" s="37"/>
      <c r="AN230" s="37"/>
      <c r="AO230" s="37">
        <f>AO200+AO205+AO210+AO215+AO220</f>
        <v>0</v>
      </c>
      <c r="AP230" s="24"/>
      <c r="AQ230" s="25"/>
      <c r="AR230" s="33"/>
      <c r="AS230" s="33"/>
    </row>
    <row r="231" spans="1:45" ht="13.5" customHeight="1" x14ac:dyDescent="0.3">
      <c r="A231" s="35" t="s">
        <v>76</v>
      </c>
      <c r="B231" s="34" t="s">
        <v>15</v>
      </c>
      <c r="C231" s="34"/>
      <c r="D231" s="34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34"/>
      <c r="AQ231" s="34"/>
      <c r="AR231" s="33"/>
      <c r="AS231" s="33"/>
    </row>
    <row r="232" spans="1:45" ht="15" customHeight="1" x14ac:dyDescent="0.3">
      <c r="A232" s="122" t="s">
        <v>77</v>
      </c>
      <c r="B232" s="105" t="s">
        <v>173</v>
      </c>
      <c r="C232" s="105" t="s">
        <v>5</v>
      </c>
      <c r="D232" s="35" t="s">
        <v>3</v>
      </c>
      <c r="E232" s="23">
        <f t="shared" ref="E232:F257" si="334">H232+K232+N232+Q232+T232+W232+Z232+AC232+AF232+AI232+AL232+AO232</f>
        <v>909.6</v>
      </c>
      <c r="F232" s="23">
        <f t="shared" si="334"/>
        <v>272.8</v>
      </c>
      <c r="G232" s="23">
        <f>F232/E232*100</f>
        <v>29.991204925241867</v>
      </c>
      <c r="H232" s="23">
        <f>H233+H234+H235+H236</f>
        <v>0</v>
      </c>
      <c r="I232" s="23"/>
      <c r="J232" s="21"/>
      <c r="K232" s="23">
        <f>K233+K234+K235+K236</f>
        <v>102</v>
      </c>
      <c r="L232" s="23">
        <f>L233+L234+L235+L236</f>
        <v>102</v>
      </c>
      <c r="M232" s="23">
        <f>L232/K232*100</f>
        <v>100</v>
      </c>
      <c r="N232" s="23">
        <f t="shared" ref="N232:AO232" si="335">N233+N234+N235+N236</f>
        <v>0</v>
      </c>
      <c r="O232" s="23"/>
      <c r="P232" s="23"/>
      <c r="Q232" s="23">
        <f t="shared" si="335"/>
        <v>66</v>
      </c>
      <c r="R232" s="23">
        <f t="shared" si="335"/>
        <v>66</v>
      </c>
      <c r="S232" s="23">
        <f>R232/Q232*100</f>
        <v>100</v>
      </c>
      <c r="T232" s="23">
        <f t="shared" si="335"/>
        <v>0</v>
      </c>
      <c r="U232" s="23">
        <f t="shared" si="335"/>
        <v>0</v>
      </c>
      <c r="V232" s="21"/>
      <c r="W232" s="23">
        <f t="shared" si="335"/>
        <v>105.1</v>
      </c>
      <c r="X232" s="23">
        <f t="shared" si="335"/>
        <v>104.8</v>
      </c>
      <c r="Y232" s="23">
        <f>X232/W232*100</f>
        <v>99.714557564224549</v>
      </c>
      <c r="Z232" s="23">
        <f t="shared" si="335"/>
        <v>0</v>
      </c>
      <c r="AA232" s="23">
        <f t="shared" si="335"/>
        <v>0</v>
      </c>
      <c r="AB232" s="23"/>
      <c r="AC232" s="23">
        <f t="shared" si="335"/>
        <v>0</v>
      </c>
      <c r="AD232" s="23">
        <f t="shared" si="335"/>
        <v>0</v>
      </c>
      <c r="AE232" s="23"/>
      <c r="AF232" s="23">
        <f t="shared" si="335"/>
        <v>514.70000000000005</v>
      </c>
      <c r="AG232" s="23">
        <f t="shared" si="335"/>
        <v>0</v>
      </c>
      <c r="AH232" s="23"/>
      <c r="AI232" s="23">
        <f t="shared" si="335"/>
        <v>0</v>
      </c>
      <c r="AJ232" s="23">
        <f t="shared" si="335"/>
        <v>0</v>
      </c>
      <c r="AK232" s="23" t="e">
        <f>AJ232/AI232*100</f>
        <v>#DIV/0!</v>
      </c>
      <c r="AL232" s="23">
        <f t="shared" si="335"/>
        <v>41.8</v>
      </c>
      <c r="AM232" s="23">
        <f t="shared" si="335"/>
        <v>0</v>
      </c>
      <c r="AN232" s="23">
        <f>AM232/AL232*100</f>
        <v>0</v>
      </c>
      <c r="AO232" s="23">
        <f t="shared" si="335"/>
        <v>80</v>
      </c>
      <c r="AP232" s="23"/>
      <c r="AQ232" s="21">
        <f t="shared" ref="AQ232:AQ256" si="336">AP232/AO232</f>
        <v>0</v>
      </c>
      <c r="AR232" s="33"/>
      <c r="AS232" s="33"/>
    </row>
    <row r="233" spans="1:45" ht="15" customHeight="1" x14ac:dyDescent="0.3">
      <c r="A233" s="122"/>
      <c r="B233" s="105"/>
      <c r="C233" s="105"/>
      <c r="D233" s="35" t="s">
        <v>21</v>
      </c>
      <c r="E233" s="23">
        <f t="shared" si="334"/>
        <v>0</v>
      </c>
      <c r="F233" s="23">
        <f t="shared" si="334"/>
        <v>0</v>
      </c>
      <c r="G233" s="23"/>
      <c r="H233" s="23">
        <v>0</v>
      </c>
      <c r="I233" s="23"/>
      <c r="J233" s="21"/>
      <c r="K233" s="23"/>
      <c r="L233" s="23"/>
      <c r="M233" s="23"/>
      <c r="N233" s="23">
        <v>0</v>
      </c>
      <c r="O233" s="23"/>
      <c r="P233" s="23"/>
      <c r="Q233" s="23"/>
      <c r="R233" s="23"/>
      <c r="S233" s="23"/>
      <c r="T233" s="23"/>
      <c r="U233" s="23"/>
      <c r="V233" s="21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1"/>
      <c r="AR233" s="33"/>
      <c r="AS233" s="33"/>
    </row>
    <row r="234" spans="1:45" ht="48.6" customHeight="1" x14ac:dyDescent="0.3">
      <c r="A234" s="122"/>
      <c r="B234" s="105"/>
      <c r="C234" s="105"/>
      <c r="D234" s="35" t="s">
        <v>4</v>
      </c>
      <c r="E234" s="23">
        <f t="shared" si="334"/>
        <v>360.3</v>
      </c>
      <c r="F234" s="23">
        <f t="shared" si="334"/>
        <v>0</v>
      </c>
      <c r="G234" s="23">
        <f>F234/E234*100</f>
        <v>0</v>
      </c>
      <c r="H234" s="23"/>
      <c r="I234" s="23"/>
      <c r="J234" s="21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1"/>
      <c r="W234" s="23">
        <f>1338-1338</f>
        <v>0</v>
      </c>
      <c r="X234" s="23"/>
      <c r="Y234" s="23"/>
      <c r="Z234" s="23"/>
      <c r="AA234" s="23"/>
      <c r="AB234" s="23"/>
      <c r="AC234" s="23"/>
      <c r="AD234" s="23"/>
      <c r="AE234" s="23"/>
      <c r="AF234" s="23">
        <v>360.3</v>
      </c>
      <c r="AG234" s="23">
        <v>0</v>
      </c>
      <c r="AH234" s="23"/>
      <c r="AI234" s="23"/>
      <c r="AJ234" s="23"/>
      <c r="AK234" s="23" t="e">
        <f t="shared" ref="AK234:AK235" si="337">AJ234/AI234*100</f>
        <v>#DIV/0!</v>
      </c>
      <c r="AL234" s="23"/>
      <c r="AM234" s="23"/>
      <c r="AN234" s="23"/>
      <c r="AO234" s="23"/>
      <c r="AP234" s="23"/>
      <c r="AQ234" s="21"/>
      <c r="AR234" s="40"/>
      <c r="AS234" s="94" t="s">
        <v>201</v>
      </c>
    </row>
    <row r="235" spans="1:45" ht="39.6" customHeight="1" x14ac:dyDescent="0.3">
      <c r="A235" s="122"/>
      <c r="B235" s="105"/>
      <c r="C235" s="105"/>
      <c r="D235" s="35" t="s">
        <v>44</v>
      </c>
      <c r="E235" s="23">
        <f>H235+K235+N235+Q235+T235+W235+Z235+AC235+AF235+AI235+AL235+AO235</f>
        <v>549.29999999999995</v>
      </c>
      <c r="F235" s="23">
        <f>I235+L235+O235+R235+U235+X235+AA235+AD235+AG235+AJ235+AM235+AP235</f>
        <v>272.8</v>
      </c>
      <c r="G235" s="23">
        <f t="shared" ref="G235" si="338">F235/E235*100</f>
        <v>49.66320771891499</v>
      </c>
      <c r="H235" s="23"/>
      <c r="I235" s="23"/>
      <c r="J235" s="21"/>
      <c r="K235" s="23">
        <v>102</v>
      </c>
      <c r="L235" s="23">
        <v>102</v>
      </c>
      <c r="M235" s="23">
        <f t="shared" ref="M235" si="339">L235/K235*100</f>
        <v>100</v>
      </c>
      <c r="N235" s="23"/>
      <c r="O235" s="23"/>
      <c r="P235" s="23"/>
      <c r="Q235" s="23">
        <v>66</v>
      </c>
      <c r="R235" s="23">
        <v>66</v>
      </c>
      <c r="S235" s="23">
        <f t="shared" ref="S235:S245" si="340">R235/Q235*100</f>
        <v>100</v>
      </c>
      <c r="T235" s="23"/>
      <c r="U235" s="23"/>
      <c r="V235" s="21"/>
      <c r="W235" s="23">
        <v>105.1</v>
      </c>
      <c r="X235" s="23">
        <v>104.8</v>
      </c>
      <c r="Y235" s="23">
        <f t="shared" ref="Y235" si="341">X235/W235*100</f>
        <v>99.714557564224549</v>
      </c>
      <c r="Z235" s="23">
        <f>105.1-105.1</f>
        <v>0</v>
      </c>
      <c r="AA235" s="23"/>
      <c r="AB235" s="23"/>
      <c r="AC235" s="23"/>
      <c r="AD235" s="23"/>
      <c r="AE235" s="23"/>
      <c r="AF235" s="23">
        <v>154.4</v>
      </c>
      <c r="AG235" s="23">
        <v>0</v>
      </c>
      <c r="AH235" s="23"/>
      <c r="AI235" s="23"/>
      <c r="AJ235" s="23"/>
      <c r="AK235" s="23" t="e">
        <f t="shared" si="337"/>
        <v>#DIV/0!</v>
      </c>
      <c r="AL235" s="23">
        <v>41.8</v>
      </c>
      <c r="AM235" s="23"/>
      <c r="AN235" s="23">
        <f t="shared" ref="AN235" si="342">AM235/AL235*100</f>
        <v>0</v>
      </c>
      <c r="AO235" s="23">
        <v>80</v>
      </c>
      <c r="AP235" s="23"/>
      <c r="AQ235" s="21">
        <f t="shared" si="336"/>
        <v>0</v>
      </c>
      <c r="AR235" s="79" t="s">
        <v>160</v>
      </c>
      <c r="AS235" s="95"/>
    </row>
    <row r="236" spans="1:45" ht="16.2" customHeight="1" x14ac:dyDescent="0.3">
      <c r="A236" s="122"/>
      <c r="B236" s="105"/>
      <c r="C236" s="105"/>
      <c r="D236" s="35" t="s">
        <v>22</v>
      </c>
      <c r="E236" s="23">
        <f t="shared" si="334"/>
        <v>0</v>
      </c>
      <c r="F236" s="23">
        <f t="shared" si="334"/>
        <v>0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4"/>
      <c r="AR236" s="33"/>
      <c r="AS236" s="33"/>
    </row>
    <row r="237" spans="1:45" ht="15" customHeight="1" x14ac:dyDescent="0.3">
      <c r="A237" s="123" t="s">
        <v>175</v>
      </c>
      <c r="B237" s="105" t="s">
        <v>174</v>
      </c>
      <c r="C237" s="105" t="s">
        <v>5</v>
      </c>
      <c r="D237" s="35" t="s">
        <v>3</v>
      </c>
      <c r="E237" s="23">
        <f t="shared" si="334"/>
        <v>514.70000000000005</v>
      </c>
      <c r="F237" s="23">
        <f t="shared" si="334"/>
        <v>0</v>
      </c>
      <c r="G237" s="23">
        <f>F237/E237*100</f>
        <v>0</v>
      </c>
      <c r="H237" s="23">
        <f>H238+H239+H240+H241</f>
        <v>0</v>
      </c>
      <c r="I237" s="23"/>
      <c r="J237" s="21"/>
      <c r="K237" s="23">
        <f>K238+K239+K240+K241</f>
        <v>0</v>
      </c>
      <c r="L237" s="23">
        <f>L238+L239+L240+L241</f>
        <v>0</v>
      </c>
      <c r="M237" s="23"/>
      <c r="N237" s="23">
        <f t="shared" ref="N237" si="343">N238+N239+N240+N241</f>
        <v>0</v>
      </c>
      <c r="O237" s="23"/>
      <c r="P237" s="23"/>
      <c r="Q237" s="23">
        <f t="shared" ref="Q237:R237" si="344">Q238+Q239+Q240+Q241</f>
        <v>0</v>
      </c>
      <c r="R237" s="23">
        <f t="shared" si="344"/>
        <v>0</v>
      </c>
      <c r="S237" s="23"/>
      <c r="T237" s="23">
        <f t="shared" ref="T237:U237" si="345">T238+T239+T240+T241</f>
        <v>0</v>
      </c>
      <c r="U237" s="23">
        <f t="shared" si="345"/>
        <v>0</v>
      </c>
      <c r="V237" s="21"/>
      <c r="W237" s="23">
        <f t="shared" ref="W237:X237" si="346">W238+W239+W240+W241</f>
        <v>0</v>
      </c>
      <c r="X237" s="23">
        <f t="shared" si="346"/>
        <v>0</v>
      </c>
      <c r="Y237" s="23"/>
      <c r="Z237" s="23">
        <f t="shared" ref="Z237:AA237" si="347">Z238+Z239+Z240+Z241</f>
        <v>0</v>
      </c>
      <c r="AA237" s="23">
        <f t="shared" si="347"/>
        <v>0</v>
      </c>
      <c r="AB237" s="23"/>
      <c r="AC237" s="23">
        <f t="shared" ref="AC237:AD237" si="348">AC238+AC239+AC240+AC241</f>
        <v>0</v>
      </c>
      <c r="AD237" s="23">
        <f t="shared" si="348"/>
        <v>0</v>
      </c>
      <c r="AE237" s="23"/>
      <c r="AF237" s="23">
        <f t="shared" ref="AF237:AG237" si="349">AF238+AF239+AF240+AF241</f>
        <v>514.70000000000005</v>
      </c>
      <c r="AG237" s="23">
        <f t="shared" si="349"/>
        <v>0</v>
      </c>
      <c r="AH237" s="23"/>
      <c r="AI237" s="23">
        <f t="shared" ref="AI237:AJ237" si="350">AI238+AI239+AI240+AI241</f>
        <v>0</v>
      </c>
      <c r="AJ237" s="23">
        <f t="shared" si="350"/>
        <v>0</v>
      </c>
      <c r="AK237" s="23" t="e">
        <f>AJ237/AI237*100</f>
        <v>#DIV/0!</v>
      </c>
      <c r="AL237" s="23">
        <f t="shared" ref="AL237:AM237" si="351">AL238+AL239+AL240+AL241</f>
        <v>0</v>
      </c>
      <c r="AM237" s="23">
        <f t="shared" si="351"/>
        <v>0</v>
      </c>
      <c r="AN237" s="23" t="e">
        <f>AM237/AL237*100</f>
        <v>#DIV/0!</v>
      </c>
      <c r="AO237" s="23">
        <f t="shared" ref="AO237" si="352">AO238+AO239+AO240+AO241</f>
        <v>0</v>
      </c>
      <c r="AP237" s="23"/>
      <c r="AQ237" s="21" t="e">
        <f t="shared" ref="AQ237" si="353">AP237/AO237</f>
        <v>#DIV/0!</v>
      </c>
      <c r="AR237" s="33"/>
      <c r="AS237" s="33"/>
    </row>
    <row r="238" spans="1:45" ht="15" customHeight="1" x14ac:dyDescent="0.3">
      <c r="A238" s="122"/>
      <c r="B238" s="105"/>
      <c r="C238" s="105"/>
      <c r="D238" s="35" t="s">
        <v>21</v>
      </c>
      <c r="E238" s="23">
        <f t="shared" si="334"/>
        <v>0</v>
      </c>
      <c r="F238" s="23">
        <f t="shared" si="334"/>
        <v>0</v>
      </c>
      <c r="G238" s="23"/>
      <c r="H238" s="23">
        <v>0</v>
      </c>
      <c r="I238" s="23"/>
      <c r="J238" s="21"/>
      <c r="K238" s="23"/>
      <c r="L238" s="23"/>
      <c r="M238" s="23"/>
      <c r="N238" s="23">
        <v>0</v>
      </c>
      <c r="O238" s="23"/>
      <c r="P238" s="23"/>
      <c r="Q238" s="23"/>
      <c r="R238" s="23"/>
      <c r="S238" s="23"/>
      <c r="T238" s="23"/>
      <c r="U238" s="23"/>
      <c r="V238" s="21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1"/>
      <c r="AR238" s="33"/>
      <c r="AS238" s="33"/>
    </row>
    <row r="239" spans="1:45" ht="49.8" customHeight="1" x14ac:dyDescent="0.3">
      <c r="A239" s="122"/>
      <c r="B239" s="105"/>
      <c r="C239" s="105"/>
      <c r="D239" s="35" t="s">
        <v>4</v>
      </c>
      <c r="E239" s="23">
        <f t="shared" si="334"/>
        <v>360.3</v>
      </c>
      <c r="F239" s="23">
        <f t="shared" si="334"/>
        <v>0</v>
      </c>
      <c r="G239" s="23">
        <f>F239/E239*100</f>
        <v>0</v>
      </c>
      <c r="H239" s="23"/>
      <c r="I239" s="23"/>
      <c r="J239" s="21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1"/>
      <c r="W239" s="23">
        <f>1338-1338</f>
        <v>0</v>
      </c>
      <c r="X239" s="23"/>
      <c r="Y239" s="23"/>
      <c r="Z239" s="23"/>
      <c r="AA239" s="23"/>
      <c r="AB239" s="23"/>
      <c r="AC239" s="23"/>
      <c r="AD239" s="23"/>
      <c r="AE239" s="23"/>
      <c r="AF239" s="23">
        <v>360.3</v>
      </c>
      <c r="AG239" s="23">
        <v>0</v>
      </c>
      <c r="AH239" s="23"/>
      <c r="AI239" s="23"/>
      <c r="AJ239" s="23"/>
      <c r="AK239" s="23" t="e">
        <f t="shared" ref="AK239:AK240" si="354">AJ239/AI239*100</f>
        <v>#DIV/0!</v>
      </c>
      <c r="AL239" s="23"/>
      <c r="AM239" s="23"/>
      <c r="AN239" s="23"/>
      <c r="AO239" s="23"/>
      <c r="AP239" s="23"/>
      <c r="AQ239" s="21"/>
      <c r="AR239" s="40"/>
      <c r="AS239" s="94" t="s">
        <v>201</v>
      </c>
    </row>
    <row r="240" spans="1:45" ht="36.6" customHeight="1" x14ac:dyDescent="0.3">
      <c r="A240" s="122"/>
      <c r="B240" s="105"/>
      <c r="C240" s="105"/>
      <c r="D240" s="35" t="s">
        <v>44</v>
      </c>
      <c r="E240" s="23">
        <f>H240+K240+N240+Q240+T240+W240+Z240+AC240+AF240+AI240+AL240+AO240</f>
        <v>154.4</v>
      </c>
      <c r="F240" s="23">
        <f>I240+L240+O240+R240+U240+X240+AA240+AD240+AG240+AJ240+AM240+AP240</f>
        <v>0</v>
      </c>
      <c r="G240" s="23">
        <f t="shared" ref="G240" si="355">F240/E240*100</f>
        <v>0</v>
      </c>
      <c r="H240" s="23"/>
      <c r="I240" s="23"/>
      <c r="J240" s="21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1"/>
      <c r="W240" s="23"/>
      <c r="X240" s="23"/>
      <c r="Y240" s="23"/>
      <c r="Z240" s="23"/>
      <c r="AA240" s="23"/>
      <c r="AB240" s="23"/>
      <c r="AC240" s="23"/>
      <c r="AD240" s="23"/>
      <c r="AE240" s="23"/>
      <c r="AF240" s="23">
        <v>154.4</v>
      </c>
      <c r="AG240" s="23">
        <v>0</v>
      </c>
      <c r="AH240" s="23"/>
      <c r="AI240" s="23"/>
      <c r="AJ240" s="23"/>
      <c r="AK240" s="23" t="e">
        <f t="shared" si="354"/>
        <v>#DIV/0!</v>
      </c>
      <c r="AL240" s="23"/>
      <c r="AM240" s="23"/>
      <c r="AN240" s="23"/>
      <c r="AO240" s="23"/>
      <c r="AP240" s="23"/>
      <c r="AQ240" s="21" t="e">
        <f t="shared" ref="AQ240" si="356">AP240/AO240</f>
        <v>#DIV/0!</v>
      </c>
      <c r="AR240" s="79"/>
      <c r="AS240" s="95"/>
    </row>
    <row r="241" spans="1:45" ht="16.2" customHeight="1" x14ac:dyDescent="0.3">
      <c r="A241" s="122"/>
      <c r="B241" s="105"/>
      <c r="C241" s="105"/>
      <c r="D241" s="35" t="s">
        <v>22</v>
      </c>
      <c r="E241" s="23">
        <f t="shared" ref="E241:F241" si="357">H241+K241+N241+Q241+T241+W241+Z241+AC241+AF241+AI241+AL241+AO241</f>
        <v>0</v>
      </c>
      <c r="F241" s="23">
        <f t="shared" si="357"/>
        <v>0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4"/>
      <c r="AR241" s="33"/>
      <c r="AS241" s="33"/>
    </row>
    <row r="242" spans="1:45" ht="12" customHeight="1" x14ac:dyDescent="0.3">
      <c r="A242" s="122" t="s">
        <v>106</v>
      </c>
      <c r="B242" s="105" t="s">
        <v>107</v>
      </c>
      <c r="C242" s="105" t="s">
        <v>5</v>
      </c>
      <c r="D242" s="35" t="s">
        <v>3</v>
      </c>
      <c r="E242" s="23">
        <f t="shared" si="334"/>
        <v>207.5</v>
      </c>
      <c r="F242" s="23">
        <f t="shared" si="334"/>
        <v>0</v>
      </c>
      <c r="G242" s="23">
        <f>F242/E242*100</f>
        <v>0</v>
      </c>
      <c r="H242" s="23">
        <f>H243+H244+H245+H246</f>
        <v>0</v>
      </c>
      <c r="I242" s="23"/>
      <c r="J242" s="21"/>
      <c r="K242" s="23">
        <f t="shared" ref="K242:AO242" si="358">K243+K244+K245+K246</f>
        <v>0</v>
      </c>
      <c r="L242" s="23"/>
      <c r="M242" s="21"/>
      <c r="N242" s="23">
        <f t="shared" si="358"/>
        <v>0</v>
      </c>
      <c r="O242" s="23"/>
      <c r="P242" s="21"/>
      <c r="Q242" s="23">
        <f t="shared" si="358"/>
        <v>60</v>
      </c>
      <c r="R242" s="23">
        <f t="shared" si="358"/>
        <v>0</v>
      </c>
      <c r="S242" s="23">
        <f t="shared" si="340"/>
        <v>0</v>
      </c>
      <c r="T242" s="23">
        <f t="shared" si="358"/>
        <v>0</v>
      </c>
      <c r="U242" s="23"/>
      <c r="V242" s="21"/>
      <c r="W242" s="23">
        <f t="shared" si="358"/>
        <v>0</v>
      </c>
      <c r="X242" s="23"/>
      <c r="Y242" s="21"/>
      <c r="Z242" s="23">
        <f t="shared" si="358"/>
        <v>0</v>
      </c>
      <c r="AA242" s="23"/>
      <c r="AB242" s="21"/>
      <c r="AC242" s="23">
        <f t="shared" si="358"/>
        <v>0</v>
      </c>
      <c r="AD242" s="23">
        <f t="shared" si="358"/>
        <v>0</v>
      </c>
      <c r="AE242" s="21"/>
      <c r="AF242" s="23">
        <f t="shared" si="358"/>
        <v>59.8</v>
      </c>
      <c r="AG242" s="23">
        <f t="shared" si="358"/>
        <v>0</v>
      </c>
      <c r="AH242" s="23">
        <f>AG242/AF242*100</f>
        <v>0</v>
      </c>
      <c r="AI242" s="23">
        <f t="shared" si="358"/>
        <v>0</v>
      </c>
      <c r="AJ242" s="23">
        <f t="shared" si="358"/>
        <v>0</v>
      </c>
      <c r="AK242" s="23"/>
      <c r="AL242" s="23">
        <f t="shared" si="358"/>
        <v>87.7</v>
      </c>
      <c r="AM242" s="23"/>
      <c r="AN242" s="21"/>
      <c r="AO242" s="23">
        <f t="shared" si="358"/>
        <v>0</v>
      </c>
      <c r="AP242" s="23"/>
      <c r="AQ242" s="21" t="e">
        <f t="shared" si="336"/>
        <v>#DIV/0!</v>
      </c>
      <c r="AR242" s="33"/>
      <c r="AS242" s="33"/>
    </row>
    <row r="243" spans="1:45" x14ac:dyDescent="0.3">
      <c r="A243" s="122"/>
      <c r="B243" s="105"/>
      <c r="C243" s="105"/>
      <c r="D243" s="35" t="s">
        <v>21</v>
      </c>
      <c r="E243" s="23">
        <f t="shared" si="334"/>
        <v>0</v>
      </c>
      <c r="F243" s="23">
        <f t="shared" si="334"/>
        <v>0</v>
      </c>
      <c r="G243" s="23"/>
      <c r="H243" s="23"/>
      <c r="I243" s="23"/>
      <c r="J243" s="21"/>
      <c r="K243" s="23"/>
      <c r="L243" s="23"/>
      <c r="M243" s="21"/>
      <c r="N243" s="23"/>
      <c r="O243" s="23"/>
      <c r="P243" s="21"/>
      <c r="Q243" s="23"/>
      <c r="R243" s="23"/>
      <c r="S243" s="23"/>
      <c r="T243" s="23"/>
      <c r="U243" s="23"/>
      <c r="V243" s="21"/>
      <c r="W243" s="23"/>
      <c r="X243" s="23"/>
      <c r="Y243" s="21"/>
      <c r="Z243" s="23"/>
      <c r="AA243" s="23"/>
      <c r="AB243" s="21"/>
      <c r="AC243" s="23"/>
      <c r="AD243" s="23"/>
      <c r="AE243" s="21"/>
      <c r="AF243" s="23"/>
      <c r="AG243" s="23"/>
      <c r="AH243" s="23"/>
      <c r="AI243" s="23"/>
      <c r="AJ243" s="23"/>
      <c r="AK243" s="23"/>
      <c r="AL243" s="23"/>
      <c r="AM243" s="23"/>
      <c r="AN243" s="21"/>
      <c r="AO243" s="23"/>
      <c r="AP243" s="23"/>
      <c r="AQ243" s="21"/>
      <c r="AR243" s="33"/>
      <c r="AS243" s="33"/>
    </row>
    <row r="244" spans="1:45" ht="24" x14ac:dyDescent="0.3">
      <c r="A244" s="122"/>
      <c r="B244" s="105"/>
      <c r="C244" s="105"/>
      <c r="D244" s="35" t="s">
        <v>4</v>
      </c>
      <c r="E244" s="23">
        <f t="shared" si="334"/>
        <v>0</v>
      </c>
      <c r="F244" s="23">
        <f t="shared" si="334"/>
        <v>0</v>
      </c>
      <c r="G244" s="23"/>
      <c r="H244" s="23"/>
      <c r="I244" s="23"/>
      <c r="J244" s="21"/>
      <c r="K244" s="23"/>
      <c r="L244" s="23"/>
      <c r="M244" s="21"/>
      <c r="N244" s="23"/>
      <c r="O244" s="23"/>
      <c r="P244" s="21"/>
      <c r="Q244" s="23"/>
      <c r="R244" s="23"/>
      <c r="S244" s="23"/>
      <c r="T244" s="23"/>
      <c r="U244" s="23"/>
      <c r="V244" s="21"/>
      <c r="W244" s="23"/>
      <c r="X244" s="23"/>
      <c r="Y244" s="21"/>
      <c r="Z244" s="23"/>
      <c r="AA244" s="23"/>
      <c r="AB244" s="21"/>
      <c r="AC244" s="23"/>
      <c r="AD244" s="23"/>
      <c r="AE244" s="21"/>
      <c r="AF244" s="23"/>
      <c r="AG244" s="23"/>
      <c r="AH244" s="23"/>
      <c r="AI244" s="23"/>
      <c r="AJ244" s="23"/>
      <c r="AK244" s="23"/>
      <c r="AL244" s="23"/>
      <c r="AM244" s="23"/>
      <c r="AN244" s="21"/>
      <c r="AO244" s="23"/>
      <c r="AP244" s="23"/>
      <c r="AQ244" s="21"/>
      <c r="AR244" s="33"/>
      <c r="AS244" s="33"/>
    </row>
    <row r="245" spans="1:45" ht="24.6" x14ac:dyDescent="0.3">
      <c r="A245" s="122"/>
      <c r="B245" s="105"/>
      <c r="C245" s="105"/>
      <c r="D245" s="35" t="s">
        <v>44</v>
      </c>
      <c r="E245" s="23">
        <f t="shared" si="334"/>
        <v>207.5</v>
      </c>
      <c r="F245" s="23">
        <f t="shared" si="334"/>
        <v>0</v>
      </c>
      <c r="G245" s="23">
        <f t="shared" ref="G245" si="359">F245/E245*100</f>
        <v>0</v>
      </c>
      <c r="H245" s="23"/>
      <c r="I245" s="23"/>
      <c r="J245" s="21"/>
      <c r="K245" s="23"/>
      <c r="L245" s="23"/>
      <c r="M245" s="21"/>
      <c r="N245" s="23">
        <f>60-60</f>
        <v>0</v>
      </c>
      <c r="O245" s="23"/>
      <c r="P245" s="21"/>
      <c r="Q245" s="23">
        <v>60</v>
      </c>
      <c r="R245" s="23">
        <v>0</v>
      </c>
      <c r="S245" s="23">
        <f t="shared" si="340"/>
        <v>0</v>
      </c>
      <c r="T245" s="23"/>
      <c r="U245" s="23"/>
      <c r="V245" s="21"/>
      <c r="W245" s="23">
        <f>59.8-59.8</f>
        <v>0</v>
      </c>
      <c r="X245" s="23"/>
      <c r="Y245" s="21"/>
      <c r="Z245" s="23"/>
      <c r="AA245" s="23"/>
      <c r="AB245" s="21"/>
      <c r="AC245" s="23"/>
      <c r="AD245" s="23"/>
      <c r="AE245" s="21"/>
      <c r="AF245" s="23">
        <v>59.8</v>
      </c>
      <c r="AG245" s="23">
        <v>0</v>
      </c>
      <c r="AH245" s="23">
        <f t="shared" ref="AH245" si="360">AG245/AF245*100</f>
        <v>0</v>
      </c>
      <c r="AI245" s="23"/>
      <c r="AJ245" s="23"/>
      <c r="AK245" s="23"/>
      <c r="AL245" s="23">
        <v>87.7</v>
      </c>
      <c r="AM245" s="23"/>
      <c r="AN245" s="21"/>
      <c r="AO245" s="23"/>
      <c r="AP245" s="23"/>
      <c r="AQ245" s="21" t="e">
        <f t="shared" si="336"/>
        <v>#DIV/0!</v>
      </c>
      <c r="AR245" s="40"/>
      <c r="AS245" s="40" t="s">
        <v>190</v>
      </c>
    </row>
    <row r="246" spans="1:45" ht="12" customHeight="1" x14ac:dyDescent="0.3">
      <c r="A246" s="122"/>
      <c r="B246" s="105"/>
      <c r="C246" s="105"/>
      <c r="D246" s="35" t="s">
        <v>22</v>
      </c>
      <c r="E246" s="23">
        <f t="shared" si="334"/>
        <v>0</v>
      </c>
      <c r="F246" s="23">
        <f t="shared" si="334"/>
        <v>0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4"/>
      <c r="AR246" s="33"/>
      <c r="AS246" s="33"/>
    </row>
    <row r="247" spans="1:45" ht="13.2" customHeight="1" x14ac:dyDescent="0.3">
      <c r="A247" s="147" t="s">
        <v>78</v>
      </c>
      <c r="B247" s="94" t="s">
        <v>108</v>
      </c>
      <c r="C247" s="94" t="s">
        <v>5</v>
      </c>
      <c r="D247" s="35" t="s">
        <v>3</v>
      </c>
      <c r="E247" s="23">
        <f>H247+K247+N247+Q247+T247+W247+Z247+AC247+AF247+AI247+AL247+AO247</f>
        <v>232.8</v>
      </c>
      <c r="F247" s="23">
        <f t="shared" si="334"/>
        <v>150.80000000000001</v>
      </c>
      <c r="G247" s="23">
        <f>F247/E247*100</f>
        <v>64.776632302405503</v>
      </c>
      <c r="H247" s="23">
        <f>H248+H249+H250+H251</f>
        <v>0</v>
      </c>
      <c r="I247" s="23"/>
      <c r="J247" s="21"/>
      <c r="K247" s="23">
        <f>K248+K249+K250+K251</f>
        <v>0</v>
      </c>
      <c r="L247" s="23">
        <f>L248+L249+L250+L251</f>
        <v>0</v>
      </c>
      <c r="M247" s="23"/>
      <c r="N247" s="23">
        <f t="shared" ref="N247:AO247" si="361">N248+N249+N250+N251</f>
        <v>6</v>
      </c>
      <c r="O247" s="23">
        <f t="shared" si="361"/>
        <v>6</v>
      </c>
      <c r="P247" s="23">
        <f t="shared" ref="P247:P250" si="362">O247/N247*100</f>
        <v>100</v>
      </c>
      <c r="Q247" s="23">
        <f t="shared" si="361"/>
        <v>18</v>
      </c>
      <c r="R247" s="23">
        <f t="shared" si="361"/>
        <v>18</v>
      </c>
      <c r="S247" s="23">
        <f t="shared" ref="S247" si="363">R247/Q247*100</f>
        <v>100</v>
      </c>
      <c r="T247" s="23">
        <f t="shared" si="361"/>
        <v>6</v>
      </c>
      <c r="U247" s="23">
        <f t="shared" si="361"/>
        <v>6</v>
      </c>
      <c r="V247" s="23">
        <f>U247/T247*100</f>
        <v>100</v>
      </c>
      <c r="W247" s="23">
        <f t="shared" si="361"/>
        <v>120.8</v>
      </c>
      <c r="X247" s="23">
        <f t="shared" si="361"/>
        <v>120.8</v>
      </c>
      <c r="Y247" s="23">
        <f>X247/W247*100</f>
        <v>100</v>
      </c>
      <c r="Z247" s="23">
        <f t="shared" si="361"/>
        <v>0</v>
      </c>
      <c r="AA247" s="23"/>
      <c r="AB247" s="21"/>
      <c r="AC247" s="23">
        <f t="shared" si="361"/>
        <v>70</v>
      </c>
      <c r="AD247" s="23">
        <f t="shared" si="361"/>
        <v>0</v>
      </c>
      <c r="AE247" s="23">
        <f>AD247/AC247*100</f>
        <v>0</v>
      </c>
      <c r="AF247" s="23">
        <f t="shared" si="361"/>
        <v>6</v>
      </c>
      <c r="AG247" s="23">
        <f t="shared" si="361"/>
        <v>0</v>
      </c>
      <c r="AH247" s="23">
        <f>AG247/AF247*100</f>
        <v>0</v>
      </c>
      <c r="AI247" s="23">
        <f t="shared" si="361"/>
        <v>0</v>
      </c>
      <c r="AJ247" s="23">
        <f t="shared" si="361"/>
        <v>0</v>
      </c>
      <c r="AK247" s="21"/>
      <c r="AL247" s="23">
        <f t="shared" si="361"/>
        <v>6</v>
      </c>
      <c r="AM247" s="23">
        <f t="shared" si="361"/>
        <v>0</v>
      </c>
      <c r="AN247" s="23">
        <f>AM247/AL247*100</f>
        <v>0</v>
      </c>
      <c r="AO247" s="23">
        <f t="shared" si="361"/>
        <v>0</v>
      </c>
      <c r="AP247" s="23"/>
      <c r="AQ247" s="21" t="e">
        <f t="shared" si="336"/>
        <v>#DIV/0!</v>
      </c>
      <c r="AR247" s="33"/>
      <c r="AS247" s="33"/>
    </row>
    <row r="248" spans="1:45" x14ac:dyDescent="0.3">
      <c r="A248" s="148"/>
      <c r="B248" s="96"/>
      <c r="C248" s="96"/>
      <c r="D248" s="35" t="s">
        <v>21</v>
      </c>
      <c r="E248" s="23">
        <f t="shared" si="334"/>
        <v>0</v>
      </c>
      <c r="F248" s="23">
        <f>I248+L248+O248+R248+U248+X248+AA248+AD248+AG248+AJ248+AM248+AP248</f>
        <v>0</v>
      </c>
      <c r="G248" s="23"/>
      <c r="H248" s="23"/>
      <c r="I248" s="23"/>
      <c r="J248" s="21"/>
      <c r="K248" s="23"/>
      <c r="L248" s="23"/>
      <c r="M248" s="23"/>
      <c r="N248" s="23"/>
      <c r="O248" s="23"/>
      <c r="P248" s="23"/>
      <c r="Q248" s="23"/>
      <c r="R248" s="23"/>
      <c r="S248" s="21"/>
      <c r="T248" s="23"/>
      <c r="U248" s="23"/>
      <c r="V248" s="23"/>
      <c r="W248" s="23"/>
      <c r="X248" s="23"/>
      <c r="Y248" s="23"/>
      <c r="Z248" s="23"/>
      <c r="AA248" s="23"/>
      <c r="AB248" s="21"/>
      <c r="AC248" s="23"/>
      <c r="AD248" s="23"/>
      <c r="AE248" s="23"/>
      <c r="AF248" s="23"/>
      <c r="AG248" s="23"/>
      <c r="AH248" s="23"/>
      <c r="AI248" s="23"/>
      <c r="AJ248" s="23"/>
      <c r="AK248" s="21"/>
      <c r="AL248" s="23"/>
      <c r="AM248" s="23"/>
      <c r="AN248" s="23"/>
      <c r="AO248" s="23"/>
      <c r="AP248" s="23"/>
      <c r="AQ248" s="21"/>
      <c r="AR248" s="33"/>
      <c r="AS248" s="33"/>
    </row>
    <row r="249" spans="1:45" ht="85.8" customHeight="1" x14ac:dyDescent="0.3">
      <c r="A249" s="148"/>
      <c r="B249" s="96"/>
      <c r="C249" s="96"/>
      <c r="D249" s="35" t="s">
        <v>4</v>
      </c>
      <c r="E249" s="23">
        <f t="shared" si="334"/>
        <v>70</v>
      </c>
      <c r="F249" s="23">
        <f t="shared" si="334"/>
        <v>0</v>
      </c>
      <c r="G249" s="23">
        <f>F249/E249*100</f>
        <v>0</v>
      </c>
      <c r="H249" s="23"/>
      <c r="I249" s="23"/>
      <c r="J249" s="21"/>
      <c r="K249" s="23"/>
      <c r="L249" s="23"/>
      <c r="M249" s="23"/>
      <c r="N249" s="23"/>
      <c r="O249" s="23"/>
      <c r="P249" s="23"/>
      <c r="Q249" s="23"/>
      <c r="R249" s="23"/>
      <c r="S249" s="21"/>
      <c r="T249" s="23"/>
      <c r="U249" s="23"/>
      <c r="V249" s="23"/>
      <c r="W249" s="23"/>
      <c r="X249" s="23"/>
      <c r="Y249" s="23"/>
      <c r="Z249" s="23"/>
      <c r="AA249" s="23"/>
      <c r="AB249" s="21"/>
      <c r="AC249" s="23">
        <v>70</v>
      </c>
      <c r="AD249" s="23">
        <v>0</v>
      </c>
      <c r="AE249" s="23">
        <f>AD249/AC249*100</f>
        <v>0</v>
      </c>
      <c r="AF249" s="23"/>
      <c r="AG249" s="23"/>
      <c r="AH249" s="23"/>
      <c r="AI249" s="23"/>
      <c r="AJ249" s="23"/>
      <c r="AK249" s="21"/>
      <c r="AL249" s="23"/>
      <c r="AM249" s="23"/>
      <c r="AN249" s="23"/>
      <c r="AO249" s="23"/>
      <c r="AP249" s="23"/>
      <c r="AQ249" s="21"/>
      <c r="AR249" s="91"/>
      <c r="AS249" s="91" t="s">
        <v>191</v>
      </c>
    </row>
    <row r="250" spans="1:45" ht="39.6" customHeight="1" x14ac:dyDescent="0.3">
      <c r="A250" s="148"/>
      <c r="B250" s="96"/>
      <c r="C250" s="96"/>
      <c r="D250" s="35" t="s">
        <v>44</v>
      </c>
      <c r="E250" s="23">
        <f t="shared" si="334"/>
        <v>162.80000000000001</v>
      </c>
      <c r="F250" s="23">
        <f t="shared" si="334"/>
        <v>150.80000000000001</v>
      </c>
      <c r="G250" s="23">
        <f t="shared" ref="G250" si="364">F250/E250*100</f>
        <v>92.628992628992634</v>
      </c>
      <c r="H250" s="23"/>
      <c r="I250" s="23"/>
      <c r="J250" s="21"/>
      <c r="K250" s="23"/>
      <c r="L250" s="23"/>
      <c r="M250" s="23"/>
      <c r="N250" s="23">
        <v>6</v>
      </c>
      <c r="O250" s="23">
        <v>6</v>
      </c>
      <c r="P250" s="23">
        <f t="shared" si="362"/>
        <v>100</v>
      </c>
      <c r="Q250" s="23">
        <v>18</v>
      </c>
      <c r="R250" s="23">
        <v>18</v>
      </c>
      <c r="S250" s="23">
        <f t="shared" ref="S250" si="365">R250/Q250*100</f>
        <v>100</v>
      </c>
      <c r="T250" s="23">
        <v>6</v>
      </c>
      <c r="U250" s="23">
        <v>6</v>
      </c>
      <c r="V250" s="23">
        <f t="shared" ref="V250" si="366">U250/T250*100</f>
        <v>100</v>
      </c>
      <c r="W250" s="23">
        <v>120.8</v>
      </c>
      <c r="X250" s="23">
        <v>120.8</v>
      </c>
      <c r="Y250" s="23">
        <f t="shared" ref="Y250" si="367">X250/W250*100</f>
        <v>100</v>
      </c>
      <c r="Z250" s="23"/>
      <c r="AA250" s="23"/>
      <c r="AB250" s="21"/>
      <c r="AC250" s="23"/>
      <c r="AD250" s="23"/>
      <c r="AE250" s="21"/>
      <c r="AF250" s="23">
        <v>6</v>
      </c>
      <c r="AG250" s="23">
        <v>0</v>
      </c>
      <c r="AH250" s="23">
        <f t="shared" ref="AH250" si="368">AG250/AF250*100</f>
        <v>0</v>
      </c>
      <c r="AI250" s="23">
        <v>0</v>
      </c>
      <c r="AJ250" s="23">
        <v>0</v>
      </c>
      <c r="AK250" s="21"/>
      <c r="AL250" s="23">
        <v>6</v>
      </c>
      <c r="AM250" s="23"/>
      <c r="AN250" s="23">
        <f t="shared" ref="AN250" si="369">AM250/AL250*100</f>
        <v>0</v>
      </c>
      <c r="AO250" s="23"/>
      <c r="AP250" s="23"/>
      <c r="AQ250" s="21" t="e">
        <f t="shared" si="336"/>
        <v>#DIV/0!</v>
      </c>
      <c r="AR250" s="91" t="s">
        <v>168</v>
      </c>
      <c r="AS250" s="91" t="s">
        <v>216</v>
      </c>
    </row>
    <row r="251" spans="1:45" ht="15.75" customHeight="1" x14ac:dyDescent="0.3">
      <c r="A251" s="148"/>
      <c r="B251" s="96"/>
      <c r="C251" s="96"/>
      <c r="D251" s="35" t="s">
        <v>22</v>
      </c>
      <c r="E251" s="23">
        <f t="shared" si="334"/>
        <v>0</v>
      </c>
      <c r="F251" s="23">
        <f t="shared" si="334"/>
        <v>0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4"/>
      <c r="AR251" s="33"/>
      <c r="AS251" s="33"/>
    </row>
    <row r="252" spans="1:45" ht="14.4" hidden="1" customHeight="1" x14ac:dyDescent="0.3">
      <c r="A252" s="149"/>
      <c r="B252" s="95"/>
      <c r="C252" s="95"/>
      <c r="D252" s="36" t="s">
        <v>126</v>
      </c>
      <c r="E252" s="23"/>
      <c r="F252" s="23">
        <f t="shared" si="334"/>
        <v>0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4"/>
      <c r="AR252" s="92"/>
      <c r="AS252" s="33"/>
    </row>
    <row r="253" spans="1:45" ht="12.6" customHeight="1" x14ac:dyDescent="0.3">
      <c r="A253" s="124" t="s">
        <v>16</v>
      </c>
      <c r="B253" s="125"/>
      <c r="C253" s="126"/>
      <c r="D253" s="36" t="s">
        <v>3</v>
      </c>
      <c r="E253" s="37">
        <f>H253+K253+N253+Q253+T253+W253+Z253+AC253+AF253+AI253+AL253+AO253</f>
        <v>1349.9</v>
      </c>
      <c r="F253" s="37">
        <f>I253+L253+O253+R253+U253+X253+AA253+AD253+AG253+AJ253+AM253+AP253</f>
        <v>423.6</v>
      </c>
      <c r="G253" s="37">
        <f>F253/E253*100</f>
        <v>31.380102229794797</v>
      </c>
      <c r="H253" s="37">
        <f>H254+H255+H256+H257</f>
        <v>0</v>
      </c>
      <c r="I253" s="37"/>
      <c r="J253" s="22"/>
      <c r="K253" s="37">
        <f t="shared" ref="K253:AO253" si="370">K255+K256</f>
        <v>102</v>
      </c>
      <c r="L253" s="37">
        <f t="shared" si="370"/>
        <v>102</v>
      </c>
      <c r="M253" s="37">
        <f>L253/K253*100</f>
        <v>100</v>
      </c>
      <c r="N253" s="37">
        <f t="shared" si="370"/>
        <v>6</v>
      </c>
      <c r="O253" s="37">
        <f t="shared" si="370"/>
        <v>6</v>
      </c>
      <c r="P253" s="37">
        <f t="shared" ref="P253:P256" si="371">O253/N253*100</f>
        <v>100</v>
      </c>
      <c r="Q253" s="37">
        <f t="shared" si="370"/>
        <v>144</v>
      </c>
      <c r="R253" s="37">
        <f t="shared" si="370"/>
        <v>84</v>
      </c>
      <c r="S253" s="37">
        <f>R253/Q253*100</f>
        <v>58.333333333333336</v>
      </c>
      <c r="T253" s="37">
        <f t="shared" si="370"/>
        <v>6</v>
      </c>
      <c r="U253" s="37">
        <f t="shared" si="370"/>
        <v>6</v>
      </c>
      <c r="V253" s="37">
        <f>U253/T253*100</f>
        <v>100</v>
      </c>
      <c r="W253" s="37">
        <f t="shared" si="370"/>
        <v>225.89999999999998</v>
      </c>
      <c r="X253" s="37">
        <f t="shared" si="370"/>
        <v>225.6</v>
      </c>
      <c r="Y253" s="37">
        <f>X253/W253*100</f>
        <v>99.867197875166013</v>
      </c>
      <c r="Z253" s="37">
        <f t="shared" si="370"/>
        <v>0</v>
      </c>
      <c r="AA253" s="37">
        <f t="shared" si="370"/>
        <v>0</v>
      </c>
      <c r="AB253" s="37"/>
      <c r="AC253" s="37">
        <f t="shared" si="370"/>
        <v>70</v>
      </c>
      <c r="AD253" s="37">
        <f t="shared" si="370"/>
        <v>0</v>
      </c>
      <c r="AE253" s="37">
        <f>AD253/AC253*100</f>
        <v>0</v>
      </c>
      <c r="AF253" s="37">
        <f>AF255+AF256</f>
        <v>580.5</v>
      </c>
      <c r="AG253" s="37">
        <f>AG255+AG256</f>
        <v>0</v>
      </c>
      <c r="AH253" s="37">
        <f>AG253/AF253*100</f>
        <v>0</v>
      </c>
      <c r="AI253" s="37">
        <f t="shared" si="370"/>
        <v>0</v>
      </c>
      <c r="AJ253" s="37">
        <f t="shared" si="370"/>
        <v>0</v>
      </c>
      <c r="AK253" s="37" t="e">
        <f>AJ253/AI253*100</f>
        <v>#DIV/0!</v>
      </c>
      <c r="AL253" s="37">
        <f t="shared" si="370"/>
        <v>135.5</v>
      </c>
      <c r="AM253" s="37">
        <f t="shared" si="370"/>
        <v>0</v>
      </c>
      <c r="AN253" s="37">
        <f>AM253/AL253*100</f>
        <v>0</v>
      </c>
      <c r="AO253" s="37">
        <f t="shared" si="370"/>
        <v>80</v>
      </c>
      <c r="AP253" s="37"/>
      <c r="AQ253" s="22">
        <f t="shared" si="336"/>
        <v>0</v>
      </c>
      <c r="AR253" s="33"/>
      <c r="AS253" s="33"/>
    </row>
    <row r="254" spans="1:45" x14ac:dyDescent="0.3">
      <c r="A254" s="127"/>
      <c r="B254" s="128"/>
      <c r="C254" s="129"/>
      <c r="D254" s="36" t="s">
        <v>21</v>
      </c>
      <c r="E254" s="37">
        <f t="shared" si="334"/>
        <v>0</v>
      </c>
      <c r="F254" s="37">
        <f t="shared" si="334"/>
        <v>0</v>
      </c>
      <c r="G254" s="37"/>
      <c r="H254" s="23">
        <f>H233+H243+H248</f>
        <v>0</v>
      </c>
      <c r="I254" s="23"/>
      <c r="J254" s="22"/>
      <c r="K254" s="23">
        <f t="shared" ref="K254:L257" si="372">K233+K243+K248</f>
        <v>0</v>
      </c>
      <c r="L254" s="23">
        <f t="shared" si="372"/>
        <v>0</v>
      </c>
      <c r="M254" s="37"/>
      <c r="N254" s="23">
        <f t="shared" ref="N254:O257" si="373">N233+N243+N248</f>
        <v>0</v>
      </c>
      <c r="O254" s="23">
        <f t="shared" si="373"/>
        <v>0</v>
      </c>
      <c r="P254" s="37"/>
      <c r="Q254" s="23">
        <f t="shared" ref="Q254:R257" si="374">Q233+Q243+Q248</f>
        <v>0</v>
      </c>
      <c r="R254" s="23">
        <f t="shared" si="374"/>
        <v>0</v>
      </c>
      <c r="S254" s="37"/>
      <c r="T254" s="23">
        <f t="shared" ref="T254:U257" si="375">T233+T243+T248</f>
        <v>0</v>
      </c>
      <c r="U254" s="23">
        <f t="shared" si="375"/>
        <v>0</v>
      </c>
      <c r="V254" s="37"/>
      <c r="W254" s="23">
        <f t="shared" ref="W254:X257" si="376">W233+W243+W248</f>
        <v>0</v>
      </c>
      <c r="X254" s="23">
        <f t="shared" si="376"/>
        <v>0</v>
      </c>
      <c r="Y254" s="37"/>
      <c r="Z254" s="37">
        <f t="shared" ref="Z254:AA257" si="377">Z233+Z243+Z248</f>
        <v>0</v>
      </c>
      <c r="AA254" s="37">
        <f t="shared" si="377"/>
        <v>0</v>
      </c>
      <c r="AB254" s="37"/>
      <c r="AC254" s="23">
        <f t="shared" ref="AC254:AD257" si="378">AC233+AC243+AC248</f>
        <v>0</v>
      </c>
      <c r="AD254" s="23">
        <f t="shared" si="378"/>
        <v>0</v>
      </c>
      <c r="AE254" s="37"/>
      <c r="AF254" s="23">
        <f t="shared" ref="AF254:AG257" si="379">AF233+AF243+AF248</f>
        <v>0</v>
      </c>
      <c r="AG254" s="23">
        <f t="shared" si="379"/>
        <v>0</v>
      </c>
      <c r="AH254" s="37"/>
      <c r="AI254" s="37">
        <f t="shared" ref="AI254:AJ256" si="380">AI233+AI243+AI248</f>
        <v>0</v>
      </c>
      <c r="AJ254" s="37">
        <f t="shared" si="380"/>
        <v>0</v>
      </c>
      <c r="AK254" s="37"/>
      <c r="AL254" s="37">
        <f t="shared" ref="AL254:AM257" si="381">AL233+AL243+AL248</f>
        <v>0</v>
      </c>
      <c r="AM254" s="37">
        <f t="shared" si="381"/>
        <v>0</v>
      </c>
      <c r="AN254" s="37"/>
      <c r="AO254" s="37">
        <f>AO233+AO243+AO248</f>
        <v>0</v>
      </c>
      <c r="AP254" s="23"/>
      <c r="AQ254" s="22"/>
      <c r="AR254" s="33"/>
      <c r="AS254" s="33"/>
    </row>
    <row r="255" spans="1:45" ht="24" customHeight="1" x14ac:dyDescent="0.3">
      <c r="A255" s="127"/>
      <c r="B255" s="128"/>
      <c r="C255" s="129"/>
      <c r="D255" s="36" t="s">
        <v>4</v>
      </c>
      <c r="E255" s="37">
        <f t="shared" si="334"/>
        <v>430.3</v>
      </c>
      <c r="F255" s="37">
        <f t="shared" si="334"/>
        <v>0</v>
      </c>
      <c r="G255" s="37">
        <f>F255/E255*100</f>
        <v>0</v>
      </c>
      <c r="H255" s="23">
        <f>H234+H244+H249</f>
        <v>0</v>
      </c>
      <c r="I255" s="23"/>
      <c r="J255" s="22"/>
      <c r="K255" s="23">
        <f t="shared" si="372"/>
        <v>0</v>
      </c>
      <c r="L255" s="23">
        <f t="shared" si="372"/>
        <v>0</v>
      </c>
      <c r="M255" s="37"/>
      <c r="N255" s="23">
        <f t="shared" si="373"/>
        <v>0</v>
      </c>
      <c r="O255" s="23">
        <f t="shared" si="373"/>
        <v>0</v>
      </c>
      <c r="P255" s="37"/>
      <c r="Q255" s="23">
        <f t="shared" si="374"/>
        <v>0</v>
      </c>
      <c r="R255" s="23">
        <f t="shared" si="374"/>
        <v>0</v>
      </c>
      <c r="S255" s="37"/>
      <c r="T255" s="23">
        <f t="shared" si="375"/>
        <v>0</v>
      </c>
      <c r="U255" s="23">
        <f t="shared" si="375"/>
        <v>0</v>
      </c>
      <c r="V255" s="37"/>
      <c r="W255" s="23">
        <f t="shared" si="376"/>
        <v>0</v>
      </c>
      <c r="X255" s="23">
        <f t="shared" si="376"/>
        <v>0</v>
      </c>
      <c r="Y255" s="37"/>
      <c r="Z255" s="37">
        <f t="shared" si="377"/>
        <v>0</v>
      </c>
      <c r="AA255" s="37">
        <f t="shared" si="377"/>
        <v>0</v>
      </c>
      <c r="AB255" s="37"/>
      <c r="AC255" s="37">
        <f t="shared" si="378"/>
        <v>70</v>
      </c>
      <c r="AD255" s="37">
        <f t="shared" si="378"/>
        <v>0</v>
      </c>
      <c r="AE255" s="37">
        <f t="shared" ref="AE255" si="382">AD255/AC255*100</f>
        <v>0</v>
      </c>
      <c r="AF255" s="23">
        <f t="shared" si="379"/>
        <v>360.3</v>
      </c>
      <c r="AG255" s="23">
        <f t="shared" si="379"/>
        <v>0</v>
      </c>
      <c r="AH255" s="37"/>
      <c r="AI255" s="37">
        <f t="shared" si="380"/>
        <v>0</v>
      </c>
      <c r="AJ255" s="37">
        <f t="shared" si="380"/>
        <v>0</v>
      </c>
      <c r="AK255" s="37"/>
      <c r="AL255" s="37">
        <f t="shared" si="381"/>
        <v>0</v>
      </c>
      <c r="AM255" s="37">
        <f t="shared" si="381"/>
        <v>0</v>
      </c>
      <c r="AN255" s="37"/>
      <c r="AO255" s="37">
        <f>AO234+AO244+AO249</f>
        <v>0</v>
      </c>
      <c r="AP255" s="23"/>
      <c r="AQ255" s="22"/>
      <c r="AR255" s="33"/>
      <c r="AS255" s="33"/>
    </row>
    <row r="256" spans="1:45" ht="12.6" customHeight="1" x14ac:dyDescent="0.3">
      <c r="A256" s="127"/>
      <c r="B256" s="128"/>
      <c r="C256" s="129"/>
      <c r="D256" s="36" t="s">
        <v>44</v>
      </c>
      <c r="E256" s="37">
        <f t="shared" si="334"/>
        <v>919.59999999999991</v>
      </c>
      <c r="F256" s="37">
        <f t="shared" si="334"/>
        <v>423.6</v>
      </c>
      <c r="G256" s="37">
        <f t="shared" ref="G256" si="383">F256/E256*100</f>
        <v>46.06350587211832</v>
      </c>
      <c r="H256" s="23">
        <f>H235+H245+H250</f>
        <v>0</v>
      </c>
      <c r="I256" s="23"/>
      <c r="J256" s="22"/>
      <c r="K256" s="23">
        <f t="shared" si="372"/>
        <v>102</v>
      </c>
      <c r="L256" s="23">
        <f t="shared" si="372"/>
        <v>102</v>
      </c>
      <c r="M256" s="37">
        <f t="shared" ref="M256" si="384">L256/K256*100</f>
        <v>100</v>
      </c>
      <c r="N256" s="23">
        <f t="shared" si="373"/>
        <v>6</v>
      </c>
      <c r="O256" s="23">
        <f t="shared" si="373"/>
        <v>6</v>
      </c>
      <c r="P256" s="37">
        <f t="shared" si="371"/>
        <v>100</v>
      </c>
      <c r="Q256" s="23">
        <f t="shared" si="374"/>
        <v>144</v>
      </c>
      <c r="R256" s="23">
        <f t="shared" si="374"/>
        <v>84</v>
      </c>
      <c r="S256" s="37">
        <f t="shared" ref="S256" si="385">R256/Q256*100</f>
        <v>58.333333333333336</v>
      </c>
      <c r="T256" s="23">
        <f t="shared" si="375"/>
        <v>6</v>
      </c>
      <c r="U256" s="23">
        <f t="shared" si="375"/>
        <v>6</v>
      </c>
      <c r="V256" s="37">
        <f t="shared" ref="V256" si="386">U256/T256*100</f>
        <v>100</v>
      </c>
      <c r="W256" s="23">
        <f t="shared" si="376"/>
        <v>225.89999999999998</v>
      </c>
      <c r="X256" s="23">
        <f t="shared" si="376"/>
        <v>225.6</v>
      </c>
      <c r="Y256" s="37">
        <f t="shared" ref="Y256" si="387">X256/W256*100</f>
        <v>99.867197875166013</v>
      </c>
      <c r="Z256" s="37">
        <f t="shared" si="377"/>
        <v>0</v>
      </c>
      <c r="AA256" s="37">
        <f t="shared" si="377"/>
        <v>0</v>
      </c>
      <c r="AB256" s="37"/>
      <c r="AC256" s="37">
        <f t="shared" si="378"/>
        <v>0</v>
      </c>
      <c r="AD256" s="37">
        <f t="shared" si="378"/>
        <v>0</v>
      </c>
      <c r="AE256" s="37"/>
      <c r="AF256" s="23">
        <f t="shared" si="379"/>
        <v>220.2</v>
      </c>
      <c r="AG256" s="23">
        <f t="shared" si="379"/>
        <v>0</v>
      </c>
      <c r="AH256" s="37">
        <f t="shared" ref="AH256" si="388">AG256/AF256*100</f>
        <v>0</v>
      </c>
      <c r="AI256" s="37">
        <f t="shared" si="380"/>
        <v>0</v>
      </c>
      <c r="AJ256" s="37">
        <f t="shared" si="380"/>
        <v>0</v>
      </c>
      <c r="AK256" s="37" t="e">
        <f t="shared" ref="AK256" si="389">AJ256/AI256*100</f>
        <v>#DIV/0!</v>
      </c>
      <c r="AL256" s="37">
        <f t="shared" si="381"/>
        <v>135.5</v>
      </c>
      <c r="AM256" s="37">
        <f t="shared" si="381"/>
        <v>0</v>
      </c>
      <c r="AN256" s="37">
        <f t="shared" ref="AN256" si="390">AM256/AL256*100</f>
        <v>0</v>
      </c>
      <c r="AO256" s="37">
        <f>AO235+AO245+AO250</f>
        <v>80</v>
      </c>
      <c r="AP256" s="23"/>
      <c r="AQ256" s="22">
        <f t="shared" si="336"/>
        <v>0</v>
      </c>
      <c r="AR256" s="33"/>
      <c r="AS256" s="33"/>
    </row>
    <row r="257" spans="1:45" ht="14.25" customHeight="1" x14ac:dyDescent="0.3">
      <c r="A257" s="127"/>
      <c r="B257" s="128"/>
      <c r="C257" s="129"/>
      <c r="D257" s="36" t="s">
        <v>22</v>
      </c>
      <c r="E257" s="44">
        <f t="shared" si="334"/>
        <v>0</v>
      </c>
      <c r="F257" s="44">
        <f t="shared" si="334"/>
        <v>0</v>
      </c>
      <c r="G257" s="23"/>
      <c r="H257" s="38">
        <f>H236+H246+H251</f>
        <v>0</v>
      </c>
      <c r="I257" s="38"/>
      <c r="J257" s="44"/>
      <c r="K257" s="38">
        <f t="shared" si="372"/>
        <v>0</v>
      </c>
      <c r="L257" s="23">
        <f t="shared" si="372"/>
        <v>0</v>
      </c>
      <c r="M257" s="37"/>
      <c r="N257" s="38">
        <f t="shared" si="373"/>
        <v>0</v>
      </c>
      <c r="O257" s="38">
        <f t="shared" si="373"/>
        <v>0</v>
      </c>
      <c r="P257" s="44"/>
      <c r="Q257" s="38">
        <f t="shared" si="374"/>
        <v>0</v>
      </c>
      <c r="R257" s="38">
        <f t="shared" si="374"/>
        <v>0</v>
      </c>
      <c r="S257" s="44"/>
      <c r="T257" s="38">
        <f t="shared" si="375"/>
        <v>0</v>
      </c>
      <c r="U257" s="38">
        <f t="shared" si="375"/>
        <v>0</v>
      </c>
      <c r="V257" s="23"/>
      <c r="W257" s="38">
        <f t="shared" si="376"/>
        <v>0</v>
      </c>
      <c r="X257" s="38">
        <f t="shared" si="376"/>
        <v>0</v>
      </c>
      <c r="Y257" s="23"/>
      <c r="Z257" s="44">
        <f t="shared" si="377"/>
        <v>0</v>
      </c>
      <c r="AA257" s="44">
        <f t="shared" si="377"/>
        <v>0</v>
      </c>
      <c r="AB257" s="44"/>
      <c r="AC257" s="38">
        <f t="shared" si="378"/>
        <v>0</v>
      </c>
      <c r="AD257" s="38">
        <f t="shared" si="378"/>
        <v>0</v>
      </c>
      <c r="AE257" s="44"/>
      <c r="AF257" s="38">
        <f t="shared" si="379"/>
        <v>0</v>
      </c>
      <c r="AG257" s="38">
        <f t="shared" si="379"/>
        <v>0</v>
      </c>
      <c r="AH257" s="44"/>
      <c r="AI257" s="38">
        <f>AI236+AI246+AI251</f>
        <v>0</v>
      </c>
      <c r="AJ257" s="38"/>
      <c r="AK257" s="44"/>
      <c r="AL257" s="38">
        <f t="shared" si="381"/>
        <v>0</v>
      </c>
      <c r="AM257" s="38">
        <f t="shared" si="381"/>
        <v>0</v>
      </c>
      <c r="AN257" s="44"/>
      <c r="AO257" s="38">
        <f>AO236+AO246+AO251</f>
        <v>0</v>
      </c>
      <c r="AP257" s="38"/>
      <c r="AQ257" s="54"/>
      <c r="AR257" s="33"/>
      <c r="AS257" s="33"/>
    </row>
    <row r="258" spans="1:45" ht="12" hidden="1" customHeight="1" x14ac:dyDescent="0.3">
      <c r="A258" s="130"/>
      <c r="B258" s="131"/>
      <c r="C258" s="132"/>
      <c r="D258" s="36" t="s">
        <v>126</v>
      </c>
      <c r="E258" s="44"/>
      <c r="F258" s="44"/>
      <c r="G258" s="23"/>
      <c r="H258" s="38"/>
      <c r="I258" s="38"/>
      <c r="J258" s="44"/>
      <c r="K258" s="38"/>
      <c r="L258" s="38"/>
      <c r="M258" s="37"/>
      <c r="N258" s="38"/>
      <c r="O258" s="38"/>
      <c r="P258" s="44"/>
      <c r="Q258" s="38"/>
      <c r="R258" s="38"/>
      <c r="S258" s="44"/>
      <c r="T258" s="38"/>
      <c r="U258" s="38"/>
      <c r="V258" s="23"/>
      <c r="W258" s="38"/>
      <c r="X258" s="38"/>
      <c r="Y258" s="23"/>
      <c r="Z258" s="44"/>
      <c r="AA258" s="44"/>
      <c r="AB258" s="44"/>
      <c r="AC258" s="38"/>
      <c r="AD258" s="38"/>
      <c r="AE258" s="44"/>
      <c r="AF258" s="38"/>
      <c r="AG258" s="38"/>
      <c r="AH258" s="44"/>
      <c r="AI258" s="38"/>
      <c r="AJ258" s="38"/>
      <c r="AK258" s="44"/>
      <c r="AL258" s="38"/>
      <c r="AM258" s="38"/>
      <c r="AN258" s="44"/>
      <c r="AO258" s="38"/>
      <c r="AP258" s="38"/>
      <c r="AQ258" s="54"/>
      <c r="AR258" s="33"/>
      <c r="AS258" s="33"/>
    </row>
    <row r="259" spans="1:45" ht="18.600000000000001" customHeight="1" x14ac:dyDescent="0.3">
      <c r="A259" s="45" t="s">
        <v>79</v>
      </c>
      <c r="B259" s="34" t="s">
        <v>17</v>
      </c>
      <c r="C259" s="46"/>
      <c r="D259" s="4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46"/>
      <c r="AQ259" s="46"/>
      <c r="AR259" s="33"/>
      <c r="AS259" s="33"/>
    </row>
    <row r="260" spans="1:45" ht="15" customHeight="1" x14ac:dyDescent="0.3">
      <c r="A260" s="122" t="s">
        <v>80</v>
      </c>
      <c r="B260" s="105" t="s">
        <v>109</v>
      </c>
      <c r="C260" s="105" t="s">
        <v>122</v>
      </c>
      <c r="D260" s="35" t="s">
        <v>3</v>
      </c>
      <c r="E260" s="23">
        <f t="shared" ref="E260:F279" si="391">H260+K260+N260+Q260+T260+W260+Z260+AC260+AF260+AI260+AL260+AO260</f>
        <v>11011.7</v>
      </c>
      <c r="F260" s="23">
        <f t="shared" si="391"/>
        <v>7296.2197499999993</v>
      </c>
      <c r="G260" s="23">
        <f>F260/E260*100</f>
        <v>66.258795190570012</v>
      </c>
      <c r="H260" s="23">
        <f>H261+H262+H263+H264</f>
        <v>0</v>
      </c>
      <c r="I260" s="23"/>
      <c r="J260" s="21"/>
      <c r="K260" s="23">
        <f t="shared" ref="K260:AO260" si="392">K261+K262+K263+K264</f>
        <v>0</v>
      </c>
      <c r="L260" s="23">
        <f t="shared" si="392"/>
        <v>0</v>
      </c>
      <c r="M260" s="23"/>
      <c r="N260" s="23">
        <f t="shared" si="392"/>
        <v>357.5</v>
      </c>
      <c r="O260" s="23">
        <f t="shared" si="392"/>
        <v>265.3</v>
      </c>
      <c r="P260" s="23">
        <f t="shared" ref="P260" si="393">O260/N260*100</f>
        <v>74.209790209790214</v>
      </c>
      <c r="Q260" s="23">
        <f t="shared" si="392"/>
        <v>1522.9</v>
      </c>
      <c r="R260" s="23">
        <f t="shared" si="392"/>
        <v>1664</v>
      </c>
      <c r="S260" s="23">
        <f>R260/Q260*100</f>
        <v>109.26521767680084</v>
      </c>
      <c r="T260" s="23">
        <f t="shared" si="392"/>
        <v>0</v>
      </c>
      <c r="U260" s="23">
        <f t="shared" si="392"/>
        <v>0</v>
      </c>
      <c r="V260" s="23"/>
      <c r="W260" s="23">
        <f t="shared" si="392"/>
        <v>2162.5999999999995</v>
      </c>
      <c r="X260" s="23">
        <f t="shared" si="392"/>
        <v>2113.6999999999998</v>
      </c>
      <c r="Y260" s="23">
        <f>X260/W260*100</f>
        <v>97.738832886340532</v>
      </c>
      <c r="Z260" s="23">
        <f t="shared" si="392"/>
        <v>3919.7000000000007</v>
      </c>
      <c r="AA260" s="23">
        <f t="shared" si="392"/>
        <v>2757.0197499999999</v>
      </c>
      <c r="AB260" s="23">
        <f>AA260/Z260*100</f>
        <v>70.337519453019354</v>
      </c>
      <c r="AC260" s="23">
        <f t="shared" si="392"/>
        <v>0</v>
      </c>
      <c r="AD260" s="23">
        <f t="shared" si="392"/>
        <v>496.2</v>
      </c>
      <c r="AE260" s="23"/>
      <c r="AF260" s="23">
        <f t="shared" si="392"/>
        <v>0</v>
      </c>
      <c r="AG260" s="23">
        <f t="shared" si="392"/>
        <v>0</v>
      </c>
      <c r="AH260" s="23"/>
      <c r="AI260" s="23">
        <f t="shared" si="392"/>
        <v>277.10000000000002</v>
      </c>
      <c r="AJ260" s="23">
        <f t="shared" si="392"/>
        <v>0</v>
      </c>
      <c r="AK260" s="21"/>
      <c r="AL260" s="23">
        <f t="shared" si="392"/>
        <v>1699.4</v>
      </c>
      <c r="AM260" s="23">
        <f t="shared" si="392"/>
        <v>0</v>
      </c>
      <c r="AN260" s="23">
        <f>AM260/AL260*100</f>
        <v>0</v>
      </c>
      <c r="AO260" s="23">
        <f t="shared" si="392"/>
        <v>1072.5000000000005</v>
      </c>
      <c r="AP260" s="23"/>
      <c r="AQ260" s="21">
        <f t="shared" ref="AQ260:AQ268" si="394">AP260/AO260</f>
        <v>0</v>
      </c>
      <c r="AR260" s="33"/>
      <c r="AS260" s="33"/>
    </row>
    <row r="261" spans="1:45" ht="13.5" customHeight="1" x14ac:dyDescent="0.3">
      <c r="A261" s="122"/>
      <c r="B261" s="105"/>
      <c r="C261" s="105"/>
      <c r="D261" s="35" t="s">
        <v>21</v>
      </c>
      <c r="E261" s="23">
        <f t="shared" si="391"/>
        <v>0</v>
      </c>
      <c r="F261" s="23">
        <f t="shared" si="391"/>
        <v>0</v>
      </c>
      <c r="G261" s="23"/>
      <c r="H261" s="23"/>
      <c r="I261" s="23"/>
      <c r="J261" s="21"/>
      <c r="K261" s="23"/>
      <c r="L261" s="23"/>
      <c r="M261" s="21"/>
      <c r="N261" s="23"/>
      <c r="O261" s="23"/>
      <c r="P261" s="21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1"/>
      <c r="AL261" s="23"/>
      <c r="AM261" s="23"/>
      <c r="AN261" s="23"/>
      <c r="AO261" s="23"/>
      <c r="AP261" s="23"/>
      <c r="AQ261" s="21"/>
      <c r="AR261" s="33"/>
      <c r="AS261" s="33"/>
    </row>
    <row r="262" spans="1:45" ht="25.8" customHeight="1" x14ac:dyDescent="0.3">
      <c r="A262" s="122"/>
      <c r="B262" s="105"/>
      <c r="C262" s="105"/>
      <c r="D262" s="35" t="s">
        <v>4</v>
      </c>
      <c r="E262" s="23">
        <f t="shared" si="391"/>
        <v>5267.8</v>
      </c>
      <c r="F262" s="23">
        <f t="shared" si="391"/>
        <v>4076.2197499999997</v>
      </c>
      <c r="G262" s="23">
        <f t="shared" ref="G262:G263" si="395">F262/E262*100</f>
        <v>77.379926155131159</v>
      </c>
      <c r="H262" s="23"/>
      <c r="I262" s="23"/>
      <c r="J262" s="21"/>
      <c r="K262" s="23"/>
      <c r="L262" s="23"/>
      <c r="M262" s="23"/>
      <c r="N262" s="23"/>
      <c r="O262" s="23"/>
      <c r="P262" s="23"/>
      <c r="Q262" s="23">
        <f>64.9+763+146.1+34.7</f>
        <v>1008.7</v>
      </c>
      <c r="R262" s="23">
        <v>1204.9000000000001</v>
      </c>
      <c r="S262" s="23">
        <f t="shared" ref="S262:S263" si="396">R262/Q262*100</f>
        <v>119.45077822940419</v>
      </c>
      <c r="T262" s="23"/>
      <c r="U262" s="23"/>
      <c r="V262" s="23"/>
      <c r="W262" s="23">
        <f>146.1+900-287.7</f>
        <v>758.39999999999986</v>
      </c>
      <c r="X262" s="23">
        <v>562.20000000000005</v>
      </c>
      <c r="Y262" s="23">
        <f t="shared" ref="Y262:Y263" si="397">X262/W262*100</f>
        <v>74.129746835443058</v>
      </c>
      <c r="Z262" s="23">
        <f>1168.6+712.3+515.6+3.8-91.2</f>
        <v>2309.1000000000004</v>
      </c>
      <c r="AA262" s="23">
        <v>1887.4197499999998</v>
      </c>
      <c r="AB262" s="23">
        <f t="shared" ref="AB262:AB263" si="398">AA262/Z262*100</f>
        <v>81.738328786107118</v>
      </c>
      <c r="AC262" s="23"/>
      <c r="AD262" s="23">
        <v>421.7</v>
      </c>
      <c r="AE262" s="23"/>
      <c r="AF262" s="23"/>
      <c r="AG262" s="23"/>
      <c r="AH262" s="23"/>
      <c r="AI262" s="23">
        <v>64.900000000000006</v>
      </c>
      <c r="AJ262" s="23"/>
      <c r="AK262" s="21"/>
      <c r="AL262" s="23">
        <f>146.2+654.7</f>
        <v>800.90000000000009</v>
      </c>
      <c r="AM262" s="23"/>
      <c r="AN262" s="23"/>
      <c r="AO262" s="23">
        <f>4180-34.7-228-3.7-3679+91.2</f>
        <v>325.80000000000035</v>
      </c>
      <c r="AP262" s="23"/>
      <c r="AQ262" s="21">
        <f t="shared" si="394"/>
        <v>0</v>
      </c>
      <c r="AR262" s="79" t="s">
        <v>158</v>
      </c>
      <c r="AS262" s="79"/>
    </row>
    <row r="263" spans="1:45" ht="63" customHeight="1" x14ac:dyDescent="0.3">
      <c r="A263" s="122"/>
      <c r="B263" s="105"/>
      <c r="C263" s="105"/>
      <c r="D263" s="35" t="s">
        <v>44</v>
      </c>
      <c r="E263" s="23">
        <f t="shared" si="391"/>
        <v>5743.9</v>
      </c>
      <c r="F263" s="23">
        <f t="shared" si="391"/>
        <v>3220</v>
      </c>
      <c r="G263" s="23">
        <f t="shared" si="395"/>
        <v>56.059471787461476</v>
      </c>
      <c r="H263" s="23"/>
      <c r="I263" s="23"/>
      <c r="J263" s="21"/>
      <c r="K263" s="23"/>
      <c r="L263" s="23"/>
      <c r="M263" s="23"/>
      <c r="N263" s="23">
        <f>197.9+1022.9-863.3</f>
        <v>357.5</v>
      </c>
      <c r="O263" s="23">
        <v>265.3</v>
      </c>
      <c r="P263" s="23">
        <f t="shared" ref="P263" si="399">O263/N263*100</f>
        <v>74.209790209790214</v>
      </c>
      <c r="Q263" s="23">
        <f>112.9+869.3-468</f>
        <v>514.19999999999993</v>
      </c>
      <c r="R263" s="23">
        <v>459.1</v>
      </c>
      <c r="S263" s="23">
        <f t="shared" si="396"/>
        <v>89.284325165305347</v>
      </c>
      <c r="T263" s="23"/>
      <c r="U263" s="23"/>
      <c r="V263" s="23"/>
      <c r="W263" s="23">
        <f>815.1+902.5-313.4</f>
        <v>1404.1999999999998</v>
      </c>
      <c r="X263" s="23">
        <v>1551.5</v>
      </c>
      <c r="Y263" s="23">
        <f t="shared" si="397"/>
        <v>110.48995869534255</v>
      </c>
      <c r="Z263" s="23">
        <f>716.7+691.3+182.9+0.7+19</f>
        <v>1610.6000000000001</v>
      </c>
      <c r="AA263" s="23">
        <v>869.6</v>
      </c>
      <c r="AB263" s="23">
        <f t="shared" si="398"/>
        <v>53.992301005836332</v>
      </c>
      <c r="AC263" s="23"/>
      <c r="AD263" s="23">
        <v>74.5</v>
      </c>
      <c r="AE263" s="23"/>
      <c r="AF263" s="23"/>
      <c r="AG263" s="23"/>
      <c r="AH263" s="23"/>
      <c r="AI263" s="23">
        <f>82.4+130.5-0.7</f>
        <v>212.20000000000002</v>
      </c>
      <c r="AJ263" s="23"/>
      <c r="AK263" s="21"/>
      <c r="AL263" s="23">
        <f>163+735.5</f>
        <v>898.5</v>
      </c>
      <c r="AM263" s="23"/>
      <c r="AN263" s="23"/>
      <c r="AO263" s="23">
        <f>771.7-6-19</f>
        <v>746.7</v>
      </c>
      <c r="AP263" s="23"/>
      <c r="AQ263" s="21">
        <f t="shared" si="394"/>
        <v>0</v>
      </c>
      <c r="AR263" s="91" t="s">
        <v>159</v>
      </c>
      <c r="AS263" s="59" t="s">
        <v>209</v>
      </c>
    </row>
    <row r="264" spans="1:45" ht="18" customHeight="1" x14ac:dyDescent="0.3">
      <c r="A264" s="122"/>
      <c r="B264" s="105"/>
      <c r="C264" s="105"/>
      <c r="D264" s="35" t="s">
        <v>22</v>
      </c>
      <c r="E264" s="23">
        <f t="shared" si="391"/>
        <v>0</v>
      </c>
      <c r="F264" s="23">
        <f t="shared" si="391"/>
        <v>0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4"/>
      <c r="AR264" s="33"/>
      <c r="AS264" s="33"/>
    </row>
    <row r="265" spans="1:45" ht="12.6" customHeight="1" x14ac:dyDescent="0.3">
      <c r="A265" s="122" t="s">
        <v>81</v>
      </c>
      <c r="B265" s="105" t="s">
        <v>110</v>
      </c>
      <c r="C265" s="105" t="s">
        <v>5</v>
      </c>
      <c r="D265" s="35" t="s">
        <v>3</v>
      </c>
      <c r="E265" s="23">
        <f t="shared" si="391"/>
        <v>10891.699999999999</v>
      </c>
      <c r="F265" s="23">
        <f t="shared" si="391"/>
        <v>10493.1</v>
      </c>
      <c r="G265" s="23">
        <f>F265/E265*100</f>
        <v>96.340332546801704</v>
      </c>
      <c r="H265" s="23">
        <f>H266+H267+H268+H269</f>
        <v>0</v>
      </c>
      <c r="I265" s="23"/>
      <c r="J265" s="21"/>
      <c r="K265" s="23">
        <f t="shared" ref="K265:AO265" si="400">K266+K267+K268+K269</f>
        <v>0</v>
      </c>
      <c r="L265" s="23"/>
      <c r="M265" s="21"/>
      <c r="N265" s="23">
        <f t="shared" si="400"/>
        <v>0</v>
      </c>
      <c r="O265" s="23"/>
      <c r="P265" s="21"/>
      <c r="Q265" s="23">
        <f t="shared" si="400"/>
        <v>20</v>
      </c>
      <c r="R265" s="23">
        <f t="shared" si="400"/>
        <v>20</v>
      </c>
      <c r="S265" s="23">
        <f>R265/Q265*100</f>
        <v>100</v>
      </c>
      <c r="T265" s="23">
        <f t="shared" si="400"/>
        <v>2420.5</v>
      </c>
      <c r="U265" s="23">
        <f t="shared" si="400"/>
        <v>1500</v>
      </c>
      <c r="V265" s="23">
        <f>U265/T265*100</f>
        <v>61.97066721751704</v>
      </c>
      <c r="W265" s="23">
        <f t="shared" si="400"/>
        <v>4139.8999999999996</v>
      </c>
      <c r="X265" s="23">
        <f t="shared" si="400"/>
        <v>1953.4</v>
      </c>
      <c r="Y265" s="23">
        <f>X265/W265*100</f>
        <v>47.184714606633015</v>
      </c>
      <c r="Z265" s="23">
        <f t="shared" si="400"/>
        <v>4148.7</v>
      </c>
      <c r="AA265" s="23">
        <f t="shared" si="400"/>
        <v>2816.7</v>
      </c>
      <c r="AB265" s="23">
        <f>AA265/Z265*100</f>
        <v>67.893557017861013</v>
      </c>
      <c r="AC265" s="23">
        <f t="shared" si="400"/>
        <v>118.10000000000001</v>
      </c>
      <c r="AD265" s="23">
        <f t="shared" si="400"/>
        <v>2147</v>
      </c>
      <c r="AE265" s="23">
        <f>AD265/AC265*100</f>
        <v>1817.950889077053</v>
      </c>
      <c r="AF265" s="23">
        <f t="shared" si="400"/>
        <v>30</v>
      </c>
      <c r="AG265" s="23">
        <f t="shared" si="400"/>
        <v>2056</v>
      </c>
      <c r="AH265" s="23">
        <f>AG265/AF265*100</f>
        <v>6853.333333333333</v>
      </c>
      <c r="AI265" s="23">
        <f t="shared" si="400"/>
        <v>0</v>
      </c>
      <c r="AJ265" s="23">
        <f t="shared" si="400"/>
        <v>0</v>
      </c>
      <c r="AK265" s="23"/>
      <c r="AL265" s="23">
        <f t="shared" si="400"/>
        <v>14.5</v>
      </c>
      <c r="AM265" s="23">
        <f t="shared" si="400"/>
        <v>0</v>
      </c>
      <c r="AN265" s="23"/>
      <c r="AO265" s="23">
        <f t="shared" si="400"/>
        <v>0</v>
      </c>
      <c r="AP265" s="23"/>
      <c r="AQ265" s="21" t="e">
        <f t="shared" si="394"/>
        <v>#DIV/0!</v>
      </c>
      <c r="AR265" s="33"/>
      <c r="AS265" s="33"/>
    </row>
    <row r="266" spans="1:45" ht="12.6" customHeight="1" x14ac:dyDescent="0.3">
      <c r="A266" s="122"/>
      <c r="B266" s="105"/>
      <c r="C266" s="105"/>
      <c r="D266" s="35" t="s">
        <v>21</v>
      </c>
      <c r="E266" s="23">
        <f t="shared" si="391"/>
        <v>0</v>
      </c>
      <c r="F266" s="23">
        <f t="shared" si="391"/>
        <v>0</v>
      </c>
      <c r="G266" s="23"/>
      <c r="H266" s="23"/>
      <c r="I266" s="23"/>
      <c r="J266" s="21"/>
      <c r="K266" s="23"/>
      <c r="L266" s="23"/>
      <c r="M266" s="21"/>
      <c r="N266" s="23"/>
      <c r="O266" s="23"/>
      <c r="P266" s="21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1"/>
      <c r="AR266" s="33"/>
      <c r="AS266" s="33"/>
    </row>
    <row r="267" spans="1:45" ht="36" customHeight="1" x14ac:dyDescent="0.3">
      <c r="A267" s="122"/>
      <c r="B267" s="105"/>
      <c r="C267" s="105"/>
      <c r="D267" s="35" t="s">
        <v>4</v>
      </c>
      <c r="E267" s="23">
        <f t="shared" si="391"/>
        <v>10591.699999999999</v>
      </c>
      <c r="F267" s="23">
        <f t="shared" si="391"/>
        <v>10326.5</v>
      </c>
      <c r="G267" s="23">
        <f t="shared" ref="G267:G268" si="401">F267/E267*100</f>
        <v>97.496152647828026</v>
      </c>
      <c r="H267" s="23"/>
      <c r="I267" s="23"/>
      <c r="J267" s="21"/>
      <c r="K267" s="23"/>
      <c r="L267" s="23"/>
      <c r="M267" s="21"/>
      <c r="N267" s="23"/>
      <c r="O267" s="23"/>
      <c r="P267" s="21"/>
      <c r="Q267" s="23"/>
      <c r="R267" s="23"/>
      <c r="S267" s="23"/>
      <c r="T267" s="23">
        <v>2420.5</v>
      </c>
      <c r="U267" s="23">
        <v>1500</v>
      </c>
      <c r="V267" s="23">
        <f t="shared" ref="V267" si="402">U267/T267*100</f>
        <v>61.97066721751704</v>
      </c>
      <c r="W267" s="23">
        <v>4060.9</v>
      </c>
      <c r="X267" s="23">
        <v>1874.4</v>
      </c>
      <c r="Y267" s="23">
        <f t="shared" ref="Y267:Y268" si="403">X267/W267*100</f>
        <v>46.157255780738261</v>
      </c>
      <c r="Z267" s="23">
        <v>4027.9</v>
      </c>
      <c r="AA267" s="23">
        <v>2796.1</v>
      </c>
      <c r="AB267" s="23">
        <f t="shared" ref="AB267:AB268" si="404">AA267/Z267*100</f>
        <v>69.418307306536903</v>
      </c>
      <c r="AC267" s="23">
        <v>82.4</v>
      </c>
      <c r="AD267" s="23">
        <v>2106</v>
      </c>
      <c r="AE267" s="23">
        <f t="shared" ref="AE267:AE268" si="405">AD267/AC267*100</f>
        <v>2555.8252427184461</v>
      </c>
      <c r="AF267" s="23"/>
      <c r="AG267" s="23">
        <v>2050</v>
      </c>
      <c r="AH267" s="23"/>
      <c r="AI267" s="23">
        <v>0</v>
      </c>
      <c r="AJ267" s="23"/>
      <c r="AK267" s="23"/>
      <c r="AL267" s="23"/>
      <c r="AM267" s="23"/>
      <c r="AN267" s="23"/>
      <c r="AO267" s="23"/>
      <c r="AP267" s="23"/>
      <c r="AQ267" s="21" t="e">
        <f t="shared" si="394"/>
        <v>#DIV/0!</v>
      </c>
      <c r="AR267" s="88" t="s">
        <v>192</v>
      </c>
      <c r="AS267" s="94" t="s">
        <v>194</v>
      </c>
    </row>
    <row r="268" spans="1:45" ht="36" x14ac:dyDescent="0.3">
      <c r="A268" s="122"/>
      <c r="B268" s="105"/>
      <c r="C268" s="105"/>
      <c r="D268" s="35" t="s">
        <v>44</v>
      </c>
      <c r="E268" s="23">
        <f t="shared" si="391"/>
        <v>300</v>
      </c>
      <c r="F268" s="23">
        <f t="shared" si="391"/>
        <v>166.6</v>
      </c>
      <c r="G268" s="23">
        <f t="shared" si="401"/>
        <v>55.533333333333331</v>
      </c>
      <c r="H268" s="23"/>
      <c r="I268" s="23"/>
      <c r="J268" s="21"/>
      <c r="K268" s="23"/>
      <c r="L268" s="23"/>
      <c r="M268" s="21"/>
      <c r="N268" s="23"/>
      <c r="O268" s="23"/>
      <c r="P268" s="21"/>
      <c r="Q268" s="23">
        <v>20</v>
      </c>
      <c r="R268" s="23">
        <v>20</v>
      </c>
      <c r="S268" s="23">
        <f t="shared" ref="S268" si="406">R268/Q268*100</f>
        <v>100</v>
      </c>
      <c r="T268" s="23"/>
      <c r="U268" s="23">
        <v>0</v>
      </c>
      <c r="V268" s="23"/>
      <c r="W268" s="23">
        <v>79</v>
      </c>
      <c r="X268" s="23">
        <v>79</v>
      </c>
      <c r="Y268" s="23">
        <f t="shared" si="403"/>
        <v>100</v>
      </c>
      <c r="Z268" s="23">
        <f>45.9+74.9</f>
        <v>120.80000000000001</v>
      </c>
      <c r="AA268" s="23">
        <v>20.6</v>
      </c>
      <c r="AB268" s="23">
        <f t="shared" si="404"/>
        <v>17.05298013245033</v>
      </c>
      <c r="AC268" s="23">
        <v>35.700000000000003</v>
      </c>
      <c r="AD268" s="23">
        <v>41</v>
      </c>
      <c r="AE268" s="23">
        <f t="shared" si="405"/>
        <v>114.84593837535013</v>
      </c>
      <c r="AF268" s="23">
        <v>30</v>
      </c>
      <c r="AG268" s="23">
        <v>6</v>
      </c>
      <c r="AH268" s="23">
        <f t="shared" ref="AH268" si="407">AG268/AF268*100</f>
        <v>20</v>
      </c>
      <c r="AI268" s="23"/>
      <c r="AJ268" s="23"/>
      <c r="AK268" s="23"/>
      <c r="AL268" s="23">
        <v>14.5</v>
      </c>
      <c r="AM268" s="23"/>
      <c r="AN268" s="23"/>
      <c r="AO268" s="23"/>
      <c r="AP268" s="23"/>
      <c r="AQ268" s="21" t="e">
        <f t="shared" si="394"/>
        <v>#DIV/0!</v>
      </c>
      <c r="AR268" s="89" t="s">
        <v>193</v>
      </c>
      <c r="AS268" s="95"/>
    </row>
    <row r="269" spans="1:45" ht="12.6" customHeight="1" x14ac:dyDescent="0.3">
      <c r="A269" s="122"/>
      <c r="B269" s="105"/>
      <c r="C269" s="105"/>
      <c r="D269" s="35" t="s">
        <v>22</v>
      </c>
      <c r="E269" s="23">
        <f t="shared" si="391"/>
        <v>0</v>
      </c>
      <c r="F269" s="23">
        <f t="shared" si="391"/>
        <v>0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4"/>
      <c r="AR269" s="33"/>
      <c r="AS269" s="33"/>
    </row>
    <row r="270" spans="1:45" ht="12" customHeight="1" x14ac:dyDescent="0.3">
      <c r="A270" s="122" t="s">
        <v>82</v>
      </c>
      <c r="B270" s="105" t="s">
        <v>111</v>
      </c>
      <c r="C270" s="105" t="s">
        <v>5</v>
      </c>
      <c r="D270" s="35" t="s">
        <v>3</v>
      </c>
      <c r="E270" s="23">
        <f t="shared" si="391"/>
        <v>0</v>
      </c>
      <c r="F270" s="23">
        <f t="shared" si="391"/>
        <v>0</v>
      </c>
      <c r="G270" s="23"/>
      <c r="H270" s="23">
        <f>H271+H272+H273+H274</f>
        <v>0</v>
      </c>
      <c r="I270" s="23"/>
      <c r="J270" s="23"/>
      <c r="K270" s="23">
        <f t="shared" ref="K270:AO270" si="408">K271+K272+K273+K274</f>
        <v>0</v>
      </c>
      <c r="L270" s="23"/>
      <c r="M270" s="23"/>
      <c r="N270" s="23">
        <f t="shared" si="408"/>
        <v>0</v>
      </c>
      <c r="O270" s="23"/>
      <c r="P270" s="23"/>
      <c r="Q270" s="23">
        <f t="shared" si="408"/>
        <v>0</v>
      </c>
      <c r="R270" s="23"/>
      <c r="S270" s="23"/>
      <c r="T270" s="23">
        <f t="shared" si="408"/>
        <v>0</v>
      </c>
      <c r="U270" s="23"/>
      <c r="V270" s="23"/>
      <c r="W270" s="23">
        <f t="shared" si="408"/>
        <v>0</v>
      </c>
      <c r="X270" s="23"/>
      <c r="Y270" s="23"/>
      <c r="Z270" s="23">
        <f t="shared" si="408"/>
        <v>0</v>
      </c>
      <c r="AA270" s="23"/>
      <c r="AB270" s="23"/>
      <c r="AC270" s="23">
        <f t="shared" si="408"/>
        <v>0</v>
      </c>
      <c r="AD270" s="23"/>
      <c r="AE270" s="23"/>
      <c r="AF270" s="23">
        <f t="shared" si="408"/>
        <v>0</v>
      </c>
      <c r="AG270" s="23"/>
      <c r="AH270" s="23"/>
      <c r="AI270" s="23">
        <f t="shared" si="408"/>
        <v>0</v>
      </c>
      <c r="AJ270" s="23"/>
      <c r="AK270" s="23"/>
      <c r="AL270" s="23">
        <f t="shared" si="408"/>
        <v>0</v>
      </c>
      <c r="AM270" s="23"/>
      <c r="AN270" s="23"/>
      <c r="AO270" s="23">
        <f t="shared" si="408"/>
        <v>0</v>
      </c>
      <c r="AP270" s="23"/>
      <c r="AQ270" s="24"/>
      <c r="AR270" s="33"/>
      <c r="AS270" s="33"/>
    </row>
    <row r="271" spans="1:45" x14ac:dyDescent="0.3">
      <c r="A271" s="122"/>
      <c r="B271" s="105"/>
      <c r="C271" s="105"/>
      <c r="D271" s="35" t="s">
        <v>21</v>
      </c>
      <c r="E271" s="23">
        <f t="shared" si="391"/>
        <v>0</v>
      </c>
      <c r="F271" s="23">
        <f t="shared" si="391"/>
        <v>0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4"/>
      <c r="AR271" s="33"/>
      <c r="AS271" s="33"/>
    </row>
    <row r="272" spans="1:45" ht="24" x14ac:dyDescent="0.3">
      <c r="A272" s="122"/>
      <c r="B272" s="105"/>
      <c r="C272" s="105"/>
      <c r="D272" s="35" t="s">
        <v>4</v>
      </c>
      <c r="E272" s="23">
        <f t="shared" si="391"/>
        <v>0</v>
      </c>
      <c r="F272" s="23">
        <f t="shared" si="391"/>
        <v>0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4"/>
      <c r="AR272" s="33"/>
      <c r="AS272" s="33"/>
    </row>
    <row r="273" spans="1:45" ht="15.75" customHeight="1" x14ac:dyDescent="0.3">
      <c r="A273" s="122"/>
      <c r="B273" s="105"/>
      <c r="C273" s="105"/>
      <c r="D273" s="35" t="s">
        <v>44</v>
      </c>
      <c r="E273" s="23">
        <f t="shared" si="391"/>
        <v>0</v>
      </c>
      <c r="F273" s="23">
        <f t="shared" si="391"/>
        <v>0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4"/>
      <c r="AR273" s="33"/>
      <c r="AS273" s="33"/>
    </row>
    <row r="274" spans="1:45" ht="15.75" customHeight="1" x14ac:dyDescent="0.3">
      <c r="A274" s="122"/>
      <c r="B274" s="105"/>
      <c r="C274" s="105"/>
      <c r="D274" s="35" t="s">
        <v>22</v>
      </c>
      <c r="E274" s="23">
        <f t="shared" si="391"/>
        <v>0</v>
      </c>
      <c r="F274" s="23">
        <f t="shared" si="391"/>
        <v>0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4"/>
      <c r="AR274" s="33"/>
      <c r="AS274" s="33"/>
    </row>
    <row r="275" spans="1:45" ht="12.75" customHeight="1" x14ac:dyDescent="0.3">
      <c r="A275" s="146" t="s">
        <v>18</v>
      </c>
      <c r="B275" s="146"/>
      <c r="C275" s="146"/>
      <c r="D275" s="36" t="s">
        <v>3</v>
      </c>
      <c r="E275" s="37">
        <f t="shared" si="391"/>
        <v>21903.399999999998</v>
      </c>
      <c r="F275" s="37">
        <f t="shared" si="391"/>
        <v>17789.319749999999</v>
      </c>
      <c r="G275" s="37">
        <f>F275/E275*100</f>
        <v>81.217161490910101</v>
      </c>
      <c r="H275" s="37">
        <f>H276+H277+H278+H279</f>
        <v>0</v>
      </c>
      <c r="I275" s="37">
        <f>I276+I277+I278+I279</f>
        <v>0</v>
      </c>
      <c r="J275" s="22"/>
      <c r="K275" s="37">
        <f t="shared" ref="K275:AO275" si="409">K276+K277+K278+K279</f>
        <v>0</v>
      </c>
      <c r="L275" s="37">
        <f t="shared" si="409"/>
        <v>0</v>
      </c>
      <c r="M275" s="37"/>
      <c r="N275" s="37">
        <f t="shared" si="409"/>
        <v>357.5</v>
      </c>
      <c r="O275" s="37">
        <f t="shared" si="409"/>
        <v>265.3</v>
      </c>
      <c r="P275" s="37">
        <f>O275/N275*100</f>
        <v>74.209790209790214</v>
      </c>
      <c r="Q275" s="37">
        <f t="shared" si="409"/>
        <v>1542.9</v>
      </c>
      <c r="R275" s="37">
        <f t="shared" si="409"/>
        <v>1684</v>
      </c>
      <c r="S275" s="37">
        <f>R275/Q275*100</f>
        <v>109.14511633936095</v>
      </c>
      <c r="T275" s="37">
        <f t="shared" si="409"/>
        <v>2420.5</v>
      </c>
      <c r="U275" s="37">
        <f t="shared" si="409"/>
        <v>1500</v>
      </c>
      <c r="V275" s="37">
        <f>U275/T275*100</f>
        <v>61.97066721751704</v>
      </c>
      <c r="W275" s="37">
        <f t="shared" si="409"/>
        <v>6302.5</v>
      </c>
      <c r="X275" s="37">
        <f t="shared" si="409"/>
        <v>4067.1000000000004</v>
      </c>
      <c r="Y275" s="37">
        <f>X275/W275*100</f>
        <v>64.531535105117015</v>
      </c>
      <c r="Z275" s="37">
        <f t="shared" si="409"/>
        <v>8068.4</v>
      </c>
      <c r="AA275" s="37">
        <f t="shared" si="409"/>
        <v>5573.7197499999993</v>
      </c>
      <c r="AB275" s="37">
        <f>AA275/Z275*100</f>
        <v>69.080855559962316</v>
      </c>
      <c r="AC275" s="37">
        <f t="shared" si="409"/>
        <v>118.10000000000001</v>
      </c>
      <c r="AD275" s="37">
        <f t="shared" si="409"/>
        <v>2643.2</v>
      </c>
      <c r="AE275" s="37">
        <f>AD275/AC275*100</f>
        <v>2238.103302286198</v>
      </c>
      <c r="AF275" s="37">
        <f t="shared" si="409"/>
        <v>30</v>
      </c>
      <c r="AG275" s="37">
        <f t="shared" si="409"/>
        <v>2056</v>
      </c>
      <c r="AH275" s="37">
        <f>AG275/AF275*100</f>
        <v>6853.333333333333</v>
      </c>
      <c r="AI275" s="37">
        <f t="shared" si="409"/>
        <v>277.10000000000002</v>
      </c>
      <c r="AJ275" s="37">
        <f t="shared" si="409"/>
        <v>0</v>
      </c>
      <c r="AK275" s="37"/>
      <c r="AL275" s="37">
        <f t="shared" si="409"/>
        <v>1713.9</v>
      </c>
      <c r="AM275" s="37">
        <f t="shared" si="409"/>
        <v>0</v>
      </c>
      <c r="AN275" s="37">
        <f>AM275/AL275*100</f>
        <v>0</v>
      </c>
      <c r="AO275" s="37">
        <f t="shared" si="409"/>
        <v>1072.5000000000005</v>
      </c>
      <c r="AP275" s="47"/>
      <c r="AQ275" s="22">
        <f t="shared" ref="AQ275:AQ278" si="410">AP275/AO275</f>
        <v>0</v>
      </c>
      <c r="AR275" s="33"/>
      <c r="AS275" s="33"/>
    </row>
    <row r="276" spans="1:45" ht="13.5" customHeight="1" x14ac:dyDescent="0.3">
      <c r="A276" s="146"/>
      <c r="B276" s="146"/>
      <c r="C276" s="146"/>
      <c r="D276" s="36" t="s">
        <v>21</v>
      </c>
      <c r="E276" s="37">
        <f t="shared" si="391"/>
        <v>0</v>
      </c>
      <c r="F276" s="37">
        <f t="shared" si="391"/>
        <v>0</v>
      </c>
      <c r="G276" s="37"/>
      <c r="H276" s="37">
        <f t="shared" ref="H276:I279" si="411">H261+H266+H271</f>
        <v>0</v>
      </c>
      <c r="I276" s="37">
        <f t="shared" si="411"/>
        <v>0</v>
      </c>
      <c r="J276" s="22"/>
      <c r="K276" s="37">
        <f t="shared" ref="K276:AO279" si="412">K261+K266+K271</f>
        <v>0</v>
      </c>
      <c r="L276" s="37">
        <f t="shared" si="412"/>
        <v>0</v>
      </c>
      <c r="M276" s="37"/>
      <c r="N276" s="37">
        <f t="shared" si="412"/>
        <v>0</v>
      </c>
      <c r="O276" s="37">
        <f t="shared" si="412"/>
        <v>0</v>
      </c>
      <c r="P276" s="37"/>
      <c r="Q276" s="37">
        <f t="shared" si="412"/>
        <v>0</v>
      </c>
      <c r="R276" s="37">
        <f t="shared" si="412"/>
        <v>0</v>
      </c>
      <c r="S276" s="37"/>
      <c r="T276" s="37">
        <f t="shared" si="412"/>
        <v>0</v>
      </c>
      <c r="U276" s="37">
        <f t="shared" si="412"/>
        <v>0</v>
      </c>
      <c r="V276" s="37"/>
      <c r="W276" s="37">
        <f t="shared" si="412"/>
        <v>0</v>
      </c>
      <c r="X276" s="37">
        <f t="shared" si="412"/>
        <v>0</v>
      </c>
      <c r="Y276" s="37"/>
      <c r="Z276" s="37">
        <f t="shared" si="412"/>
        <v>0</v>
      </c>
      <c r="AA276" s="37">
        <f t="shared" si="412"/>
        <v>0</v>
      </c>
      <c r="AB276" s="37"/>
      <c r="AC276" s="37">
        <f t="shared" si="412"/>
        <v>0</v>
      </c>
      <c r="AD276" s="37">
        <f t="shared" si="412"/>
        <v>0</v>
      </c>
      <c r="AE276" s="37"/>
      <c r="AF276" s="37">
        <f t="shared" si="412"/>
        <v>0</v>
      </c>
      <c r="AG276" s="37">
        <f t="shared" si="412"/>
        <v>0</v>
      </c>
      <c r="AH276" s="37"/>
      <c r="AI276" s="37">
        <f t="shared" si="412"/>
        <v>0</v>
      </c>
      <c r="AJ276" s="37">
        <f t="shared" si="412"/>
        <v>0</v>
      </c>
      <c r="AK276" s="37"/>
      <c r="AL276" s="37">
        <f t="shared" si="412"/>
        <v>0</v>
      </c>
      <c r="AM276" s="37">
        <f t="shared" si="412"/>
        <v>0</v>
      </c>
      <c r="AN276" s="37"/>
      <c r="AO276" s="37">
        <f t="shared" si="412"/>
        <v>0</v>
      </c>
      <c r="AP276" s="42"/>
      <c r="AQ276" s="22"/>
      <c r="AR276" s="33"/>
      <c r="AS276" s="33"/>
    </row>
    <row r="277" spans="1:45" ht="25.5" customHeight="1" x14ac:dyDescent="0.3">
      <c r="A277" s="146"/>
      <c r="B277" s="146"/>
      <c r="C277" s="146"/>
      <c r="D277" s="36" t="s">
        <v>4</v>
      </c>
      <c r="E277" s="37">
        <f t="shared" si="391"/>
        <v>15859.5</v>
      </c>
      <c r="F277" s="37">
        <f t="shared" si="391"/>
        <v>14402.71975</v>
      </c>
      <c r="G277" s="37">
        <f t="shared" ref="G277:G278" si="413">F277/E277*100</f>
        <v>90.814462940193579</v>
      </c>
      <c r="H277" s="37">
        <f t="shared" si="411"/>
        <v>0</v>
      </c>
      <c r="I277" s="37">
        <f t="shared" si="411"/>
        <v>0</v>
      </c>
      <c r="J277" s="22"/>
      <c r="K277" s="37">
        <f t="shared" si="412"/>
        <v>0</v>
      </c>
      <c r="L277" s="37">
        <f t="shared" si="412"/>
        <v>0</v>
      </c>
      <c r="M277" s="37"/>
      <c r="N277" s="37">
        <f t="shared" si="412"/>
        <v>0</v>
      </c>
      <c r="O277" s="37">
        <f t="shared" si="412"/>
        <v>0</v>
      </c>
      <c r="P277" s="37"/>
      <c r="Q277" s="37">
        <f t="shared" si="412"/>
        <v>1008.7</v>
      </c>
      <c r="R277" s="37">
        <f t="shared" si="412"/>
        <v>1204.9000000000001</v>
      </c>
      <c r="S277" s="37">
        <f t="shared" ref="S277:S278" si="414">R277/Q277*100</f>
        <v>119.45077822940419</v>
      </c>
      <c r="T277" s="37">
        <f t="shared" si="412"/>
        <v>2420.5</v>
      </c>
      <c r="U277" s="37">
        <f t="shared" si="412"/>
        <v>1500</v>
      </c>
      <c r="V277" s="37">
        <f t="shared" ref="V277" si="415">U277/T277*100</f>
        <v>61.97066721751704</v>
      </c>
      <c r="W277" s="37">
        <f t="shared" si="412"/>
        <v>4819.3</v>
      </c>
      <c r="X277" s="37">
        <f t="shared" si="412"/>
        <v>2436.6000000000004</v>
      </c>
      <c r="Y277" s="37">
        <f t="shared" ref="Y277:Y278" si="416">X277/W277*100</f>
        <v>50.559209843753251</v>
      </c>
      <c r="Z277" s="37">
        <f t="shared" si="412"/>
        <v>6337</v>
      </c>
      <c r="AA277" s="37">
        <f t="shared" si="412"/>
        <v>4683.5197499999995</v>
      </c>
      <c r="AB277" s="37">
        <f t="shared" ref="AB277:AB278" si="417">AA277/Z277*100</f>
        <v>73.907523275998102</v>
      </c>
      <c r="AC277" s="37">
        <f t="shared" si="412"/>
        <v>82.4</v>
      </c>
      <c r="AD277" s="37">
        <f t="shared" si="412"/>
        <v>2527.6999999999998</v>
      </c>
      <c r="AE277" s="37">
        <f t="shared" ref="AE277:AE278" si="418">AD277/AC277*100</f>
        <v>3067.5970873786405</v>
      </c>
      <c r="AF277" s="37">
        <f t="shared" si="412"/>
        <v>0</v>
      </c>
      <c r="AG277" s="37">
        <f t="shared" si="412"/>
        <v>2050</v>
      </c>
      <c r="AH277" s="37"/>
      <c r="AI277" s="37">
        <f t="shared" si="412"/>
        <v>64.900000000000006</v>
      </c>
      <c r="AJ277" s="37">
        <f t="shared" si="412"/>
        <v>0</v>
      </c>
      <c r="AK277" s="37"/>
      <c r="AL277" s="37">
        <f t="shared" si="412"/>
        <v>800.90000000000009</v>
      </c>
      <c r="AM277" s="37">
        <f t="shared" si="412"/>
        <v>0</v>
      </c>
      <c r="AN277" s="37">
        <f t="shared" ref="AN277:AN278" si="419">AM277/AL277*100</f>
        <v>0</v>
      </c>
      <c r="AO277" s="37">
        <f t="shared" si="412"/>
        <v>325.80000000000035</v>
      </c>
      <c r="AP277" s="42"/>
      <c r="AQ277" s="22">
        <f t="shared" si="410"/>
        <v>0</v>
      </c>
      <c r="AR277" s="33"/>
      <c r="AS277" s="33"/>
    </row>
    <row r="278" spans="1:45" ht="14.25" customHeight="1" x14ac:dyDescent="0.3">
      <c r="A278" s="146"/>
      <c r="B278" s="146"/>
      <c r="C278" s="146"/>
      <c r="D278" s="36" t="s">
        <v>44</v>
      </c>
      <c r="E278" s="37">
        <f t="shared" si="391"/>
        <v>6043.8999999999987</v>
      </c>
      <c r="F278" s="37">
        <f t="shared" si="391"/>
        <v>3386.6000000000004</v>
      </c>
      <c r="G278" s="37">
        <f t="shared" si="413"/>
        <v>56.03335594566424</v>
      </c>
      <c r="H278" s="37">
        <f t="shared" si="411"/>
        <v>0</v>
      </c>
      <c r="I278" s="37">
        <f t="shared" si="411"/>
        <v>0</v>
      </c>
      <c r="J278" s="22"/>
      <c r="K278" s="37">
        <f t="shared" si="412"/>
        <v>0</v>
      </c>
      <c r="L278" s="37">
        <f t="shared" si="412"/>
        <v>0</v>
      </c>
      <c r="M278" s="37"/>
      <c r="N278" s="37">
        <f t="shared" si="412"/>
        <v>357.5</v>
      </c>
      <c r="O278" s="37">
        <f t="shared" si="412"/>
        <v>265.3</v>
      </c>
      <c r="P278" s="37">
        <f t="shared" ref="P278" si="420">O278/N278*100</f>
        <v>74.209790209790214</v>
      </c>
      <c r="Q278" s="37">
        <f t="shared" si="412"/>
        <v>534.19999999999993</v>
      </c>
      <c r="R278" s="37">
        <f t="shared" si="412"/>
        <v>479.1</v>
      </c>
      <c r="S278" s="37">
        <f t="shared" si="414"/>
        <v>89.685511044552612</v>
      </c>
      <c r="T278" s="37">
        <f t="shared" si="412"/>
        <v>0</v>
      </c>
      <c r="U278" s="37">
        <f t="shared" si="412"/>
        <v>0</v>
      </c>
      <c r="V278" s="37"/>
      <c r="W278" s="37">
        <f t="shared" si="412"/>
        <v>1483.1999999999998</v>
      </c>
      <c r="X278" s="37">
        <f t="shared" si="412"/>
        <v>1630.5</v>
      </c>
      <c r="Y278" s="37">
        <f t="shared" si="416"/>
        <v>109.93122977346279</v>
      </c>
      <c r="Z278" s="37">
        <f t="shared" si="412"/>
        <v>1731.4</v>
      </c>
      <c r="AA278" s="37">
        <f t="shared" si="412"/>
        <v>890.2</v>
      </c>
      <c r="AB278" s="37">
        <f t="shared" si="417"/>
        <v>51.415039852142776</v>
      </c>
      <c r="AC278" s="37">
        <f t="shared" si="412"/>
        <v>35.700000000000003</v>
      </c>
      <c r="AD278" s="37">
        <f t="shared" si="412"/>
        <v>115.5</v>
      </c>
      <c r="AE278" s="37">
        <f t="shared" si="418"/>
        <v>323.52941176470586</v>
      </c>
      <c r="AF278" s="37">
        <f t="shared" si="412"/>
        <v>30</v>
      </c>
      <c r="AG278" s="37">
        <f t="shared" si="412"/>
        <v>6</v>
      </c>
      <c r="AH278" s="37">
        <f t="shared" ref="AH278" si="421">AG278/AF278*100</f>
        <v>20</v>
      </c>
      <c r="AI278" s="37">
        <f t="shared" si="412"/>
        <v>212.20000000000002</v>
      </c>
      <c r="AJ278" s="37">
        <f t="shared" si="412"/>
        <v>0</v>
      </c>
      <c r="AK278" s="37"/>
      <c r="AL278" s="37">
        <f t="shared" si="412"/>
        <v>913</v>
      </c>
      <c r="AM278" s="37">
        <f t="shared" si="412"/>
        <v>0</v>
      </c>
      <c r="AN278" s="37">
        <f t="shared" si="419"/>
        <v>0</v>
      </c>
      <c r="AO278" s="37">
        <f t="shared" si="412"/>
        <v>746.7</v>
      </c>
      <c r="AP278" s="42"/>
      <c r="AQ278" s="22">
        <f t="shared" si="410"/>
        <v>0</v>
      </c>
      <c r="AR278" s="33"/>
      <c r="AS278" s="33"/>
    </row>
    <row r="279" spans="1:45" ht="15" customHeight="1" x14ac:dyDescent="0.3">
      <c r="A279" s="146"/>
      <c r="B279" s="146"/>
      <c r="C279" s="146"/>
      <c r="D279" s="36" t="s">
        <v>22</v>
      </c>
      <c r="E279" s="37">
        <f t="shared" si="391"/>
        <v>0</v>
      </c>
      <c r="F279" s="37">
        <f t="shared" si="391"/>
        <v>0</v>
      </c>
      <c r="G279" s="37"/>
      <c r="H279" s="37">
        <f t="shared" si="411"/>
        <v>0</v>
      </c>
      <c r="I279" s="37">
        <f t="shared" si="411"/>
        <v>0</v>
      </c>
      <c r="J279" s="37"/>
      <c r="K279" s="37">
        <f t="shared" si="412"/>
        <v>0</v>
      </c>
      <c r="L279" s="37">
        <f t="shared" si="412"/>
        <v>0</v>
      </c>
      <c r="M279" s="37"/>
      <c r="N279" s="37">
        <f t="shared" si="412"/>
        <v>0</v>
      </c>
      <c r="O279" s="37">
        <f t="shared" si="412"/>
        <v>0</v>
      </c>
      <c r="P279" s="37"/>
      <c r="Q279" s="37">
        <f t="shared" si="412"/>
        <v>0</v>
      </c>
      <c r="R279" s="37">
        <f t="shared" si="412"/>
        <v>0</v>
      </c>
      <c r="S279" s="37"/>
      <c r="T279" s="37">
        <f t="shared" si="412"/>
        <v>0</v>
      </c>
      <c r="U279" s="37">
        <f t="shared" si="412"/>
        <v>0</v>
      </c>
      <c r="V279" s="37"/>
      <c r="W279" s="37">
        <f t="shared" si="412"/>
        <v>0</v>
      </c>
      <c r="X279" s="37">
        <f t="shared" si="412"/>
        <v>0</v>
      </c>
      <c r="Y279" s="37"/>
      <c r="Z279" s="37">
        <f t="shared" si="412"/>
        <v>0</v>
      </c>
      <c r="AA279" s="37">
        <f t="shared" si="412"/>
        <v>0</v>
      </c>
      <c r="AB279" s="37"/>
      <c r="AC279" s="37">
        <f t="shared" si="412"/>
        <v>0</v>
      </c>
      <c r="AD279" s="37">
        <f t="shared" si="412"/>
        <v>0</v>
      </c>
      <c r="AE279" s="37"/>
      <c r="AF279" s="37">
        <f t="shared" si="412"/>
        <v>0</v>
      </c>
      <c r="AG279" s="37">
        <f t="shared" si="412"/>
        <v>0</v>
      </c>
      <c r="AH279" s="37"/>
      <c r="AI279" s="37">
        <f t="shared" si="412"/>
        <v>0</v>
      </c>
      <c r="AJ279" s="37">
        <f t="shared" si="412"/>
        <v>0</v>
      </c>
      <c r="AK279" s="37"/>
      <c r="AL279" s="37">
        <f t="shared" si="412"/>
        <v>0</v>
      </c>
      <c r="AM279" s="37">
        <f t="shared" si="412"/>
        <v>0</v>
      </c>
      <c r="AN279" s="37"/>
      <c r="AO279" s="37">
        <f t="shared" si="412"/>
        <v>0</v>
      </c>
      <c r="AP279" s="42"/>
      <c r="AQ279" s="25"/>
      <c r="AR279" s="33"/>
      <c r="AS279" s="33"/>
    </row>
    <row r="280" spans="1:45" ht="13.2" customHeight="1" x14ac:dyDescent="0.3">
      <c r="A280" s="124" t="s">
        <v>19</v>
      </c>
      <c r="B280" s="125"/>
      <c r="C280" s="126"/>
      <c r="D280" s="36" t="s">
        <v>3</v>
      </c>
      <c r="E280" s="37">
        <f t="shared" ref="E280:F297" si="422">H280+K280+N280+Q280+T280+W280+Z280+AC280+AF280+AI280+AL280+AO280</f>
        <v>2020688.2000000002</v>
      </c>
      <c r="F280" s="37">
        <f t="shared" si="422"/>
        <v>1370418.7197499999</v>
      </c>
      <c r="G280" s="37">
        <f>F280/E280*100</f>
        <v>67.81940527737035</v>
      </c>
      <c r="H280" s="37">
        <f>H281+H282+H283+H284</f>
        <v>36669.799999999996</v>
      </c>
      <c r="I280" s="37">
        <f>I281+I282+I283+I284</f>
        <v>35625.9</v>
      </c>
      <c r="J280" s="37">
        <f>I280/H280*100</f>
        <v>97.153243268302546</v>
      </c>
      <c r="K280" s="37">
        <f>K281+K282+K283+K284</f>
        <v>139686.40000000002</v>
      </c>
      <c r="L280" s="37">
        <f>L281+L282+L283+L284</f>
        <v>140487.5</v>
      </c>
      <c r="M280" s="37">
        <f>L280/K280*100</f>
        <v>100.57349892330248</v>
      </c>
      <c r="N280" s="37">
        <f>N281+N282+N283+N284</f>
        <v>129875.79999999999</v>
      </c>
      <c r="O280" s="37">
        <f>O281+O282+O283+O284</f>
        <v>127692.79999999999</v>
      </c>
      <c r="P280" s="37">
        <f>O280/N280*100</f>
        <v>98.31916338532659</v>
      </c>
      <c r="Q280" s="37">
        <f t="shared" ref="Q280:AH281" si="423">Q281+Q282+Q283+Q284</f>
        <v>172942.2</v>
      </c>
      <c r="R280" s="37">
        <f t="shared" si="423"/>
        <v>169941.69999999998</v>
      </c>
      <c r="S280" s="37">
        <f>R280/Q280*100</f>
        <v>98.265027275008634</v>
      </c>
      <c r="T280" s="37">
        <f t="shared" si="423"/>
        <v>222394</v>
      </c>
      <c r="U280" s="37">
        <f t="shared" si="423"/>
        <v>219723.9</v>
      </c>
      <c r="V280" s="37">
        <f>U280/T280*100</f>
        <v>98.799383076881568</v>
      </c>
      <c r="W280" s="37">
        <f t="shared" si="423"/>
        <v>319778</v>
      </c>
      <c r="X280" s="37">
        <f t="shared" si="423"/>
        <v>310920.09999999998</v>
      </c>
      <c r="Y280" s="37">
        <f>X280/W280*100</f>
        <v>97.229984551782792</v>
      </c>
      <c r="Z280" s="37">
        <f t="shared" si="423"/>
        <v>210079.6</v>
      </c>
      <c r="AA280" s="37">
        <f t="shared" si="423"/>
        <v>162269.41975</v>
      </c>
      <c r="AB280" s="37">
        <f t="shared" si="423"/>
        <v>445.57384857706677</v>
      </c>
      <c r="AC280" s="37">
        <f t="shared" si="423"/>
        <v>83947.199999999997</v>
      </c>
      <c r="AD280" s="37">
        <f t="shared" si="423"/>
        <v>86388.099999999991</v>
      </c>
      <c r="AE280" s="37">
        <f>AD280/AC280*100</f>
        <v>102.90766100596565</v>
      </c>
      <c r="AF280" s="37">
        <f t="shared" si="423"/>
        <v>98286</v>
      </c>
      <c r="AG280" s="37">
        <f t="shared" si="423"/>
        <v>117369.3</v>
      </c>
      <c r="AH280" s="37">
        <f t="shared" si="423"/>
        <v>2082.6336176538894</v>
      </c>
      <c r="AI280" s="37">
        <f>AI281+AI282+AI283+AI284</f>
        <v>142932.79999999999</v>
      </c>
      <c r="AJ280" s="37">
        <f t="shared" ref="AJ280:AO281" si="424">AJ281+AJ282+AJ283+AJ284</f>
        <v>0</v>
      </c>
      <c r="AK280" s="37" t="e">
        <f t="shared" si="424"/>
        <v>#DIV/0!</v>
      </c>
      <c r="AL280" s="37">
        <f t="shared" si="424"/>
        <v>138065.79999999999</v>
      </c>
      <c r="AM280" s="37">
        <f t="shared" si="424"/>
        <v>0</v>
      </c>
      <c r="AN280" s="37">
        <f t="shared" si="424"/>
        <v>0</v>
      </c>
      <c r="AO280" s="37">
        <f t="shared" si="424"/>
        <v>326030.60000000003</v>
      </c>
      <c r="AP280" s="42"/>
      <c r="AQ280" s="22">
        <f t="shared" ref="AQ280:AQ283" si="425">AP280/AO280</f>
        <v>0</v>
      </c>
      <c r="AR280" s="33"/>
      <c r="AS280" s="33"/>
    </row>
    <row r="281" spans="1:45" x14ac:dyDescent="0.3">
      <c r="A281" s="127"/>
      <c r="B281" s="128"/>
      <c r="C281" s="129"/>
      <c r="D281" s="36" t="s">
        <v>21</v>
      </c>
      <c r="E281" s="37">
        <f t="shared" si="422"/>
        <v>105800.6</v>
      </c>
      <c r="F281" s="37">
        <f t="shared" si="422"/>
        <v>83424.800000000003</v>
      </c>
      <c r="G281" s="37">
        <f>F281/E281*100</f>
        <v>78.850970599410587</v>
      </c>
      <c r="H281" s="37">
        <f>H35+H83+H155+H191+H227+H254+H276</f>
        <v>2727</v>
      </c>
      <c r="I281" s="37">
        <f>I35+I83+I155+I191+I227+I254+I276</f>
        <v>2727</v>
      </c>
      <c r="J281" s="37">
        <f>I281/H281*100</f>
        <v>100</v>
      </c>
      <c r="K281" s="37">
        <f>K35+K83+K155+K191+K227+K254+K276</f>
        <v>3598</v>
      </c>
      <c r="L281" s="37">
        <f>L35+L83+L155+L191+L227+L254+L276</f>
        <v>3598</v>
      </c>
      <c r="M281" s="37">
        <f>L281/K281*100</f>
        <v>100</v>
      </c>
      <c r="N281" s="37">
        <f>N35+N83+N155+N191+N227+N254+N276</f>
        <v>3433.5</v>
      </c>
      <c r="O281" s="37">
        <f>O35+O83+O155+O191+O227+O254+O276</f>
        <v>3433.5</v>
      </c>
      <c r="P281" s="37">
        <f>O281/N281*100</f>
        <v>100</v>
      </c>
      <c r="Q281" s="37">
        <f>Q35+Q83+Q155+Q191+Q227+Q254+Q276</f>
        <v>13420.3</v>
      </c>
      <c r="R281" s="37">
        <f>R35+R83+R155+R191+R227+R254+R276</f>
        <v>12919.1</v>
      </c>
      <c r="S281" s="37">
        <f>R281/Q281*100</f>
        <v>96.265359194652888</v>
      </c>
      <c r="T281" s="37">
        <f>T35+T83+T155+T191+T227+T254+T276</f>
        <v>17143.8</v>
      </c>
      <c r="U281" s="37">
        <f>U35+U83+U155+U191+U227+U254+U276</f>
        <v>16352.8</v>
      </c>
      <c r="V281" s="37">
        <f>U281/T281*100</f>
        <v>95.386087098542916</v>
      </c>
      <c r="W281" s="37">
        <f>W35+W83+W155+W191+W227+W254+W276</f>
        <v>26241.300000000003</v>
      </c>
      <c r="X281" s="37">
        <f>X35+X83+X155+X191+X227+X254+X276</f>
        <v>25486.799999999999</v>
      </c>
      <c r="Y281" s="37">
        <f>X281/W281*100</f>
        <v>97.124761349475804</v>
      </c>
      <c r="Z281" s="37">
        <f>Z35+Z83+Z155+Z191+Z227+Z254+Z276</f>
        <v>19667.8</v>
      </c>
      <c r="AA281" s="37">
        <f t="shared" ref="AA281:AA284" si="426">AA35+AA83+AA155+AA191+AA227+AA254+AA276</f>
        <v>4776.3</v>
      </c>
      <c r="AB281" s="37">
        <f>AA281/Z281*100</f>
        <v>24.284871719256859</v>
      </c>
      <c r="AC281" s="37">
        <f>AC35+AC83+AC155+AC191+AC227+AC254+AC276</f>
        <v>728.5</v>
      </c>
      <c r="AD281" s="37">
        <f>AD35+AD83+AD155+AD191+AD227+AD254+AD276</f>
        <v>613.20000000000005</v>
      </c>
      <c r="AE281" s="37">
        <f>AD281/AC281*100</f>
        <v>84.172958133150317</v>
      </c>
      <c r="AF281" s="37">
        <f>AF35+AF83+AF155+AF191+AF227+AF254+AF276</f>
        <v>2921.8</v>
      </c>
      <c r="AG281" s="37">
        <f>AG35+AG83+AG155+AG191+AG227+AG254+AG276</f>
        <v>13518.1</v>
      </c>
      <c r="AH281" s="37">
        <f t="shared" si="423"/>
        <v>1041.3168088269447</v>
      </c>
      <c r="AI281" s="37">
        <f>AI35+AI83+AI155+AI191+AI227+AI254+AI276</f>
        <v>4857.8</v>
      </c>
      <c r="AJ281" s="37">
        <f>AJ35+AJ83+AJ155+AJ191+AJ227+AJ254+AJ276</f>
        <v>0</v>
      </c>
      <c r="AK281" s="37" t="e">
        <f t="shared" si="424"/>
        <v>#DIV/0!</v>
      </c>
      <c r="AL281" s="37">
        <f>AL35+AL83+AL155+AL191+AL227+AL254+AL276</f>
        <v>4592.8</v>
      </c>
      <c r="AM281" s="37">
        <f>AM35+AM83+AM155+AM191+AM227+AM254+AM276</f>
        <v>0</v>
      </c>
      <c r="AN281" s="37"/>
      <c r="AO281" s="37">
        <f>AO35+AO83+AO155+AO191+AO227+AO254+AO276</f>
        <v>6468</v>
      </c>
      <c r="AP281" s="42"/>
      <c r="AQ281" s="22"/>
      <c r="AR281" s="33"/>
      <c r="AS281" s="33"/>
    </row>
    <row r="282" spans="1:45" ht="24.75" customHeight="1" x14ac:dyDescent="0.3">
      <c r="A282" s="127"/>
      <c r="B282" s="128"/>
      <c r="C282" s="129"/>
      <c r="D282" s="36" t="s">
        <v>4</v>
      </c>
      <c r="E282" s="37">
        <f t="shared" si="422"/>
        <v>1557567.6</v>
      </c>
      <c r="F282" s="37">
        <f t="shared" si="422"/>
        <v>1059471.1197499998</v>
      </c>
      <c r="G282" s="37">
        <f>F282/E282*100</f>
        <v>68.020875610792103</v>
      </c>
      <c r="H282" s="37">
        <f>H36+H84+H156+H192+H228+H255+H277</f>
        <v>27460.6</v>
      </c>
      <c r="I282" s="37">
        <f>I36+I84+I156+I192+I228+I255+I277</f>
        <v>27408.3</v>
      </c>
      <c r="J282" s="37">
        <f>I282/H282*100</f>
        <v>99.809545312192753</v>
      </c>
      <c r="K282" s="37">
        <f>K36+K84+K156+K192+K228+K255+K277</f>
        <v>102827.6</v>
      </c>
      <c r="L282" s="37">
        <f>L36+L84+L156+L192+L228+L255+L277</f>
        <v>102721.2</v>
      </c>
      <c r="M282" s="37">
        <f>L282/K282*100</f>
        <v>99.896525835476069</v>
      </c>
      <c r="N282" s="37">
        <f>N36+N84+N156+N192+N228+N255+N277</f>
        <v>99730.2</v>
      </c>
      <c r="O282" s="37">
        <f>O36+O84+O156+O192+O228+O255+O277</f>
        <v>99680.7</v>
      </c>
      <c r="P282" s="37">
        <f>O282/N282*100</f>
        <v>99.950366087704623</v>
      </c>
      <c r="Q282" s="37">
        <f>Q36+Q84+Q156+Q192+Q228+Q255+Q277</f>
        <v>122419.40000000001</v>
      </c>
      <c r="R282" s="37">
        <f>R36+R84+R156+R192+R228+R255+R277</f>
        <v>121202.90000000001</v>
      </c>
      <c r="S282" s="37">
        <f>R282/Q282*100</f>
        <v>99.006284951568134</v>
      </c>
      <c r="T282" s="37">
        <f>T36+T84+T156+T192+T228+T255+T277</f>
        <v>177055.7</v>
      </c>
      <c r="U282" s="37">
        <f>U36+U84+U156+U192+U228+U255+U277</f>
        <v>175590.80000000002</v>
      </c>
      <c r="V282" s="37">
        <f>U282/T282*100</f>
        <v>99.172633244792465</v>
      </c>
      <c r="W282" s="37">
        <f>W36+W84+W156+W192+W228+W255+W277</f>
        <v>263203.8</v>
      </c>
      <c r="X282" s="37">
        <f>X36+X84+X156+X192+X228+X255+X277</f>
        <v>257229.69999999998</v>
      </c>
      <c r="Y282" s="37">
        <f>X282/W282*100</f>
        <v>97.73023793729422</v>
      </c>
      <c r="Z282" s="37">
        <f>Z36+Z84+Z156+Z192+Z228+Z255+Z277</f>
        <v>144447.6</v>
      </c>
      <c r="AA282" s="37">
        <f t="shared" si="426"/>
        <v>128514.61975000001</v>
      </c>
      <c r="AB282" s="37">
        <f>AA282/Z282*100</f>
        <v>88.969716180815752</v>
      </c>
      <c r="AC282" s="37">
        <f>AC36+AC84+AC156+AC192+AC228+AC255+AC277</f>
        <v>63457.599999999999</v>
      </c>
      <c r="AD282" s="37">
        <f>AD36+AD84+AD156+AD192+AD228+AD255+AD277</f>
        <v>68097.099999999991</v>
      </c>
      <c r="AE282" s="37">
        <f>AD282/AC282*100</f>
        <v>107.31118100905171</v>
      </c>
      <c r="AF282" s="37">
        <f>AF36+AF84+AF156+AF192+AF228+AF255+AF277</f>
        <v>73370.899999999994</v>
      </c>
      <c r="AG282" s="37">
        <f>AG36+AG84+AG156+AG192+AG228+AG255+AG277</f>
        <v>79025.8</v>
      </c>
      <c r="AH282" s="37">
        <f>AG282/AF282*100</f>
        <v>107.70727904387162</v>
      </c>
      <c r="AI282" s="37">
        <f>AI36+AI84+AI156+AI192+AI228+AI255+AI277</f>
        <v>106444.59999999999</v>
      </c>
      <c r="AJ282" s="37">
        <f>AJ36+AJ84+AJ156+AJ192+AJ228+AJ255+AJ277</f>
        <v>0</v>
      </c>
      <c r="AK282" s="37">
        <f>AJ282/AI282*100</f>
        <v>0</v>
      </c>
      <c r="AL282" s="37">
        <f>AL36+AL84+AL156+AL192+AL228+AL255+AL277</f>
        <v>106312.49999999999</v>
      </c>
      <c r="AM282" s="37">
        <f>AM36+AM84+AM156+AM192+AM228+AM255+AM277</f>
        <v>0</v>
      </c>
      <c r="AN282" s="37">
        <f>AM282/AL282*100</f>
        <v>0</v>
      </c>
      <c r="AO282" s="37">
        <f>AO36+AO84+AO156+AO192+AO228+AO255+AO277</f>
        <v>270837.10000000003</v>
      </c>
      <c r="AP282" s="42"/>
      <c r="AQ282" s="22">
        <f t="shared" si="425"/>
        <v>0</v>
      </c>
      <c r="AR282" s="33"/>
      <c r="AS282" s="33"/>
    </row>
    <row r="283" spans="1:45" ht="15.75" customHeight="1" x14ac:dyDescent="0.3">
      <c r="A283" s="127"/>
      <c r="B283" s="128"/>
      <c r="C283" s="129"/>
      <c r="D283" s="36" t="s">
        <v>44</v>
      </c>
      <c r="E283" s="37">
        <f t="shared" si="422"/>
        <v>357320</v>
      </c>
      <c r="F283" s="37">
        <f t="shared" si="422"/>
        <v>227522.79999999996</v>
      </c>
      <c r="G283" s="37">
        <f t="shared" ref="G283" si="427">F283/E283*100</f>
        <v>63.674801298555906</v>
      </c>
      <c r="H283" s="37">
        <f>H37+H85+H157+H193+H229+H256+H278</f>
        <v>6482.2</v>
      </c>
      <c r="I283" s="37">
        <f t="shared" ref="I283:AO283" si="428">I37+I85+I157+I193+I229+I256+I278</f>
        <v>5490.6</v>
      </c>
      <c r="J283" s="37">
        <f>I283/H283*100</f>
        <v>84.702724383696903</v>
      </c>
      <c r="K283" s="37">
        <f t="shared" si="428"/>
        <v>33260.800000000003</v>
      </c>
      <c r="L283" s="37">
        <f t="shared" si="428"/>
        <v>34168.299999999996</v>
      </c>
      <c r="M283" s="37">
        <f t="shared" ref="M283" si="429">L283/K283*100</f>
        <v>102.72843707908406</v>
      </c>
      <c r="N283" s="37">
        <f t="shared" si="428"/>
        <v>26712.1</v>
      </c>
      <c r="O283" s="37">
        <f t="shared" si="428"/>
        <v>24578.6</v>
      </c>
      <c r="P283" s="37">
        <f t="shared" si="428"/>
        <v>645.98699289174976</v>
      </c>
      <c r="Q283" s="37">
        <f t="shared" si="428"/>
        <v>37102.499999999993</v>
      </c>
      <c r="R283" s="37">
        <f t="shared" si="428"/>
        <v>35819.69999999999</v>
      </c>
      <c r="S283" s="37">
        <f t="shared" ref="S283" si="430">R283/Q283*100</f>
        <v>96.542551041034969</v>
      </c>
      <c r="T283" s="37">
        <f t="shared" si="428"/>
        <v>28194.5</v>
      </c>
      <c r="U283" s="37">
        <f t="shared" si="428"/>
        <v>27780.3</v>
      </c>
      <c r="V283" s="37">
        <f t="shared" ref="V283" si="431">U283/T283*100</f>
        <v>98.530919150898228</v>
      </c>
      <c r="W283" s="37">
        <f t="shared" si="428"/>
        <v>30332.9</v>
      </c>
      <c r="X283" s="37">
        <f t="shared" si="428"/>
        <v>28203.599999999999</v>
      </c>
      <c r="Y283" s="37">
        <f t="shared" ref="Y283" si="432">X283/W283*100</f>
        <v>92.980229387892336</v>
      </c>
      <c r="Z283" s="37">
        <f t="shared" si="428"/>
        <v>45964.200000000004</v>
      </c>
      <c r="AA283" s="37">
        <f t="shared" si="426"/>
        <v>28978.5</v>
      </c>
      <c r="AB283" s="37">
        <f t="shared" si="428"/>
        <v>332.31926067699419</v>
      </c>
      <c r="AC283" s="37">
        <f t="shared" si="428"/>
        <v>19761.099999999999</v>
      </c>
      <c r="AD283" s="37">
        <f t="shared" si="428"/>
        <v>17677.8</v>
      </c>
      <c r="AE283" s="37">
        <f t="shared" ref="AE283" si="433">AD283/AC283*100</f>
        <v>89.457570681794024</v>
      </c>
      <c r="AF283" s="37">
        <f t="shared" si="428"/>
        <v>21993.3</v>
      </c>
      <c r="AG283" s="37">
        <f t="shared" si="428"/>
        <v>24825.399999999998</v>
      </c>
      <c r="AH283" s="37">
        <f t="shared" si="428"/>
        <v>933.60952978307307</v>
      </c>
      <c r="AI283" s="37">
        <f t="shared" si="428"/>
        <v>31630.399999999998</v>
      </c>
      <c r="AJ283" s="37">
        <f t="shared" si="428"/>
        <v>0</v>
      </c>
      <c r="AK283" s="37" t="e">
        <f t="shared" si="428"/>
        <v>#DIV/0!</v>
      </c>
      <c r="AL283" s="37">
        <f t="shared" si="428"/>
        <v>27160.499999999996</v>
      </c>
      <c r="AM283" s="37">
        <f t="shared" si="428"/>
        <v>0</v>
      </c>
      <c r="AN283" s="37">
        <f t="shared" si="428"/>
        <v>0</v>
      </c>
      <c r="AO283" s="37">
        <f t="shared" si="428"/>
        <v>48725.500000000007</v>
      </c>
      <c r="AP283" s="42"/>
      <c r="AQ283" s="22">
        <f t="shared" si="425"/>
        <v>0</v>
      </c>
      <c r="AR283" s="33"/>
      <c r="AS283" s="33"/>
    </row>
    <row r="284" spans="1:45" ht="14.25" customHeight="1" x14ac:dyDescent="0.3">
      <c r="A284" s="127"/>
      <c r="B284" s="128"/>
      <c r="C284" s="129"/>
      <c r="D284" s="36" t="s">
        <v>22</v>
      </c>
      <c r="E284" s="37">
        <f t="shared" si="422"/>
        <v>0</v>
      </c>
      <c r="F284" s="37">
        <f t="shared" si="422"/>
        <v>0</v>
      </c>
      <c r="G284" s="37"/>
      <c r="H284" s="37">
        <f>H38+H86+H158+H194+H230+H257+H279</f>
        <v>0</v>
      </c>
      <c r="I284" s="37"/>
      <c r="J284" s="37"/>
      <c r="K284" s="37">
        <f>K38+K86+K158+K194+K230+K257+K279</f>
        <v>0</v>
      </c>
      <c r="L284" s="37">
        <f>L38+L86+L158+L194+L230+L257+L279</f>
        <v>0</v>
      </c>
      <c r="M284" s="37"/>
      <c r="N284" s="37">
        <f>N38+N86+N158+N194+N230+N257+N279</f>
        <v>0</v>
      </c>
      <c r="O284" s="37">
        <f>O38+O86+O158+O194+O230+O257+O279</f>
        <v>0</v>
      </c>
      <c r="P284" s="37"/>
      <c r="Q284" s="37">
        <f>Q38+Q86+Q158+Q194+Q230+Q257+Q279</f>
        <v>0</v>
      </c>
      <c r="R284" s="37">
        <f>R38+R86+R158+R194+R230+R257+R279</f>
        <v>0</v>
      </c>
      <c r="S284" s="37"/>
      <c r="T284" s="37">
        <f>T38+T86+T158+T194+T230+T257+T279</f>
        <v>0</v>
      </c>
      <c r="U284" s="37">
        <f>U38+U86+U158+U194+U230+U257+U279</f>
        <v>0</v>
      </c>
      <c r="V284" s="37"/>
      <c r="W284" s="37">
        <f>W38+W86+W158+W194+W230+W257+W279</f>
        <v>0</v>
      </c>
      <c r="X284" s="37">
        <f>X38+X86+X158+X194+X230+X257+X279</f>
        <v>0</v>
      </c>
      <c r="Y284" s="37"/>
      <c r="Z284" s="37">
        <f>Z38+Z86+Z158+Z194+Z230+Z257+Z279</f>
        <v>0</v>
      </c>
      <c r="AA284" s="37">
        <f t="shared" si="426"/>
        <v>0</v>
      </c>
      <c r="AB284" s="37"/>
      <c r="AC284" s="37">
        <f>AC38+AC86+AC158+AC194+AC230+AC257+AC279</f>
        <v>0</v>
      </c>
      <c r="AD284" s="37">
        <f>AD38+AD86+AD158+AD194+AD230+AD257+AD279</f>
        <v>0</v>
      </c>
      <c r="AE284" s="37"/>
      <c r="AF284" s="37">
        <f>AF38+AF86+AF158+AF194+AF230+AF257+AF279</f>
        <v>0</v>
      </c>
      <c r="AG284" s="37">
        <f>AG38+AG86+AG158+AG194+AG230+AG257+AG279</f>
        <v>0</v>
      </c>
      <c r="AH284" s="37"/>
      <c r="AI284" s="37">
        <f>AI38+AI86+AI158+AI194+AI230+AI257+AI279</f>
        <v>0</v>
      </c>
      <c r="AJ284" s="37">
        <f>AJ38+AJ86+AJ158+AJ194+AJ230+AJ257+AJ279</f>
        <v>0</v>
      </c>
      <c r="AK284" s="37"/>
      <c r="AL284" s="37">
        <f>AL38+AL86+AL158+AL194+AL230+AL257+AL279</f>
        <v>0</v>
      </c>
      <c r="AM284" s="37">
        <f>AM38+AM86+AM158+AM194+AM230+AM257+AM279</f>
        <v>0</v>
      </c>
      <c r="AN284" s="37"/>
      <c r="AO284" s="37">
        <f>AO38+AO86+AO158+AO194+AO230+AO257+AO279</f>
        <v>0</v>
      </c>
      <c r="AP284" s="42"/>
      <c r="AQ284" s="25"/>
      <c r="AR284" s="33"/>
      <c r="AS284" s="33"/>
    </row>
    <row r="285" spans="1:45" ht="14.25" customHeight="1" x14ac:dyDescent="0.3">
      <c r="A285" s="130"/>
      <c r="B285" s="131"/>
      <c r="C285" s="132"/>
      <c r="D285" s="36" t="s">
        <v>126</v>
      </c>
      <c r="E285" s="37"/>
      <c r="F285" s="37">
        <f t="shared" si="422"/>
        <v>21134.6</v>
      </c>
      <c r="G285" s="37"/>
      <c r="H285" s="37"/>
      <c r="I285" s="37"/>
      <c r="J285" s="37"/>
      <c r="K285" s="37"/>
      <c r="L285" s="37"/>
      <c r="M285" s="37"/>
      <c r="N285" s="37"/>
      <c r="O285" s="37">
        <f>O50+O252+O76</f>
        <v>4230.7</v>
      </c>
      <c r="P285" s="37"/>
      <c r="Q285" s="37"/>
      <c r="R285" s="37">
        <f>R50+R252+R76</f>
        <v>835.4</v>
      </c>
      <c r="S285" s="37"/>
      <c r="T285" s="37"/>
      <c r="U285" s="37">
        <f>U50+U252+U76</f>
        <v>3742.8</v>
      </c>
      <c r="V285" s="37"/>
      <c r="W285" s="37"/>
      <c r="X285" s="37">
        <f>X50+X252+X76</f>
        <v>233.2</v>
      </c>
      <c r="Y285" s="37"/>
      <c r="Z285" s="37"/>
      <c r="AA285" s="37">
        <f>AA50+AA252+AA76</f>
        <v>372.8</v>
      </c>
      <c r="AB285" s="37"/>
      <c r="AC285" s="37"/>
      <c r="AD285" s="37">
        <f>AD50+AD252+AD76</f>
        <v>352.7</v>
      </c>
      <c r="AE285" s="37"/>
      <c r="AF285" s="37"/>
      <c r="AG285" s="37">
        <f>AG50+AG252+AG76</f>
        <v>11367</v>
      </c>
      <c r="AH285" s="37"/>
      <c r="AI285" s="37"/>
      <c r="AJ285" s="37">
        <f>AJ87</f>
        <v>0</v>
      </c>
      <c r="AK285" s="37"/>
      <c r="AL285" s="37"/>
      <c r="AM285" s="37"/>
      <c r="AN285" s="37"/>
      <c r="AO285" s="37"/>
      <c r="AP285" s="42"/>
      <c r="AQ285" s="25"/>
      <c r="AR285" s="33"/>
      <c r="AS285" s="33"/>
    </row>
    <row r="286" spans="1:45" ht="14.25" customHeight="1" x14ac:dyDescent="0.3">
      <c r="A286" s="124" t="s">
        <v>115</v>
      </c>
      <c r="B286" s="125"/>
      <c r="C286" s="126"/>
      <c r="D286" s="36" t="s">
        <v>3</v>
      </c>
      <c r="E286" s="37">
        <f>H286+K286+N286+Q286+T286+W286+Z286+AC286+AF286+AI286+AL286+AO286</f>
        <v>175458.8</v>
      </c>
      <c r="F286" s="37">
        <f t="shared" si="422"/>
        <v>163030.39999999999</v>
      </c>
      <c r="G286" s="37">
        <f>F286/E286*100</f>
        <v>92.916627721151627</v>
      </c>
      <c r="H286" s="37">
        <f>H287+H288+H289+H290</f>
        <v>0</v>
      </c>
      <c r="I286" s="37">
        <f>I287+I288+I289+I290</f>
        <v>0</v>
      </c>
      <c r="J286" s="37"/>
      <c r="K286" s="37">
        <f>K287+K288+K289+K290</f>
        <v>0</v>
      </c>
      <c r="L286" s="37">
        <f>L287+L288+L289+L290</f>
        <v>0</v>
      </c>
      <c r="M286" s="37"/>
      <c r="N286" s="37">
        <f>N287+N288+N289+N290</f>
        <v>0</v>
      </c>
      <c r="O286" s="37">
        <f>O287+O288+O289+O290</f>
        <v>0</v>
      </c>
      <c r="P286" s="37"/>
      <c r="Q286" s="37">
        <f>Q287+Q288+Q289+Q290</f>
        <v>22013.7</v>
      </c>
      <c r="R286" s="37">
        <f>R287+R288+R289+R290</f>
        <v>22013.7</v>
      </c>
      <c r="S286" s="37">
        <f>R286/Q286*100</f>
        <v>100</v>
      </c>
      <c r="T286" s="37">
        <f>T287+T288+T289+T290</f>
        <v>39999.800000000003</v>
      </c>
      <c r="U286" s="37">
        <f>U287+U288+U289+U290</f>
        <v>39999.800000000003</v>
      </c>
      <c r="V286" s="37">
        <f>U286/T286*100</f>
        <v>100</v>
      </c>
      <c r="W286" s="37">
        <f>W287+W288+W289+W290</f>
        <v>54899.9</v>
      </c>
      <c r="X286" s="37">
        <f>X287+X288+X289+X290</f>
        <v>54899.9</v>
      </c>
      <c r="Y286" s="37">
        <f>X286/W286*100</f>
        <v>100</v>
      </c>
      <c r="Z286" s="37">
        <f>Z287+Z288+Z289+Z290</f>
        <v>56991.5</v>
      </c>
      <c r="AA286" s="37">
        <f>AA287+AA288+AA289+AA290</f>
        <v>11793.4</v>
      </c>
      <c r="AB286" s="37">
        <f>AA286/Z286*100</f>
        <v>20.693261275804286</v>
      </c>
      <c r="AC286" s="37">
        <f>AC287+AC288+AC289+AC290</f>
        <v>1553.4</v>
      </c>
      <c r="AD286" s="37">
        <f>AD287+AD288+AD289+AD290</f>
        <v>895.3</v>
      </c>
      <c r="AE286" s="37">
        <f>AD286/AC286*100</f>
        <v>57.634865456418169</v>
      </c>
      <c r="AF286" s="37">
        <f>AF287+AF288+AF289+AF290</f>
        <v>0</v>
      </c>
      <c r="AG286" s="37">
        <f>AG287+AG288+AG289+AG290</f>
        <v>33428.300000000003</v>
      </c>
      <c r="AH286" s="37"/>
      <c r="AI286" s="37">
        <f>AI287+AI288+AI289+AI290</f>
        <v>0.5</v>
      </c>
      <c r="AJ286" s="37">
        <f>AJ287+AJ288+AJ289+AJ290</f>
        <v>0</v>
      </c>
      <c r="AK286" s="37"/>
      <c r="AL286" s="37">
        <f>AL287+AL288+AL289+AL290</f>
        <v>0</v>
      </c>
      <c r="AM286" s="37">
        <f>AM287+AM288+AM289+AM290</f>
        <v>0</v>
      </c>
      <c r="AN286" s="37"/>
      <c r="AO286" s="37">
        <f>AO287+AO288+AO289+AO290</f>
        <v>0</v>
      </c>
      <c r="AP286" s="47">
        <f>AP287+AP288+AP289+AP290</f>
        <v>0</v>
      </c>
      <c r="AQ286" s="22" t="e">
        <f t="shared" ref="AQ286" si="434">AP286/AO286</f>
        <v>#DIV/0!</v>
      </c>
      <c r="AR286" s="33"/>
      <c r="AS286" s="33"/>
    </row>
    <row r="287" spans="1:45" ht="14.25" customHeight="1" x14ac:dyDescent="0.3">
      <c r="A287" s="127"/>
      <c r="B287" s="128"/>
      <c r="C287" s="129"/>
      <c r="D287" s="36" t="s">
        <v>21</v>
      </c>
      <c r="E287" s="37">
        <f t="shared" ref="E287:E290" si="435">H287+K287+N287+Q287+T287+W287+Z287+AC287+AF287+AI287+AL287+AO287</f>
        <v>56413.8</v>
      </c>
      <c r="F287" s="37">
        <f t="shared" si="422"/>
        <v>52763.4</v>
      </c>
      <c r="G287" s="37">
        <f t="shared" ref="G287:G289" si="436">F287/E287*100</f>
        <v>93.529242844835835</v>
      </c>
      <c r="H287" s="37">
        <f t="shared" ref="H287:I290" si="437">H46+H52</f>
        <v>0</v>
      </c>
      <c r="I287" s="37">
        <f t="shared" si="437"/>
        <v>0</v>
      </c>
      <c r="J287" s="37"/>
      <c r="K287" s="37">
        <f t="shared" ref="K287:L290" si="438">K46+K52</f>
        <v>0</v>
      </c>
      <c r="L287" s="37">
        <f t="shared" si="438"/>
        <v>0</v>
      </c>
      <c r="M287" s="37"/>
      <c r="N287" s="37">
        <f t="shared" ref="N287:O290" si="439">N46+N52</f>
        <v>0</v>
      </c>
      <c r="O287" s="37">
        <f t="shared" si="439"/>
        <v>0</v>
      </c>
      <c r="P287" s="37"/>
      <c r="Q287" s="37">
        <f t="shared" ref="Q287:R290" si="440">Q46+Q52</f>
        <v>8915.5</v>
      </c>
      <c r="R287" s="37">
        <f t="shared" si="440"/>
        <v>8915.5</v>
      </c>
      <c r="S287" s="37">
        <f t="shared" ref="S287:S289" si="441">R287/Q287*100</f>
        <v>100</v>
      </c>
      <c r="T287" s="37">
        <f t="shared" ref="T287:U290" si="442">T46+T52</f>
        <v>11340</v>
      </c>
      <c r="U287" s="37">
        <f t="shared" si="442"/>
        <v>11340</v>
      </c>
      <c r="V287" s="37">
        <f t="shared" ref="V287:V289" si="443">U287/T287*100</f>
        <v>100</v>
      </c>
      <c r="W287" s="37">
        <f t="shared" ref="W287:X290" si="444">W46+W52</f>
        <v>16490.5</v>
      </c>
      <c r="X287" s="37">
        <f t="shared" si="444"/>
        <v>16490.5</v>
      </c>
      <c r="Y287" s="37">
        <f t="shared" ref="Y287:Y289" si="445">X287/W287*100</f>
        <v>100</v>
      </c>
      <c r="Z287" s="37">
        <f>Z46+Z52</f>
        <v>19667.8</v>
      </c>
      <c r="AA287" s="37">
        <f t="shared" ref="AA287:AA289" si="446">AA46+AA52</f>
        <v>4776.3</v>
      </c>
      <c r="AB287" s="37">
        <f t="shared" ref="AB287:AB289" si="447">AA287/Z287*100</f>
        <v>24.284871719256859</v>
      </c>
      <c r="AC287" s="37">
        <f t="shared" ref="AC287:AD290" si="448">AC46+AC52</f>
        <v>0</v>
      </c>
      <c r="AD287" s="37">
        <f t="shared" si="448"/>
        <v>362.6</v>
      </c>
      <c r="AE287" s="37"/>
      <c r="AF287" s="37">
        <f t="shared" ref="AF287:AG290" si="449">AF46+AF52</f>
        <v>0</v>
      </c>
      <c r="AG287" s="37">
        <f t="shared" si="449"/>
        <v>10878.5</v>
      </c>
      <c r="AH287" s="37"/>
      <c r="AI287" s="37">
        <f t="shared" ref="AI287:AJ290" si="450">AI46+AI52</f>
        <v>0</v>
      </c>
      <c r="AJ287" s="37">
        <f t="shared" si="450"/>
        <v>0</v>
      </c>
      <c r="AK287" s="37"/>
      <c r="AL287" s="37">
        <f t="shared" ref="AL287:AM290" si="451">AL46+AL52</f>
        <v>0</v>
      </c>
      <c r="AM287" s="37">
        <f t="shared" si="451"/>
        <v>0</v>
      </c>
      <c r="AN287" s="37"/>
      <c r="AO287" s="37">
        <f t="shared" ref="AO287:AP290" si="452">AO46+AO52</f>
        <v>0</v>
      </c>
      <c r="AP287" s="47">
        <f t="shared" si="452"/>
        <v>0</v>
      </c>
      <c r="AQ287" s="22"/>
      <c r="AR287" s="33"/>
      <c r="AS287" s="33"/>
    </row>
    <row r="288" spans="1:45" ht="24" customHeight="1" x14ac:dyDescent="0.3">
      <c r="A288" s="127"/>
      <c r="B288" s="128"/>
      <c r="C288" s="129"/>
      <c r="D288" s="36" t="s">
        <v>4</v>
      </c>
      <c r="E288" s="37">
        <f t="shared" si="435"/>
        <v>92514.5</v>
      </c>
      <c r="F288" s="37">
        <f t="shared" si="422"/>
        <v>88052.9</v>
      </c>
      <c r="G288" s="37">
        <f t="shared" si="436"/>
        <v>95.177404623059076</v>
      </c>
      <c r="H288" s="37">
        <f t="shared" si="437"/>
        <v>0</v>
      </c>
      <c r="I288" s="37">
        <f t="shared" si="437"/>
        <v>0</v>
      </c>
      <c r="J288" s="37"/>
      <c r="K288" s="37">
        <f t="shared" si="438"/>
        <v>0</v>
      </c>
      <c r="L288" s="37">
        <f t="shared" si="438"/>
        <v>0</v>
      </c>
      <c r="M288" s="37"/>
      <c r="N288" s="37">
        <f t="shared" si="439"/>
        <v>0</v>
      </c>
      <c r="O288" s="37">
        <f t="shared" si="439"/>
        <v>0</v>
      </c>
      <c r="P288" s="37"/>
      <c r="Q288" s="37">
        <f t="shared" si="440"/>
        <v>10896.8</v>
      </c>
      <c r="R288" s="37">
        <f t="shared" si="440"/>
        <v>10896.8</v>
      </c>
      <c r="S288" s="37">
        <f t="shared" si="441"/>
        <v>100</v>
      </c>
      <c r="T288" s="37">
        <f t="shared" si="442"/>
        <v>24659.8</v>
      </c>
      <c r="U288" s="37">
        <f t="shared" si="442"/>
        <v>24659.8</v>
      </c>
      <c r="V288" s="37">
        <f t="shared" si="443"/>
        <v>100</v>
      </c>
      <c r="W288" s="37">
        <f t="shared" si="444"/>
        <v>32919.5</v>
      </c>
      <c r="X288" s="37">
        <f t="shared" si="444"/>
        <v>32919.5</v>
      </c>
      <c r="Y288" s="37">
        <f t="shared" si="445"/>
        <v>100</v>
      </c>
      <c r="Z288" s="37">
        <f>Z47+Z53</f>
        <v>24038.399999999998</v>
      </c>
      <c r="AA288" s="37">
        <f t="shared" si="446"/>
        <v>5837.7</v>
      </c>
      <c r="AB288" s="37">
        <f t="shared" si="447"/>
        <v>24.284894169329075</v>
      </c>
      <c r="AC288" s="37">
        <f t="shared" si="448"/>
        <v>0</v>
      </c>
      <c r="AD288" s="37">
        <f t="shared" si="448"/>
        <v>443.2</v>
      </c>
      <c r="AE288" s="37"/>
      <c r="AF288" s="37">
        <f t="shared" si="449"/>
        <v>0</v>
      </c>
      <c r="AG288" s="37">
        <f t="shared" si="449"/>
        <v>13295.9</v>
      </c>
      <c r="AH288" s="37"/>
      <c r="AI288" s="37">
        <f t="shared" si="450"/>
        <v>0</v>
      </c>
      <c r="AJ288" s="37">
        <f t="shared" si="450"/>
        <v>0</v>
      </c>
      <c r="AK288" s="37"/>
      <c r="AL288" s="37">
        <f t="shared" si="451"/>
        <v>0</v>
      </c>
      <c r="AM288" s="37">
        <f t="shared" si="451"/>
        <v>0</v>
      </c>
      <c r="AN288" s="37"/>
      <c r="AO288" s="37">
        <f t="shared" si="452"/>
        <v>0</v>
      </c>
      <c r="AP288" s="47">
        <f t="shared" si="452"/>
        <v>0</v>
      </c>
      <c r="AQ288" s="22" t="e">
        <f t="shared" ref="AQ288:AQ289" si="453">AP288/AO288</f>
        <v>#DIV/0!</v>
      </c>
      <c r="AR288" s="33"/>
      <c r="AS288" s="33"/>
    </row>
    <row r="289" spans="1:45" ht="13.5" customHeight="1" x14ac:dyDescent="0.3">
      <c r="A289" s="127"/>
      <c r="B289" s="128"/>
      <c r="C289" s="129"/>
      <c r="D289" s="36" t="s">
        <v>44</v>
      </c>
      <c r="E289" s="37">
        <f t="shared" si="435"/>
        <v>26530.5</v>
      </c>
      <c r="F289" s="37">
        <f t="shared" si="422"/>
        <v>22214.1</v>
      </c>
      <c r="G289" s="37">
        <f t="shared" si="436"/>
        <v>83.730423474868545</v>
      </c>
      <c r="H289" s="37">
        <f t="shared" si="437"/>
        <v>0</v>
      </c>
      <c r="I289" s="37">
        <f t="shared" si="437"/>
        <v>0</v>
      </c>
      <c r="J289" s="37"/>
      <c r="K289" s="37">
        <f t="shared" si="438"/>
        <v>0</v>
      </c>
      <c r="L289" s="37">
        <f t="shared" si="438"/>
        <v>0</v>
      </c>
      <c r="M289" s="37"/>
      <c r="N289" s="37">
        <f t="shared" si="439"/>
        <v>0</v>
      </c>
      <c r="O289" s="37">
        <f t="shared" si="439"/>
        <v>0</v>
      </c>
      <c r="P289" s="37"/>
      <c r="Q289" s="37">
        <f t="shared" si="440"/>
        <v>2201.4</v>
      </c>
      <c r="R289" s="37">
        <f t="shared" si="440"/>
        <v>2201.4</v>
      </c>
      <c r="S289" s="37">
        <f t="shared" si="441"/>
        <v>100</v>
      </c>
      <c r="T289" s="37">
        <f t="shared" si="442"/>
        <v>4000</v>
      </c>
      <c r="U289" s="37">
        <f t="shared" si="442"/>
        <v>4000</v>
      </c>
      <c r="V289" s="37">
        <f t="shared" si="443"/>
        <v>100</v>
      </c>
      <c r="W289" s="37">
        <f t="shared" si="444"/>
        <v>5489.9</v>
      </c>
      <c r="X289" s="37">
        <f t="shared" si="444"/>
        <v>5489.9</v>
      </c>
      <c r="Y289" s="37">
        <f t="shared" si="445"/>
        <v>100</v>
      </c>
      <c r="Z289" s="37">
        <f>Z48+Z54</f>
        <v>13285.3</v>
      </c>
      <c r="AA289" s="37">
        <f t="shared" si="446"/>
        <v>1179.4000000000001</v>
      </c>
      <c r="AB289" s="37">
        <f t="shared" si="447"/>
        <v>8.8774811257555353</v>
      </c>
      <c r="AC289" s="37">
        <f t="shared" si="448"/>
        <v>1553.4</v>
      </c>
      <c r="AD289" s="37">
        <f t="shared" si="448"/>
        <v>89.5</v>
      </c>
      <c r="AE289" s="37">
        <f t="shared" ref="AE289" si="454">AD289/AC289*100</f>
        <v>5.7615552980558773</v>
      </c>
      <c r="AF289" s="37">
        <f t="shared" si="449"/>
        <v>0</v>
      </c>
      <c r="AG289" s="37">
        <f t="shared" si="449"/>
        <v>9253.9</v>
      </c>
      <c r="AH289" s="37"/>
      <c r="AI289" s="37">
        <f t="shared" si="450"/>
        <v>0.5</v>
      </c>
      <c r="AJ289" s="37">
        <f t="shared" si="450"/>
        <v>0</v>
      </c>
      <c r="AK289" s="37"/>
      <c r="AL289" s="37">
        <f t="shared" si="451"/>
        <v>0</v>
      </c>
      <c r="AM289" s="37">
        <f t="shared" si="451"/>
        <v>0</v>
      </c>
      <c r="AN289" s="37"/>
      <c r="AO289" s="37">
        <f t="shared" si="452"/>
        <v>0</v>
      </c>
      <c r="AP289" s="47">
        <f t="shared" si="452"/>
        <v>0</v>
      </c>
      <c r="AQ289" s="22" t="e">
        <f t="shared" si="453"/>
        <v>#DIV/0!</v>
      </c>
      <c r="AR289" s="33"/>
      <c r="AS289" s="33"/>
    </row>
    <row r="290" spans="1:45" x14ac:dyDescent="0.3">
      <c r="A290" s="127"/>
      <c r="B290" s="128"/>
      <c r="C290" s="129"/>
      <c r="D290" s="36" t="s">
        <v>22</v>
      </c>
      <c r="E290" s="37">
        <f t="shared" si="435"/>
        <v>0</v>
      </c>
      <c r="F290" s="37">
        <f t="shared" si="422"/>
        <v>0</v>
      </c>
      <c r="G290" s="37"/>
      <c r="H290" s="37">
        <f t="shared" si="437"/>
        <v>0</v>
      </c>
      <c r="I290" s="37">
        <f t="shared" si="437"/>
        <v>0</v>
      </c>
      <c r="J290" s="37"/>
      <c r="K290" s="37">
        <f t="shared" si="438"/>
        <v>0</v>
      </c>
      <c r="L290" s="37">
        <f t="shared" si="438"/>
        <v>0</v>
      </c>
      <c r="M290" s="37"/>
      <c r="N290" s="37">
        <f t="shared" si="439"/>
        <v>0</v>
      </c>
      <c r="O290" s="37">
        <f t="shared" si="439"/>
        <v>0</v>
      </c>
      <c r="P290" s="37"/>
      <c r="Q290" s="37">
        <f t="shared" si="440"/>
        <v>0</v>
      </c>
      <c r="R290" s="37">
        <f t="shared" si="440"/>
        <v>0</v>
      </c>
      <c r="S290" s="37"/>
      <c r="T290" s="37">
        <f t="shared" si="442"/>
        <v>0</v>
      </c>
      <c r="U290" s="37">
        <f t="shared" si="442"/>
        <v>0</v>
      </c>
      <c r="V290" s="37"/>
      <c r="W290" s="37">
        <f t="shared" si="444"/>
        <v>0</v>
      </c>
      <c r="X290" s="37">
        <f t="shared" si="444"/>
        <v>0</v>
      </c>
      <c r="Y290" s="37"/>
      <c r="Z290" s="37">
        <f>Z49+Z55</f>
        <v>0</v>
      </c>
      <c r="AA290" s="37">
        <f>AA49+AA55</f>
        <v>0</v>
      </c>
      <c r="AB290" s="37"/>
      <c r="AC290" s="37">
        <f t="shared" si="448"/>
        <v>0</v>
      </c>
      <c r="AD290" s="37">
        <f t="shared" si="448"/>
        <v>0</v>
      </c>
      <c r="AE290" s="37"/>
      <c r="AF290" s="37">
        <f t="shared" si="449"/>
        <v>0</v>
      </c>
      <c r="AG290" s="37">
        <f t="shared" si="449"/>
        <v>0</v>
      </c>
      <c r="AH290" s="37"/>
      <c r="AI290" s="37">
        <f t="shared" si="450"/>
        <v>0</v>
      </c>
      <c r="AJ290" s="37">
        <f t="shared" si="450"/>
        <v>0</v>
      </c>
      <c r="AK290" s="37"/>
      <c r="AL290" s="37">
        <f t="shared" si="451"/>
        <v>0</v>
      </c>
      <c r="AM290" s="37">
        <f t="shared" si="451"/>
        <v>0</v>
      </c>
      <c r="AN290" s="37"/>
      <c r="AO290" s="37">
        <f t="shared" si="452"/>
        <v>0</v>
      </c>
      <c r="AP290" s="47">
        <f t="shared" si="452"/>
        <v>0</v>
      </c>
      <c r="AQ290" s="25"/>
      <c r="AR290" s="33"/>
      <c r="AS290" s="33"/>
    </row>
    <row r="291" spans="1:45" ht="14.25" customHeight="1" x14ac:dyDescent="0.3">
      <c r="A291" s="130"/>
      <c r="B291" s="131"/>
      <c r="C291" s="132"/>
      <c r="D291" s="36" t="s">
        <v>126</v>
      </c>
      <c r="E291" s="37"/>
      <c r="F291" s="37">
        <f t="shared" si="422"/>
        <v>19581</v>
      </c>
      <c r="G291" s="37"/>
      <c r="H291" s="37"/>
      <c r="I291" s="37"/>
      <c r="J291" s="37"/>
      <c r="K291" s="37"/>
      <c r="L291" s="37"/>
      <c r="M291" s="37"/>
      <c r="N291" s="37"/>
      <c r="O291" s="37">
        <f>O50</f>
        <v>3766.1</v>
      </c>
      <c r="P291" s="37"/>
      <c r="Q291" s="37"/>
      <c r="R291" s="37">
        <f>R50</f>
        <v>835.4</v>
      </c>
      <c r="S291" s="37"/>
      <c r="T291" s="37"/>
      <c r="U291" s="37">
        <f>U50</f>
        <v>3742.8</v>
      </c>
      <c r="V291" s="37"/>
      <c r="W291" s="37"/>
      <c r="X291" s="37">
        <f>X50</f>
        <v>0</v>
      </c>
      <c r="Y291" s="37"/>
      <c r="Z291" s="37"/>
      <c r="AA291" s="37"/>
      <c r="AB291" s="37"/>
      <c r="AC291" s="37"/>
      <c r="AD291" s="37"/>
      <c r="AE291" s="37"/>
      <c r="AF291" s="37"/>
      <c r="AG291" s="37">
        <f>AG50</f>
        <v>11236.7</v>
      </c>
      <c r="AH291" s="37"/>
      <c r="AI291" s="37"/>
      <c r="AJ291" s="37"/>
      <c r="AK291" s="37"/>
      <c r="AL291" s="37"/>
      <c r="AM291" s="37"/>
      <c r="AN291" s="37"/>
      <c r="AO291" s="37"/>
      <c r="AP291" s="47"/>
      <c r="AQ291" s="25"/>
      <c r="AR291" s="33"/>
      <c r="AS291" s="33"/>
    </row>
    <row r="292" spans="1:45" ht="12.6" customHeight="1" x14ac:dyDescent="0.3">
      <c r="A292" s="124" t="s">
        <v>116</v>
      </c>
      <c r="B292" s="125"/>
      <c r="C292" s="126"/>
      <c r="D292" s="36" t="s">
        <v>3</v>
      </c>
      <c r="E292" s="37">
        <f>H292+K292+N292+Q292+T292+W292+Z292+AC292+AF292+AI292+AL292+AO292</f>
        <v>1845229.4000000001</v>
      </c>
      <c r="F292" s="37">
        <f t="shared" si="422"/>
        <v>1207388.3197499998</v>
      </c>
      <c r="G292" s="37">
        <f>F292/E292*100</f>
        <v>65.432965665407224</v>
      </c>
      <c r="H292" s="37">
        <f>H293+H294+H295+H296</f>
        <v>36669.799999999996</v>
      </c>
      <c r="I292" s="37">
        <f>I293+I294+I295+I296</f>
        <v>35625.9</v>
      </c>
      <c r="J292" s="37">
        <f>I292/H292*100</f>
        <v>97.153243268302546</v>
      </c>
      <c r="K292" s="37">
        <f>K293+K294+K295+K296</f>
        <v>139686.40000000002</v>
      </c>
      <c r="L292" s="37">
        <f>L293+L294+L295+L296</f>
        <v>140487.5</v>
      </c>
      <c r="M292" s="37">
        <f>L292/K292*100</f>
        <v>100.57349892330248</v>
      </c>
      <c r="N292" s="37">
        <f>N293+N294+N295+N296</f>
        <v>129875.79999999999</v>
      </c>
      <c r="O292" s="37">
        <f>O293+O294+O295+O296</f>
        <v>127692.79999999999</v>
      </c>
      <c r="P292" s="37">
        <f>O292/N292*100</f>
        <v>98.31916338532659</v>
      </c>
      <c r="Q292" s="37">
        <f>Q293+Q294+Q295+Q296</f>
        <v>150928.5</v>
      </c>
      <c r="R292" s="37">
        <f>R293+R294+R295+R296</f>
        <v>147928</v>
      </c>
      <c r="S292" s="37">
        <f>R292/Q292*100</f>
        <v>98.011972556541664</v>
      </c>
      <c r="T292" s="37">
        <f>T293+T294+T295+T296</f>
        <v>182394.2</v>
      </c>
      <c r="U292" s="37">
        <f>U293+U294+U295+U296</f>
        <v>179724.1</v>
      </c>
      <c r="V292" s="37">
        <f>U292/T292*100</f>
        <v>98.536082835967363</v>
      </c>
      <c r="W292" s="37">
        <f>W293+W294+W295+W296</f>
        <v>264878.09999999998</v>
      </c>
      <c r="X292" s="37">
        <f>X293+X294+X295+X296</f>
        <v>256020.19999999995</v>
      </c>
      <c r="Y292" s="37">
        <f>X292/W292*100</f>
        <v>96.655857921058768</v>
      </c>
      <c r="Z292" s="37">
        <f>Z293+Z294+Z295+Z296</f>
        <v>153088.1</v>
      </c>
      <c r="AA292" s="37">
        <f>AA293+AA294+AA295+AA296</f>
        <v>150476.01975000001</v>
      </c>
      <c r="AB292" s="37">
        <f>AA292/Z292*100</f>
        <v>98.293740499751451</v>
      </c>
      <c r="AC292" s="37">
        <f>AC293+AC294+AC295+AC296</f>
        <v>82393.799999999988</v>
      </c>
      <c r="AD292" s="37">
        <f>AD293+AD294+AD295+AD296</f>
        <v>85492.800000000003</v>
      </c>
      <c r="AE292" s="37">
        <f>AD292/AC292*100</f>
        <v>103.76120533341103</v>
      </c>
      <c r="AF292" s="37">
        <f>AF293+AF294+AF295+AF296</f>
        <v>98286</v>
      </c>
      <c r="AG292" s="37">
        <f>AG293+AG294+AG295+AG296</f>
        <v>83941.000000000015</v>
      </c>
      <c r="AH292" s="37">
        <f>AG292/AF292*100</f>
        <v>85.404838939421694</v>
      </c>
      <c r="AI292" s="37">
        <f>AI293+AI294+AI295+AI296</f>
        <v>142932.29999999999</v>
      </c>
      <c r="AJ292" s="37">
        <f>AJ293+AJ294+AJ295+AJ296</f>
        <v>0</v>
      </c>
      <c r="AK292" s="37">
        <f>AJ292/AI292*100</f>
        <v>0</v>
      </c>
      <c r="AL292" s="37">
        <f>AL293+AL294+AL295+AL296</f>
        <v>138065.79999999999</v>
      </c>
      <c r="AM292" s="37">
        <f>AM293+AM294+AM295+AM296</f>
        <v>0</v>
      </c>
      <c r="AN292" s="37">
        <f>AM292/AL292*100</f>
        <v>0</v>
      </c>
      <c r="AO292" s="37">
        <f>AO293+AO294+AO295+AO296</f>
        <v>326030.60000000003</v>
      </c>
      <c r="AP292" s="42"/>
      <c r="AQ292" s="22">
        <f t="shared" ref="AQ292" si="455">AP292/AO292</f>
        <v>0</v>
      </c>
      <c r="AR292" s="33"/>
      <c r="AS292" s="33"/>
    </row>
    <row r="293" spans="1:45" x14ac:dyDescent="0.3">
      <c r="A293" s="127"/>
      <c r="B293" s="128"/>
      <c r="C293" s="129"/>
      <c r="D293" s="36" t="s">
        <v>21</v>
      </c>
      <c r="E293" s="37">
        <f t="shared" ref="E293:E296" si="456">H293+K293+N293+Q293+T293+W293+Z293+AC293+AF293+AI293+AL293+AO293</f>
        <v>49386.80000000001</v>
      </c>
      <c r="F293" s="37">
        <f t="shared" si="422"/>
        <v>30661.4</v>
      </c>
      <c r="G293" s="37">
        <f>F293/E293*100</f>
        <v>62.084200636607342</v>
      </c>
      <c r="H293" s="37">
        <f t="shared" ref="H293:I296" si="457">H281-H287</f>
        <v>2727</v>
      </c>
      <c r="I293" s="37">
        <f t="shared" si="457"/>
        <v>2727</v>
      </c>
      <c r="J293" s="37">
        <f>I293/H293*100</f>
        <v>100</v>
      </c>
      <c r="K293" s="37">
        <f t="shared" ref="K293:L296" si="458">K281-K287</f>
        <v>3598</v>
      </c>
      <c r="L293" s="37">
        <f t="shared" si="458"/>
        <v>3598</v>
      </c>
      <c r="M293" s="37">
        <f>L293/K293*100</f>
        <v>100</v>
      </c>
      <c r="N293" s="37">
        <f t="shared" ref="N293:O296" si="459">N281-N287</f>
        <v>3433.5</v>
      </c>
      <c r="O293" s="37">
        <f t="shared" si="459"/>
        <v>3433.5</v>
      </c>
      <c r="P293" s="37">
        <f>O293/N293*100</f>
        <v>100</v>
      </c>
      <c r="Q293" s="37">
        <f t="shared" ref="Q293:R296" si="460">Q281-Q287</f>
        <v>4504.7999999999993</v>
      </c>
      <c r="R293" s="37">
        <f t="shared" si="460"/>
        <v>4003.6000000000004</v>
      </c>
      <c r="S293" s="37">
        <f>R293/Q293*100</f>
        <v>88.874089859705236</v>
      </c>
      <c r="T293" s="37">
        <f t="shared" ref="T293:U296" si="461">T281-T287</f>
        <v>5803.7999999999993</v>
      </c>
      <c r="U293" s="37">
        <f t="shared" si="461"/>
        <v>5012.7999999999993</v>
      </c>
      <c r="V293" s="37">
        <f>U293/T293*100</f>
        <v>86.370998311451118</v>
      </c>
      <c r="W293" s="37">
        <f t="shared" ref="W293:X296" si="462">W281-W287</f>
        <v>9750.8000000000029</v>
      </c>
      <c r="X293" s="37">
        <f t="shared" si="462"/>
        <v>8996.2999999999993</v>
      </c>
      <c r="Y293" s="37">
        <f>X293/W293*100</f>
        <v>92.262173360134511</v>
      </c>
      <c r="Z293" s="37">
        <f t="shared" ref="Z293:AA296" si="463">Z281-Z287</f>
        <v>0</v>
      </c>
      <c r="AA293" s="37">
        <f t="shared" si="463"/>
        <v>0</v>
      </c>
      <c r="AB293" s="37"/>
      <c r="AC293" s="37">
        <f t="shared" ref="AC293:AD296" si="464">AC281-AC287</f>
        <v>728.5</v>
      </c>
      <c r="AD293" s="37">
        <f t="shared" si="464"/>
        <v>250.60000000000002</v>
      </c>
      <c r="AE293" s="37">
        <f>AD293/AC293*100</f>
        <v>34.399450926561428</v>
      </c>
      <c r="AF293" s="37">
        <f t="shared" ref="AF293:AG296" si="465">AF281-AF287</f>
        <v>2921.8</v>
      </c>
      <c r="AG293" s="37">
        <f t="shared" si="465"/>
        <v>2639.6000000000004</v>
      </c>
      <c r="AH293" s="37">
        <f>AG293/AF293*100</f>
        <v>90.341570264905201</v>
      </c>
      <c r="AI293" s="37">
        <f t="shared" ref="AI293:AJ296" si="466">AI281-AI287</f>
        <v>4857.8</v>
      </c>
      <c r="AJ293" s="37">
        <f t="shared" si="466"/>
        <v>0</v>
      </c>
      <c r="AK293" s="37">
        <f>AJ293/AI293*100</f>
        <v>0</v>
      </c>
      <c r="AL293" s="37">
        <f t="shared" ref="AL293:AM296" si="467">AL281-AL287</f>
        <v>4592.8</v>
      </c>
      <c r="AM293" s="37">
        <f t="shared" si="467"/>
        <v>0</v>
      </c>
      <c r="AN293" s="37">
        <f>AM293/AL293*100</f>
        <v>0</v>
      </c>
      <c r="AO293" s="37">
        <f t="shared" ref="AO293:AP296" si="468">AO281-AO287</f>
        <v>6468</v>
      </c>
      <c r="AP293" s="47">
        <f t="shared" si="468"/>
        <v>0</v>
      </c>
      <c r="AQ293" s="22"/>
      <c r="AR293" s="33"/>
      <c r="AS293" s="33"/>
    </row>
    <row r="294" spans="1:45" ht="25.5" customHeight="1" x14ac:dyDescent="0.3">
      <c r="A294" s="127"/>
      <c r="B294" s="128"/>
      <c r="C294" s="129"/>
      <c r="D294" s="36" t="s">
        <v>4</v>
      </c>
      <c r="E294" s="37">
        <f t="shared" si="456"/>
        <v>1465053.1</v>
      </c>
      <c r="F294" s="37">
        <f t="shared" si="422"/>
        <v>971418.21975000005</v>
      </c>
      <c r="G294" s="37">
        <f>F294/E294*100</f>
        <v>66.306007594537022</v>
      </c>
      <c r="H294" s="37">
        <f t="shared" si="457"/>
        <v>27460.6</v>
      </c>
      <c r="I294" s="37">
        <f t="shared" si="457"/>
        <v>27408.3</v>
      </c>
      <c r="J294" s="37">
        <f>I294/H294*100</f>
        <v>99.809545312192753</v>
      </c>
      <c r="K294" s="37">
        <f t="shared" si="458"/>
        <v>102827.6</v>
      </c>
      <c r="L294" s="37">
        <f t="shared" si="458"/>
        <v>102721.2</v>
      </c>
      <c r="M294" s="37">
        <f>L294/K294*100</f>
        <v>99.896525835476069</v>
      </c>
      <c r="N294" s="37">
        <f t="shared" si="459"/>
        <v>99730.2</v>
      </c>
      <c r="O294" s="37">
        <f t="shared" si="459"/>
        <v>99680.7</v>
      </c>
      <c r="P294" s="37">
        <f>O294/N294*100</f>
        <v>99.950366087704623</v>
      </c>
      <c r="Q294" s="37">
        <f t="shared" si="460"/>
        <v>111522.6</v>
      </c>
      <c r="R294" s="37">
        <f t="shared" si="460"/>
        <v>110306.1</v>
      </c>
      <c r="S294" s="37">
        <f>R294/Q294*100</f>
        <v>98.909189706839697</v>
      </c>
      <c r="T294" s="37">
        <f t="shared" si="461"/>
        <v>152395.90000000002</v>
      </c>
      <c r="U294" s="37">
        <f t="shared" si="461"/>
        <v>150931.00000000003</v>
      </c>
      <c r="V294" s="37">
        <f>U294/T294*100</f>
        <v>99.038753667257453</v>
      </c>
      <c r="W294" s="37">
        <f t="shared" si="462"/>
        <v>230284.3</v>
      </c>
      <c r="X294" s="37">
        <f t="shared" si="462"/>
        <v>224310.19999999998</v>
      </c>
      <c r="Y294" s="37">
        <f>X294/W294*100</f>
        <v>97.405771908896952</v>
      </c>
      <c r="Z294" s="37">
        <f t="shared" si="463"/>
        <v>120409.20000000001</v>
      </c>
      <c r="AA294" s="37">
        <f t="shared" si="463"/>
        <v>122676.91975000002</v>
      </c>
      <c r="AB294" s="37">
        <f>AA294/Z294*100</f>
        <v>101.88334425442574</v>
      </c>
      <c r="AC294" s="37">
        <f t="shared" si="464"/>
        <v>63457.599999999999</v>
      </c>
      <c r="AD294" s="37">
        <f t="shared" si="464"/>
        <v>67653.899999999994</v>
      </c>
      <c r="AE294" s="37">
        <f>AD294/AC294*100</f>
        <v>106.6127619071632</v>
      </c>
      <c r="AF294" s="37">
        <f t="shared" si="465"/>
        <v>73370.899999999994</v>
      </c>
      <c r="AG294" s="37">
        <f t="shared" si="465"/>
        <v>65729.900000000009</v>
      </c>
      <c r="AH294" s="37">
        <f>AG294/AF294*100</f>
        <v>89.585789461489512</v>
      </c>
      <c r="AI294" s="37">
        <f t="shared" si="466"/>
        <v>106444.59999999999</v>
      </c>
      <c r="AJ294" s="37">
        <f t="shared" si="466"/>
        <v>0</v>
      </c>
      <c r="AK294" s="37">
        <f>AJ294/AI294*100</f>
        <v>0</v>
      </c>
      <c r="AL294" s="37">
        <f t="shared" si="467"/>
        <v>106312.49999999999</v>
      </c>
      <c r="AM294" s="37">
        <f t="shared" si="467"/>
        <v>0</v>
      </c>
      <c r="AN294" s="37">
        <f>AM294/AL294*100</f>
        <v>0</v>
      </c>
      <c r="AO294" s="37">
        <f t="shared" si="468"/>
        <v>270837.10000000003</v>
      </c>
      <c r="AP294" s="47">
        <f t="shared" si="468"/>
        <v>0</v>
      </c>
      <c r="AQ294" s="22">
        <f t="shared" ref="AQ294:AQ295" si="469">AP294/AO294</f>
        <v>0</v>
      </c>
      <c r="AR294" s="33"/>
      <c r="AS294" s="33"/>
    </row>
    <row r="295" spans="1:45" ht="12.75" customHeight="1" x14ac:dyDescent="0.3">
      <c r="A295" s="127"/>
      <c r="B295" s="128"/>
      <c r="C295" s="129"/>
      <c r="D295" s="36" t="s">
        <v>44</v>
      </c>
      <c r="E295" s="37">
        <f t="shared" si="456"/>
        <v>330789.49999999994</v>
      </c>
      <c r="F295" s="37">
        <f t="shared" si="422"/>
        <v>205308.69999999998</v>
      </c>
      <c r="G295" s="37">
        <f t="shared" ref="G295" si="470">F295/E295*100</f>
        <v>62.066268729811554</v>
      </c>
      <c r="H295" s="37">
        <f t="shared" si="457"/>
        <v>6482.2</v>
      </c>
      <c r="I295" s="37">
        <f t="shared" si="457"/>
        <v>5490.6</v>
      </c>
      <c r="J295" s="37">
        <f t="shared" ref="J295" si="471">I295/H295*100</f>
        <v>84.702724383696903</v>
      </c>
      <c r="K295" s="37">
        <f t="shared" si="458"/>
        <v>33260.800000000003</v>
      </c>
      <c r="L295" s="37">
        <f t="shared" si="458"/>
        <v>34168.299999999996</v>
      </c>
      <c r="M295" s="37">
        <f t="shared" ref="M295" si="472">L295/K295*100</f>
        <v>102.72843707908406</v>
      </c>
      <c r="N295" s="37">
        <f t="shared" si="459"/>
        <v>26712.1</v>
      </c>
      <c r="O295" s="37">
        <f t="shared" si="459"/>
        <v>24578.6</v>
      </c>
      <c r="P295" s="37">
        <f t="shared" ref="P295" si="473">O295/N295*100</f>
        <v>92.012982880417496</v>
      </c>
      <c r="Q295" s="37">
        <f t="shared" si="460"/>
        <v>34901.099999999991</v>
      </c>
      <c r="R295" s="37">
        <f t="shared" si="460"/>
        <v>33618.299999999988</v>
      </c>
      <c r="S295" s="37">
        <f t="shared" ref="S295" si="474">R295/Q295*100</f>
        <v>96.324471148473819</v>
      </c>
      <c r="T295" s="37">
        <f t="shared" si="461"/>
        <v>24194.5</v>
      </c>
      <c r="U295" s="37">
        <f t="shared" si="461"/>
        <v>23780.3</v>
      </c>
      <c r="V295" s="37">
        <f t="shared" ref="V295" si="475">U295/T295*100</f>
        <v>98.288040670400292</v>
      </c>
      <c r="W295" s="37">
        <f t="shared" si="462"/>
        <v>24843</v>
      </c>
      <c r="X295" s="37">
        <f t="shared" si="462"/>
        <v>22713.699999999997</v>
      </c>
      <c r="Y295" s="37">
        <f t="shared" ref="Y295" si="476">X295/W295*100</f>
        <v>91.42897395644647</v>
      </c>
      <c r="Z295" s="37">
        <f t="shared" si="463"/>
        <v>32678.900000000005</v>
      </c>
      <c r="AA295" s="37">
        <f t="shared" si="463"/>
        <v>27799.1</v>
      </c>
      <c r="AB295" s="37">
        <f t="shared" ref="AB295" si="477">AA295/Z295*100</f>
        <v>85.067428830223761</v>
      </c>
      <c r="AC295" s="37">
        <f t="shared" si="464"/>
        <v>18207.699999999997</v>
      </c>
      <c r="AD295" s="37">
        <f t="shared" si="464"/>
        <v>17588.3</v>
      </c>
      <c r="AE295" s="37">
        <f t="shared" ref="AE295" si="478">AD295/AC295*100</f>
        <v>96.598142544088503</v>
      </c>
      <c r="AF295" s="37">
        <f t="shared" si="465"/>
        <v>21993.3</v>
      </c>
      <c r="AG295" s="37">
        <f t="shared" si="465"/>
        <v>15571.499999999998</v>
      </c>
      <c r="AH295" s="37">
        <f t="shared" ref="AH295" si="479">AG295/AF295*100</f>
        <v>70.801107610044866</v>
      </c>
      <c r="AI295" s="37">
        <f t="shared" si="466"/>
        <v>31629.899999999998</v>
      </c>
      <c r="AJ295" s="37">
        <f t="shared" si="466"/>
        <v>0</v>
      </c>
      <c r="AK295" s="37">
        <f t="shared" ref="AK295" si="480">AJ295/AI295*100</f>
        <v>0</v>
      </c>
      <c r="AL295" s="37">
        <f t="shared" si="467"/>
        <v>27160.499999999996</v>
      </c>
      <c r="AM295" s="37">
        <f t="shared" si="467"/>
        <v>0</v>
      </c>
      <c r="AN295" s="37">
        <f t="shared" ref="AN295" si="481">AM295/AL295*100</f>
        <v>0</v>
      </c>
      <c r="AO295" s="37">
        <f t="shared" si="468"/>
        <v>48725.500000000007</v>
      </c>
      <c r="AP295" s="47">
        <f t="shared" si="468"/>
        <v>0</v>
      </c>
      <c r="AQ295" s="22">
        <f t="shared" si="469"/>
        <v>0</v>
      </c>
      <c r="AR295" s="33"/>
      <c r="AS295" s="33"/>
    </row>
    <row r="296" spans="1:45" x14ac:dyDescent="0.3">
      <c r="A296" s="127"/>
      <c r="B296" s="128"/>
      <c r="C296" s="129"/>
      <c r="D296" s="36" t="s">
        <v>22</v>
      </c>
      <c r="E296" s="37">
        <f t="shared" si="456"/>
        <v>0</v>
      </c>
      <c r="F296" s="37">
        <f t="shared" si="422"/>
        <v>0</v>
      </c>
      <c r="G296" s="37"/>
      <c r="H296" s="37">
        <f t="shared" si="457"/>
        <v>0</v>
      </c>
      <c r="I296" s="37">
        <f t="shared" si="457"/>
        <v>0</v>
      </c>
      <c r="J296" s="37"/>
      <c r="K296" s="37">
        <f t="shared" si="458"/>
        <v>0</v>
      </c>
      <c r="L296" s="37">
        <f t="shared" si="458"/>
        <v>0</v>
      </c>
      <c r="M296" s="37"/>
      <c r="N296" s="37">
        <f t="shared" si="459"/>
        <v>0</v>
      </c>
      <c r="O296" s="37">
        <f t="shared" si="459"/>
        <v>0</v>
      </c>
      <c r="P296" s="37"/>
      <c r="Q296" s="37">
        <f t="shared" si="460"/>
        <v>0</v>
      </c>
      <c r="R296" s="37">
        <f t="shared" si="460"/>
        <v>0</v>
      </c>
      <c r="S296" s="37"/>
      <c r="T296" s="37">
        <f t="shared" si="461"/>
        <v>0</v>
      </c>
      <c r="U296" s="37">
        <f t="shared" si="461"/>
        <v>0</v>
      </c>
      <c r="V296" s="37"/>
      <c r="W296" s="37">
        <f t="shared" si="462"/>
        <v>0</v>
      </c>
      <c r="X296" s="37">
        <f t="shared" si="462"/>
        <v>0</v>
      </c>
      <c r="Y296" s="37"/>
      <c r="Z296" s="37">
        <f t="shared" si="463"/>
        <v>0</v>
      </c>
      <c r="AA296" s="37">
        <f t="shared" si="463"/>
        <v>0</v>
      </c>
      <c r="AB296" s="37"/>
      <c r="AC296" s="37">
        <f t="shared" si="464"/>
        <v>0</v>
      </c>
      <c r="AD296" s="37">
        <f t="shared" si="464"/>
        <v>0</v>
      </c>
      <c r="AE296" s="37"/>
      <c r="AF296" s="37">
        <f t="shared" si="465"/>
        <v>0</v>
      </c>
      <c r="AG296" s="37">
        <f t="shared" si="465"/>
        <v>0</v>
      </c>
      <c r="AH296" s="37"/>
      <c r="AI296" s="37">
        <f t="shared" si="466"/>
        <v>0</v>
      </c>
      <c r="AJ296" s="37">
        <f t="shared" si="466"/>
        <v>0</v>
      </c>
      <c r="AK296" s="37"/>
      <c r="AL296" s="37">
        <f t="shared" si="467"/>
        <v>0</v>
      </c>
      <c r="AM296" s="37">
        <f t="shared" si="467"/>
        <v>0</v>
      </c>
      <c r="AN296" s="37"/>
      <c r="AO296" s="37">
        <f t="shared" si="468"/>
        <v>0</v>
      </c>
      <c r="AP296" s="47">
        <f t="shared" si="468"/>
        <v>0</v>
      </c>
      <c r="AQ296" s="25"/>
      <c r="AR296" s="33"/>
      <c r="AS296" s="33"/>
    </row>
    <row r="297" spans="1:45" ht="11.4" customHeight="1" x14ac:dyDescent="0.3">
      <c r="A297" s="130"/>
      <c r="B297" s="131"/>
      <c r="C297" s="132"/>
      <c r="D297" s="36" t="s">
        <v>126</v>
      </c>
      <c r="E297" s="37"/>
      <c r="F297" s="37">
        <f t="shared" si="422"/>
        <v>1553.6</v>
      </c>
      <c r="G297" s="37"/>
      <c r="H297" s="37"/>
      <c r="I297" s="37"/>
      <c r="J297" s="37"/>
      <c r="K297" s="37"/>
      <c r="L297" s="37"/>
      <c r="M297" s="37"/>
      <c r="N297" s="37"/>
      <c r="O297" s="37">
        <f>O76</f>
        <v>464.6</v>
      </c>
      <c r="P297" s="37"/>
      <c r="Q297" s="37"/>
      <c r="R297" s="37">
        <f>R76</f>
        <v>0</v>
      </c>
      <c r="S297" s="37"/>
      <c r="T297" s="37"/>
      <c r="U297" s="37">
        <f>U76</f>
        <v>0</v>
      </c>
      <c r="V297" s="37"/>
      <c r="W297" s="37"/>
      <c r="X297" s="37">
        <f>X76</f>
        <v>233.2</v>
      </c>
      <c r="Y297" s="37"/>
      <c r="Z297" s="37"/>
      <c r="AA297" s="37">
        <f>AA76</f>
        <v>372.8</v>
      </c>
      <c r="AB297" s="37"/>
      <c r="AC297" s="37"/>
      <c r="AD297" s="37">
        <f>AD76</f>
        <v>352.7</v>
      </c>
      <c r="AE297" s="37"/>
      <c r="AF297" s="37"/>
      <c r="AG297" s="37">
        <f>AG76</f>
        <v>130.30000000000001</v>
      </c>
      <c r="AH297" s="37"/>
      <c r="AI297" s="37"/>
      <c r="AJ297" s="37">
        <f>AJ87</f>
        <v>0</v>
      </c>
      <c r="AK297" s="37"/>
      <c r="AL297" s="37"/>
      <c r="AM297" s="37"/>
      <c r="AN297" s="37"/>
      <c r="AO297" s="37"/>
      <c r="AP297" s="47"/>
      <c r="AQ297" s="25"/>
      <c r="AR297" s="33"/>
      <c r="AS297" s="33"/>
    </row>
    <row r="298" spans="1:45" ht="15.75" customHeight="1" x14ac:dyDescent="0.3">
      <c r="A298" s="133" t="s">
        <v>117</v>
      </c>
      <c r="B298" s="134"/>
      <c r="C298" s="135"/>
      <c r="D298" s="36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42"/>
      <c r="AQ298" s="25"/>
      <c r="AR298" s="33"/>
      <c r="AS298" s="33"/>
    </row>
    <row r="299" spans="1:45" ht="14.4" customHeight="1" x14ac:dyDescent="0.3">
      <c r="A299" s="136" t="s">
        <v>119</v>
      </c>
      <c r="B299" s="137"/>
      <c r="C299" s="138"/>
      <c r="D299" s="35" t="s">
        <v>3</v>
      </c>
      <c r="E299" s="23">
        <f>H299+K299+N299+Q299+T299+W299+Z299+AC299+AF299+AI299+AL299+AO299</f>
        <v>1841603.5000000002</v>
      </c>
      <c r="F299" s="23">
        <f t="shared" ref="F299:F315" si="482">I299+L299+O299+R299+U299+X299+AA299+AD299+AG299+AJ299+AM299+AP299</f>
        <v>1216269.22</v>
      </c>
      <c r="G299" s="23">
        <f>F299/E299*100</f>
        <v>66.044032822483217</v>
      </c>
      <c r="H299" s="23">
        <f>H300+H301+H302+H303</f>
        <v>36669.799999999996</v>
      </c>
      <c r="I299" s="23">
        <f>I300+I301+I302+I303</f>
        <v>35625.9</v>
      </c>
      <c r="J299" s="23">
        <f>I299/H299*100</f>
        <v>97.153243268302546</v>
      </c>
      <c r="K299" s="23">
        <f>K300+K301+K302+K303</f>
        <v>139686.40000000002</v>
      </c>
      <c r="L299" s="23">
        <f>L300+L301+L302+L303</f>
        <v>140487.5</v>
      </c>
      <c r="M299" s="23">
        <f>L299/K299*100</f>
        <v>100.57349892330248</v>
      </c>
      <c r="N299" s="23">
        <f>N300+N301+N302+N303</f>
        <v>129664</v>
      </c>
      <c r="O299" s="23">
        <f>O300+O301+O302+O303</f>
        <v>127573.09999999999</v>
      </c>
      <c r="P299" s="23">
        <f>O299/N299*100</f>
        <v>98.387447556762083</v>
      </c>
      <c r="Q299" s="23">
        <f>Q300+Q301+Q302+Q303</f>
        <v>150606.70000000001</v>
      </c>
      <c r="R299" s="23">
        <f>R300+R301+R302+R303</f>
        <v>147606.20000000001</v>
      </c>
      <c r="S299" s="23">
        <f>R299/Q299*100</f>
        <v>98.007724755937147</v>
      </c>
      <c r="T299" s="23">
        <f>T300+T301+T302+T303</f>
        <v>182394.2</v>
      </c>
      <c r="U299" s="23">
        <f>U300+U301+U302+U303</f>
        <v>179724.1</v>
      </c>
      <c r="V299" s="23">
        <f>U299/T299*100</f>
        <v>98.536082835967363</v>
      </c>
      <c r="W299" s="23">
        <f>W300+W301+W302+W303</f>
        <v>264421.3</v>
      </c>
      <c r="X299" s="23">
        <f>X300+X301+X302+X303</f>
        <v>255471.29999999996</v>
      </c>
      <c r="Y299" s="23">
        <f>X299/W299*100</f>
        <v>96.615249981752598</v>
      </c>
      <c r="Z299" s="23">
        <f>Z300+Z301+Z302+Z303</f>
        <v>151191.80000000002</v>
      </c>
      <c r="AA299" s="23">
        <f>AA300+AA301+AA302+AA303</f>
        <v>149106.22</v>
      </c>
      <c r="AB299" s="23">
        <f>AA299/Z299*100</f>
        <v>98.620573337972019</v>
      </c>
      <c r="AC299" s="23">
        <f>AC300+AC301+AC302+AC303</f>
        <v>82393.799999999988</v>
      </c>
      <c r="AD299" s="23">
        <f>AD300+AD301+AD302+AD303</f>
        <v>85855.4</v>
      </c>
      <c r="AE299" s="23">
        <f>AD299/AC299*100</f>
        <v>104.20128699004051</v>
      </c>
      <c r="AF299" s="23">
        <f>AF300+AF301+AF302+AF303</f>
        <v>98286</v>
      </c>
      <c r="AG299" s="23">
        <f>AG300+AG301+AG302+AG303</f>
        <v>94819.500000000015</v>
      </c>
      <c r="AH299" s="23">
        <f>AG299/AF299*100</f>
        <v>96.473048043464999</v>
      </c>
      <c r="AI299" s="23">
        <f>AI300+AI301+AI302+AI303</f>
        <v>142461.4</v>
      </c>
      <c r="AJ299" s="23">
        <f>AJ300+AJ301+AJ302+AJ303</f>
        <v>0</v>
      </c>
      <c r="AK299" s="23">
        <f>AJ299/AI299*100</f>
        <v>0</v>
      </c>
      <c r="AL299" s="23">
        <f>AL300+AL301+AL302+AL303</f>
        <v>137797.5</v>
      </c>
      <c r="AM299" s="23">
        <f>AM300+AM301+AM302+AM303</f>
        <v>0</v>
      </c>
      <c r="AN299" s="23">
        <f>AM299/AL299*100</f>
        <v>0</v>
      </c>
      <c r="AO299" s="23">
        <f>AO300+AO301+AO302+AO303</f>
        <v>326030.60000000003</v>
      </c>
      <c r="AP299" s="42"/>
      <c r="AQ299" s="22">
        <f t="shared" ref="AQ299" si="483">AP299/AO299</f>
        <v>0</v>
      </c>
      <c r="AR299" s="33"/>
      <c r="AS299" s="33"/>
    </row>
    <row r="300" spans="1:45" x14ac:dyDescent="0.3">
      <c r="A300" s="139"/>
      <c r="B300" s="140"/>
      <c r="C300" s="141"/>
      <c r="D300" s="35" t="s">
        <v>21</v>
      </c>
      <c r="E300" s="23">
        <f t="shared" ref="E300:E303" si="484">H300+K300+N300+Q300+T300+W300+Z300+AC300+AF300+AI300+AL300+AO300</f>
        <v>49386.80000000001</v>
      </c>
      <c r="F300" s="23">
        <f>I300+L300+O300+R300+U300+X300+AA300+AD300+AG300+AJ300+AM300+AP300</f>
        <v>41902.5</v>
      </c>
      <c r="G300" s="23">
        <f>F300/E300*100</f>
        <v>84.845545773364535</v>
      </c>
      <c r="H300" s="23">
        <f t="shared" ref="H300:AO303" si="485">H281-H306-H312</f>
        <v>2727</v>
      </c>
      <c r="I300" s="23">
        <f t="shared" si="485"/>
        <v>2727</v>
      </c>
      <c r="J300" s="23">
        <f t="shared" si="485"/>
        <v>100</v>
      </c>
      <c r="K300" s="23">
        <f t="shared" si="485"/>
        <v>3598</v>
      </c>
      <c r="L300" s="23">
        <f t="shared" si="485"/>
        <v>3598</v>
      </c>
      <c r="M300" s="23">
        <f t="shared" si="485"/>
        <v>100</v>
      </c>
      <c r="N300" s="23">
        <f t="shared" si="485"/>
        <v>3433.5</v>
      </c>
      <c r="O300" s="23">
        <f t="shared" si="485"/>
        <v>3433.5</v>
      </c>
      <c r="P300" s="23">
        <f t="shared" si="485"/>
        <v>100</v>
      </c>
      <c r="Q300" s="23">
        <f t="shared" si="485"/>
        <v>4504.7999999999993</v>
      </c>
      <c r="R300" s="23">
        <f t="shared" si="485"/>
        <v>4003.6000000000004</v>
      </c>
      <c r="S300" s="23">
        <f>R300/Q300*100</f>
        <v>88.874089859705236</v>
      </c>
      <c r="T300" s="23">
        <f t="shared" si="485"/>
        <v>5803.7999999999993</v>
      </c>
      <c r="U300" s="23">
        <f t="shared" si="485"/>
        <v>5012.7999999999993</v>
      </c>
      <c r="V300" s="23">
        <f>U300/T300*100</f>
        <v>86.370998311451118</v>
      </c>
      <c r="W300" s="23">
        <f t="shared" si="485"/>
        <v>9750.8000000000029</v>
      </c>
      <c r="X300" s="23">
        <f t="shared" si="485"/>
        <v>8996.2999999999993</v>
      </c>
      <c r="Y300" s="23">
        <f>X300/W300*100</f>
        <v>92.262173360134511</v>
      </c>
      <c r="Z300" s="23">
        <f t="shared" si="485"/>
        <v>0</v>
      </c>
      <c r="AA300" s="23">
        <f t="shared" si="485"/>
        <v>0</v>
      </c>
      <c r="AB300" s="23">
        <f t="shared" si="485"/>
        <v>0</v>
      </c>
      <c r="AC300" s="23">
        <f t="shared" si="485"/>
        <v>728.5</v>
      </c>
      <c r="AD300" s="23">
        <f t="shared" si="485"/>
        <v>613.20000000000005</v>
      </c>
      <c r="AE300" s="23">
        <f>AD300/AC300*100</f>
        <v>84.172958133150317</v>
      </c>
      <c r="AF300" s="23">
        <f t="shared" si="485"/>
        <v>2921.8</v>
      </c>
      <c r="AG300" s="23">
        <f t="shared" si="485"/>
        <v>13518.1</v>
      </c>
      <c r="AH300" s="23">
        <f t="shared" si="485"/>
        <v>1041.3168088269447</v>
      </c>
      <c r="AI300" s="23">
        <f t="shared" si="485"/>
        <v>4857.8</v>
      </c>
      <c r="AJ300" s="23">
        <f t="shared" si="485"/>
        <v>0</v>
      </c>
      <c r="AK300" s="23" t="e">
        <f t="shared" si="485"/>
        <v>#DIV/0!</v>
      </c>
      <c r="AL300" s="23">
        <f t="shared" si="485"/>
        <v>4592.8</v>
      </c>
      <c r="AM300" s="23">
        <f t="shared" si="485"/>
        <v>0</v>
      </c>
      <c r="AN300" s="23">
        <f t="shared" si="485"/>
        <v>0</v>
      </c>
      <c r="AO300" s="23">
        <f t="shared" si="485"/>
        <v>6468</v>
      </c>
      <c r="AP300" s="47"/>
      <c r="AQ300" s="22"/>
      <c r="AR300" s="33"/>
      <c r="AS300" s="33"/>
    </row>
    <row r="301" spans="1:45" ht="12" customHeight="1" x14ac:dyDescent="0.3">
      <c r="A301" s="139"/>
      <c r="B301" s="140"/>
      <c r="C301" s="141"/>
      <c r="D301" s="35" t="s">
        <v>4</v>
      </c>
      <c r="E301" s="23">
        <f t="shared" si="484"/>
        <v>1463515.2000000002</v>
      </c>
      <c r="F301" s="23">
        <f t="shared" si="482"/>
        <v>970141.32000000007</v>
      </c>
      <c r="G301" s="23">
        <f>F301/E301*100</f>
        <v>66.288434858756503</v>
      </c>
      <c r="H301" s="23">
        <f t="shared" si="485"/>
        <v>27460.6</v>
      </c>
      <c r="I301" s="23">
        <f t="shared" si="485"/>
        <v>27408.3</v>
      </c>
      <c r="J301" s="23">
        <f t="shared" si="485"/>
        <v>99.809545312192753</v>
      </c>
      <c r="K301" s="23">
        <f t="shared" si="485"/>
        <v>102827.6</v>
      </c>
      <c r="L301" s="23">
        <f t="shared" si="485"/>
        <v>102721.2</v>
      </c>
      <c r="M301" s="23">
        <f t="shared" si="485"/>
        <v>99.896525835476069</v>
      </c>
      <c r="N301" s="23">
        <f t="shared" si="485"/>
        <v>99730.2</v>
      </c>
      <c r="O301" s="23">
        <f t="shared" si="485"/>
        <v>99680.7</v>
      </c>
      <c r="P301" s="23">
        <f t="shared" si="485"/>
        <v>99.950366087704623</v>
      </c>
      <c r="Q301" s="23">
        <f t="shared" si="485"/>
        <v>111261.6</v>
      </c>
      <c r="R301" s="23">
        <f t="shared" si="485"/>
        <v>110045.1</v>
      </c>
      <c r="S301" s="23">
        <f>R301/Q301*100</f>
        <v>98.906630859164352</v>
      </c>
      <c r="T301" s="23">
        <f t="shared" si="485"/>
        <v>152395.90000000002</v>
      </c>
      <c r="U301" s="23">
        <f t="shared" si="485"/>
        <v>150931.00000000003</v>
      </c>
      <c r="V301" s="23">
        <f>U301/T301*100</f>
        <v>99.038753667257453</v>
      </c>
      <c r="W301" s="23">
        <f t="shared" si="485"/>
        <v>230284.19999999998</v>
      </c>
      <c r="X301" s="23">
        <f t="shared" si="485"/>
        <v>224310.09999999998</v>
      </c>
      <c r="Y301" s="23">
        <f>X301/W301*100</f>
        <v>97.405770782363703</v>
      </c>
      <c r="Z301" s="23">
        <f t="shared" si="485"/>
        <v>119393.40000000001</v>
      </c>
      <c r="AA301" s="23">
        <f t="shared" si="485"/>
        <v>121661.12000000001</v>
      </c>
      <c r="AB301" s="23">
        <f t="shared" si="485"/>
        <v>-35.315153377369398</v>
      </c>
      <c r="AC301" s="23">
        <f t="shared" si="485"/>
        <v>63457.599999999999</v>
      </c>
      <c r="AD301" s="23">
        <f t="shared" si="485"/>
        <v>67653.899999999994</v>
      </c>
      <c r="AE301" s="23">
        <f>AD301/AC301*100</f>
        <v>106.6127619071632</v>
      </c>
      <c r="AF301" s="23">
        <f t="shared" si="485"/>
        <v>73370.899999999994</v>
      </c>
      <c r="AG301" s="23">
        <f t="shared" si="485"/>
        <v>65729.900000000009</v>
      </c>
      <c r="AH301" s="23">
        <f t="shared" si="485"/>
        <v>107.70727904387162</v>
      </c>
      <c r="AI301" s="23">
        <f t="shared" si="485"/>
        <v>106295.09999999999</v>
      </c>
      <c r="AJ301" s="23">
        <f t="shared" si="485"/>
        <v>0</v>
      </c>
      <c r="AK301" s="23">
        <f t="shared" si="485"/>
        <v>0</v>
      </c>
      <c r="AL301" s="23">
        <f t="shared" si="485"/>
        <v>106200.99999999999</v>
      </c>
      <c r="AM301" s="23">
        <f t="shared" si="485"/>
        <v>0</v>
      </c>
      <c r="AN301" s="23">
        <f t="shared" si="485"/>
        <v>0</v>
      </c>
      <c r="AO301" s="23">
        <f t="shared" si="485"/>
        <v>270837.10000000003</v>
      </c>
      <c r="AP301" s="47"/>
      <c r="AQ301" s="22">
        <f t="shared" ref="AQ301:AQ302" si="486">AP301/AO301</f>
        <v>0</v>
      </c>
      <c r="AR301" s="33"/>
      <c r="AS301" s="33"/>
    </row>
    <row r="302" spans="1:45" ht="12.75" customHeight="1" x14ac:dyDescent="0.3">
      <c r="A302" s="139"/>
      <c r="B302" s="140"/>
      <c r="C302" s="141"/>
      <c r="D302" s="35" t="s">
        <v>44</v>
      </c>
      <c r="E302" s="23">
        <f t="shared" si="484"/>
        <v>328701.5</v>
      </c>
      <c r="F302" s="23">
        <f t="shared" si="482"/>
        <v>204225.39999999997</v>
      </c>
      <c r="G302" s="23">
        <f t="shared" ref="G302" si="487">F302/E302*100</f>
        <v>62.130960765314413</v>
      </c>
      <c r="H302" s="23">
        <f t="shared" si="485"/>
        <v>6482.2</v>
      </c>
      <c r="I302" s="23">
        <f t="shared" si="485"/>
        <v>5490.6</v>
      </c>
      <c r="J302" s="23">
        <f t="shared" si="485"/>
        <v>84.702724383696903</v>
      </c>
      <c r="K302" s="23">
        <f t="shared" si="485"/>
        <v>33260.800000000003</v>
      </c>
      <c r="L302" s="23">
        <f t="shared" si="485"/>
        <v>34168.299999999996</v>
      </c>
      <c r="M302" s="23">
        <f t="shared" si="485"/>
        <v>102.72843707908406</v>
      </c>
      <c r="N302" s="23">
        <f t="shared" si="485"/>
        <v>26500.3</v>
      </c>
      <c r="O302" s="23">
        <f t="shared" si="485"/>
        <v>24458.899999999998</v>
      </c>
      <c r="P302" s="23">
        <f t="shared" si="485"/>
        <v>589.47141215520583</v>
      </c>
      <c r="Q302" s="23">
        <f t="shared" si="485"/>
        <v>34840.299999999988</v>
      </c>
      <c r="R302" s="23">
        <f t="shared" si="485"/>
        <v>33557.499999999985</v>
      </c>
      <c r="S302" s="23">
        <f t="shared" ref="S302" si="488">R302/Q302*100</f>
        <v>96.318056962770115</v>
      </c>
      <c r="T302" s="23">
        <f t="shared" si="485"/>
        <v>24194.5</v>
      </c>
      <c r="U302" s="23">
        <f t="shared" si="485"/>
        <v>23780.3</v>
      </c>
      <c r="V302" s="23">
        <f t="shared" ref="V302" si="489">U302/T302*100</f>
        <v>98.288040670400292</v>
      </c>
      <c r="W302" s="23">
        <f t="shared" si="485"/>
        <v>24386.3</v>
      </c>
      <c r="X302" s="23">
        <f t="shared" si="485"/>
        <v>22164.899999999998</v>
      </c>
      <c r="Y302" s="23">
        <f t="shared" ref="Y302" si="490">X302/W302*100</f>
        <v>90.890787040264414</v>
      </c>
      <c r="Z302" s="23">
        <f t="shared" si="485"/>
        <v>31798.400000000005</v>
      </c>
      <c r="AA302" s="23">
        <f t="shared" si="485"/>
        <v>27445.1</v>
      </c>
      <c r="AB302" s="23">
        <f t="shared" si="485"/>
        <v>283.23735024970546</v>
      </c>
      <c r="AC302" s="23">
        <f t="shared" si="485"/>
        <v>18207.699999999997</v>
      </c>
      <c r="AD302" s="23">
        <f t="shared" si="485"/>
        <v>17588.3</v>
      </c>
      <c r="AE302" s="23">
        <f t="shared" ref="AE302" si="491">AD302/AC302*100</f>
        <v>96.598142544088503</v>
      </c>
      <c r="AF302" s="23">
        <f t="shared" si="485"/>
        <v>21993.3</v>
      </c>
      <c r="AG302" s="23">
        <f t="shared" si="485"/>
        <v>15571.499999999998</v>
      </c>
      <c r="AH302" s="23">
        <f t="shared" si="485"/>
        <v>933.60952978307307</v>
      </c>
      <c r="AI302" s="23">
        <f t="shared" si="485"/>
        <v>31308.499999999996</v>
      </c>
      <c r="AJ302" s="23">
        <f t="shared" si="485"/>
        <v>0</v>
      </c>
      <c r="AK302" s="23" t="e">
        <f t="shared" si="485"/>
        <v>#DIV/0!</v>
      </c>
      <c r="AL302" s="23">
        <f t="shared" si="485"/>
        <v>27003.699999999997</v>
      </c>
      <c r="AM302" s="23">
        <f t="shared" si="485"/>
        <v>0</v>
      </c>
      <c r="AN302" s="23">
        <f t="shared" si="485"/>
        <v>0</v>
      </c>
      <c r="AO302" s="23">
        <f t="shared" si="485"/>
        <v>48725.500000000007</v>
      </c>
      <c r="AP302" s="47"/>
      <c r="AQ302" s="22">
        <f t="shared" si="486"/>
        <v>0</v>
      </c>
      <c r="AR302" s="33"/>
      <c r="AS302" s="33"/>
    </row>
    <row r="303" spans="1:45" x14ac:dyDescent="0.3">
      <c r="A303" s="139"/>
      <c r="B303" s="140"/>
      <c r="C303" s="141"/>
      <c r="D303" s="35" t="s">
        <v>22</v>
      </c>
      <c r="E303" s="23">
        <f t="shared" si="484"/>
        <v>0</v>
      </c>
      <c r="F303" s="23">
        <f t="shared" si="482"/>
        <v>0</v>
      </c>
      <c r="G303" s="23"/>
      <c r="H303" s="23">
        <f t="shared" si="485"/>
        <v>0</v>
      </c>
      <c r="I303" s="23">
        <f t="shared" si="485"/>
        <v>0</v>
      </c>
      <c r="J303" s="23">
        <f t="shared" si="485"/>
        <v>0</v>
      </c>
      <c r="K303" s="23">
        <f t="shared" si="485"/>
        <v>0</v>
      </c>
      <c r="L303" s="23">
        <f t="shared" si="485"/>
        <v>0</v>
      </c>
      <c r="M303" s="23">
        <f t="shared" si="485"/>
        <v>0</v>
      </c>
      <c r="N303" s="23">
        <f t="shared" si="485"/>
        <v>0</v>
      </c>
      <c r="O303" s="23">
        <f t="shared" si="485"/>
        <v>0</v>
      </c>
      <c r="P303" s="23">
        <f t="shared" si="485"/>
        <v>0</v>
      </c>
      <c r="Q303" s="23">
        <f t="shared" si="485"/>
        <v>0</v>
      </c>
      <c r="R303" s="23">
        <f t="shared" si="485"/>
        <v>0</v>
      </c>
      <c r="S303" s="23">
        <f t="shared" si="485"/>
        <v>0</v>
      </c>
      <c r="T303" s="23">
        <f t="shared" si="485"/>
        <v>0</v>
      </c>
      <c r="U303" s="23">
        <f t="shared" si="485"/>
        <v>0</v>
      </c>
      <c r="V303" s="23">
        <f t="shared" si="485"/>
        <v>0</v>
      </c>
      <c r="W303" s="23">
        <f t="shared" si="485"/>
        <v>0</v>
      </c>
      <c r="X303" s="23">
        <f t="shared" si="485"/>
        <v>0</v>
      </c>
      <c r="Y303" s="23">
        <f t="shared" si="485"/>
        <v>0</v>
      </c>
      <c r="Z303" s="23">
        <f t="shared" si="485"/>
        <v>0</v>
      </c>
      <c r="AA303" s="23">
        <f t="shared" si="485"/>
        <v>0</v>
      </c>
      <c r="AB303" s="23">
        <f t="shared" si="485"/>
        <v>0</v>
      </c>
      <c r="AC303" s="23">
        <f t="shared" si="485"/>
        <v>0</v>
      </c>
      <c r="AD303" s="23">
        <f t="shared" si="485"/>
        <v>0</v>
      </c>
      <c r="AE303" s="23">
        <f t="shared" si="485"/>
        <v>0</v>
      </c>
      <c r="AF303" s="23">
        <f t="shared" si="485"/>
        <v>0</v>
      </c>
      <c r="AG303" s="23">
        <f t="shared" si="485"/>
        <v>0</v>
      </c>
      <c r="AH303" s="23">
        <f t="shared" si="485"/>
        <v>0</v>
      </c>
      <c r="AI303" s="23">
        <f t="shared" si="485"/>
        <v>0</v>
      </c>
      <c r="AJ303" s="23">
        <f t="shared" si="485"/>
        <v>0</v>
      </c>
      <c r="AK303" s="23">
        <f t="shared" si="485"/>
        <v>0</v>
      </c>
      <c r="AL303" s="23">
        <f t="shared" si="485"/>
        <v>0</v>
      </c>
      <c r="AM303" s="23">
        <f t="shared" si="485"/>
        <v>0</v>
      </c>
      <c r="AN303" s="23">
        <f t="shared" si="485"/>
        <v>0</v>
      </c>
      <c r="AO303" s="23">
        <f t="shared" si="485"/>
        <v>0</v>
      </c>
      <c r="AP303" s="47"/>
      <c r="AQ303" s="25"/>
      <c r="AR303" s="33"/>
      <c r="AS303" s="33"/>
    </row>
    <row r="304" spans="1:45" x14ac:dyDescent="0.3">
      <c r="A304" s="142"/>
      <c r="B304" s="143"/>
      <c r="C304" s="144"/>
      <c r="D304" s="35" t="s">
        <v>126</v>
      </c>
      <c r="E304" s="23"/>
      <c r="F304" s="23">
        <f t="shared" si="482"/>
        <v>1553.6</v>
      </c>
      <c r="G304" s="23"/>
      <c r="H304" s="23"/>
      <c r="I304" s="23"/>
      <c r="J304" s="23"/>
      <c r="K304" s="23"/>
      <c r="L304" s="23"/>
      <c r="M304" s="23"/>
      <c r="N304" s="23"/>
      <c r="O304" s="23">
        <f>O76</f>
        <v>464.6</v>
      </c>
      <c r="P304" s="23"/>
      <c r="Q304" s="23"/>
      <c r="R304" s="23">
        <f>R76</f>
        <v>0</v>
      </c>
      <c r="S304" s="23"/>
      <c r="T304" s="23"/>
      <c r="U304" s="23">
        <f>U76</f>
        <v>0</v>
      </c>
      <c r="V304" s="23"/>
      <c r="W304" s="23"/>
      <c r="X304" s="23">
        <f>X76</f>
        <v>233.2</v>
      </c>
      <c r="Y304" s="23"/>
      <c r="Z304" s="23"/>
      <c r="AA304" s="23">
        <f>AA76</f>
        <v>372.8</v>
      </c>
      <c r="AB304" s="23"/>
      <c r="AC304" s="23"/>
      <c r="AD304" s="23">
        <f>AD76</f>
        <v>352.7</v>
      </c>
      <c r="AE304" s="23"/>
      <c r="AF304" s="23"/>
      <c r="AG304" s="23">
        <f>AG76</f>
        <v>130.30000000000001</v>
      </c>
      <c r="AH304" s="23"/>
      <c r="AI304" s="23"/>
      <c r="AJ304" s="23">
        <f>AJ87</f>
        <v>0</v>
      </c>
      <c r="AK304" s="23"/>
      <c r="AL304" s="23"/>
      <c r="AM304" s="23"/>
      <c r="AN304" s="23"/>
      <c r="AO304" s="23"/>
      <c r="AP304" s="47"/>
      <c r="AQ304" s="25"/>
      <c r="AR304" s="33"/>
      <c r="AS304" s="33"/>
    </row>
    <row r="305" spans="1:60" ht="15.75" customHeight="1" x14ac:dyDescent="0.3">
      <c r="A305" s="136" t="s">
        <v>118</v>
      </c>
      <c r="B305" s="137"/>
      <c r="C305" s="138"/>
      <c r="D305" s="35" t="s">
        <v>3</v>
      </c>
      <c r="E305" s="23">
        <f>H305+K305+N305+Q305+T305+W305+Z305+AC305+AF305+AI305+AL305+AO305</f>
        <v>175458.8</v>
      </c>
      <c r="F305" s="23">
        <f t="shared" si="482"/>
        <v>151789.29999999999</v>
      </c>
      <c r="G305" s="23">
        <f>F305/E305*100</f>
        <v>86.509938515480556</v>
      </c>
      <c r="H305" s="23">
        <f>H306+H307+H308+H309</f>
        <v>0</v>
      </c>
      <c r="I305" s="23">
        <f>I306+I307+I308+I309</f>
        <v>0</v>
      </c>
      <c r="J305" s="23"/>
      <c r="K305" s="23">
        <f>K306+K307+K308+K309</f>
        <v>0</v>
      </c>
      <c r="L305" s="23">
        <f>L306+L307+L308+L309</f>
        <v>0</v>
      </c>
      <c r="M305" s="23"/>
      <c r="N305" s="23">
        <f>N306+N307+N308+N309</f>
        <v>0</v>
      </c>
      <c r="O305" s="23">
        <f>O306+O307+O308+O309</f>
        <v>0</v>
      </c>
      <c r="P305" s="23"/>
      <c r="Q305" s="23">
        <f>Q306+Q307+Q308+Q309</f>
        <v>22013.7</v>
      </c>
      <c r="R305" s="23">
        <f>R306+R307+R308+R309</f>
        <v>22013.7</v>
      </c>
      <c r="S305" s="23">
        <f>R305/Q305*100</f>
        <v>100</v>
      </c>
      <c r="T305" s="23">
        <f>T306+T307+T308+T309</f>
        <v>39999.800000000003</v>
      </c>
      <c r="U305" s="23">
        <f>U306+U307+U308+U309</f>
        <v>39999.800000000003</v>
      </c>
      <c r="V305" s="23">
        <f>U305/T305*100</f>
        <v>100</v>
      </c>
      <c r="W305" s="23">
        <f>W306+W307+W308+W309</f>
        <v>54899.9</v>
      </c>
      <c r="X305" s="23">
        <f>X306+X307+X308+X309</f>
        <v>54899.9</v>
      </c>
      <c r="Y305" s="23">
        <f>X305/W305*100</f>
        <v>100</v>
      </c>
      <c r="Z305" s="23">
        <f>Z306+Z307+Z308+Z309</f>
        <v>56991.5</v>
      </c>
      <c r="AA305" s="23">
        <f>AA306+AA307+AA308+AA309</f>
        <v>11793.4</v>
      </c>
      <c r="AB305" s="23">
        <f>AA305/Z305*100</f>
        <v>20.693261275804286</v>
      </c>
      <c r="AC305" s="23">
        <f>AC306+AC307+AC308+AC309</f>
        <v>1553.4</v>
      </c>
      <c r="AD305" s="23">
        <f>AD306+AD307+AD308+AD309</f>
        <v>532.70000000000005</v>
      </c>
      <c r="AE305" s="23">
        <f>AD305/AC305*100</f>
        <v>34.292519634350462</v>
      </c>
      <c r="AF305" s="23">
        <f>AF306+AF307+AF308+AF309</f>
        <v>0</v>
      </c>
      <c r="AG305" s="23">
        <f>AG306+AG307+AG308+AG309</f>
        <v>22549.8</v>
      </c>
      <c r="AH305" s="23"/>
      <c r="AI305" s="23">
        <f>AI306+AI307+AI308+AI309</f>
        <v>0.5</v>
      </c>
      <c r="AJ305" s="23">
        <f>AJ306+AJ307+AJ308+AJ309</f>
        <v>0</v>
      </c>
      <c r="AK305" s="23"/>
      <c r="AL305" s="23">
        <f>AL306+AL307+AL308+AL309</f>
        <v>0</v>
      </c>
      <c r="AM305" s="23">
        <f>AM306+AM307+AM308+AM309</f>
        <v>0</v>
      </c>
      <c r="AN305" s="23"/>
      <c r="AO305" s="23">
        <f>AO306+AO307+AO308+AO309</f>
        <v>0</v>
      </c>
      <c r="AP305" s="42"/>
      <c r="AQ305" s="22" t="e">
        <f t="shared" ref="AQ305" si="492">AP305/AO305</f>
        <v>#DIV/0!</v>
      </c>
      <c r="AR305" s="33"/>
      <c r="AS305" s="33"/>
    </row>
    <row r="306" spans="1:60" ht="14.25" customHeight="1" x14ac:dyDescent="0.3">
      <c r="A306" s="139"/>
      <c r="B306" s="140"/>
      <c r="C306" s="141"/>
      <c r="D306" s="35" t="s">
        <v>21</v>
      </c>
      <c r="E306" s="23">
        <f t="shared" ref="E306:E309" si="493">H306+K306+N306+Q306+T306+W306+Z306+AC306+AF306+AI306+AL306+AO306</f>
        <v>56413.8</v>
      </c>
      <c r="F306" s="23">
        <f t="shared" si="482"/>
        <v>41522.300000000003</v>
      </c>
      <c r="G306" s="23">
        <f t="shared" ref="G306:G308" si="494">F306/E306*100</f>
        <v>73.603090024072131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>
        <f t="shared" ref="Q306:R308" si="495">Q46+Q67</f>
        <v>8915.5</v>
      </c>
      <c r="R306" s="23">
        <f t="shared" si="495"/>
        <v>8915.5</v>
      </c>
      <c r="S306" s="23">
        <f t="shared" ref="S306:S308" si="496">R306/Q306*100</f>
        <v>100</v>
      </c>
      <c r="T306" s="23">
        <f t="shared" ref="T306:U308" si="497">T46+T67</f>
        <v>11340</v>
      </c>
      <c r="U306" s="23">
        <f t="shared" si="497"/>
        <v>11340</v>
      </c>
      <c r="V306" s="23">
        <f t="shared" ref="V306:V308" si="498">U306/T306*100</f>
        <v>100</v>
      </c>
      <c r="W306" s="23">
        <f t="shared" ref="W306:X308" si="499">W46+W67</f>
        <v>16490.5</v>
      </c>
      <c r="X306" s="23">
        <f t="shared" si="499"/>
        <v>16490.5</v>
      </c>
      <c r="Y306" s="23">
        <f t="shared" ref="Y306:Y308" si="500">X306/W306*100</f>
        <v>100</v>
      </c>
      <c r="Z306" s="23">
        <f t="shared" ref="Z306:AA308" si="501">Z46+Z67</f>
        <v>19667.8</v>
      </c>
      <c r="AA306" s="23">
        <f t="shared" si="501"/>
        <v>4776.3</v>
      </c>
      <c r="AB306" s="23">
        <f t="shared" ref="AB306:AB308" si="502">AA306/Z306*100</f>
        <v>24.284871719256859</v>
      </c>
      <c r="AC306" s="23">
        <f>AC46+AC67</f>
        <v>0</v>
      </c>
      <c r="AD306" s="23"/>
      <c r="AE306" s="23"/>
      <c r="AF306" s="23">
        <f>AF46+AF67</f>
        <v>0</v>
      </c>
      <c r="AG306" s="23"/>
      <c r="AH306" s="23"/>
      <c r="AI306" s="23">
        <f>AI46+AI67</f>
        <v>0</v>
      </c>
      <c r="AJ306" s="23"/>
      <c r="AK306" s="23"/>
      <c r="AL306" s="23"/>
      <c r="AM306" s="23"/>
      <c r="AN306" s="23"/>
      <c r="AO306" s="23"/>
      <c r="AP306" s="42"/>
      <c r="AQ306" s="22"/>
      <c r="AR306" s="33"/>
      <c r="AS306" s="33"/>
    </row>
    <row r="307" spans="1:60" ht="23.25" customHeight="1" x14ac:dyDescent="0.3">
      <c r="A307" s="139"/>
      <c r="B307" s="140"/>
      <c r="C307" s="141"/>
      <c r="D307" s="35" t="s">
        <v>4</v>
      </c>
      <c r="E307" s="23">
        <f t="shared" si="493"/>
        <v>92514.5</v>
      </c>
      <c r="F307" s="23">
        <f t="shared" si="482"/>
        <v>88052.9</v>
      </c>
      <c r="G307" s="23">
        <f t="shared" si="494"/>
        <v>95.177404623059076</v>
      </c>
      <c r="H307" s="23">
        <f t="shared" ref="H307:O308" si="503">H47+H68</f>
        <v>0</v>
      </c>
      <c r="I307" s="23">
        <f t="shared" si="503"/>
        <v>0</v>
      </c>
      <c r="J307" s="23">
        <f t="shared" si="503"/>
        <v>0</v>
      </c>
      <c r="K307" s="23">
        <f t="shared" si="503"/>
        <v>0</v>
      </c>
      <c r="L307" s="23">
        <f t="shared" si="503"/>
        <v>0</v>
      </c>
      <c r="M307" s="23">
        <f t="shared" si="503"/>
        <v>0</v>
      </c>
      <c r="N307" s="23">
        <f t="shared" si="503"/>
        <v>0</v>
      </c>
      <c r="O307" s="23">
        <f t="shared" si="503"/>
        <v>0</v>
      </c>
      <c r="P307" s="23"/>
      <c r="Q307" s="23">
        <f t="shared" si="495"/>
        <v>10896.8</v>
      </c>
      <c r="R307" s="23">
        <f t="shared" si="495"/>
        <v>10896.8</v>
      </c>
      <c r="S307" s="23">
        <f t="shared" si="496"/>
        <v>100</v>
      </c>
      <c r="T307" s="23">
        <f t="shared" si="497"/>
        <v>24659.8</v>
      </c>
      <c r="U307" s="23">
        <f t="shared" si="497"/>
        <v>24659.8</v>
      </c>
      <c r="V307" s="23">
        <f t="shared" si="498"/>
        <v>100</v>
      </c>
      <c r="W307" s="23">
        <f t="shared" si="499"/>
        <v>32919.5</v>
      </c>
      <c r="X307" s="23">
        <f t="shared" si="499"/>
        <v>32919.5</v>
      </c>
      <c r="Y307" s="23">
        <f t="shared" si="500"/>
        <v>100</v>
      </c>
      <c r="Z307" s="23">
        <f t="shared" si="501"/>
        <v>24038.399999999998</v>
      </c>
      <c r="AA307" s="23">
        <f t="shared" si="501"/>
        <v>5837.7</v>
      </c>
      <c r="AB307" s="23">
        <f t="shared" si="502"/>
        <v>24.284894169329075</v>
      </c>
      <c r="AC307" s="23">
        <f>AC47+AC68</f>
        <v>0</v>
      </c>
      <c r="AD307" s="23">
        <f>AD47+AD68</f>
        <v>443.2</v>
      </c>
      <c r="AE307" s="23"/>
      <c r="AF307" s="23">
        <f>AF47+AF68</f>
        <v>0</v>
      </c>
      <c r="AG307" s="23">
        <f>AG47+AG68</f>
        <v>13295.9</v>
      </c>
      <c r="AH307" s="23"/>
      <c r="AI307" s="23">
        <f>AI47+AI68</f>
        <v>0</v>
      </c>
      <c r="AJ307" s="23">
        <f>AJ47+AJ68</f>
        <v>0</v>
      </c>
      <c r="AK307" s="23"/>
      <c r="AL307" s="23">
        <f>AL47+AL68</f>
        <v>0</v>
      </c>
      <c r="AM307" s="23">
        <f>AM47+AM68</f>
        <v>0</v>
      </c>
      <c r="AN307" s="23"/>
      <c r="AO307" s="23">
        <f>AO47+AO68</f>
        <v>0</v>
      </c>
      <c r="AP307" s="42"/>
      <c r="AQ307" s="22" t="e">
        <f t="shared" ref="AQ307:AQ308" si="504">AP307/AO307</f>
        <v>#DIV/0!</v>
      </c>
      <c r="AR307" s="33"/>
      <c r="AS307" s="33"/>
    </row>
    <row r="308" spans="1:60" ht="14.25" customHeight="1" x14ac:dyDescent="0.3">
      <c r="A308" s="139"/>
      <c r="B308" s="140"/>
      <c r="C308" s="141"/>
      <c r="D308" s="35" t="s">
        <v>44</v>
      </c>
      <c r="E308" s="23">
        <f t="shared" si="493"/>
        <v>26530.5</v>
      </c>
      <c r="F308" s="23">
        <f t="shared" si="482"/>
        <v>22214.1</v>
      </c>
      <c r="G308" s="23">
        <f t="shared" si="494"/>
        <v>83.730423474868545</v>
      </c>
      <c r="H308" s="23">
        <f t="shared" si="503"/>
        <v>0</v>
      </c>
      <c r="I308" s="23">
        <f t="shared" si="503"/>
        <v>0</v>
      </c>
      <c r="J308" s="23">
        <f t="shared" si="503"/>
        <v>0</v>
      </c>
      <c r="K308" s="23">
        <f t="shared" si="503"/>
        <v>0</v>
      </c>
      <c r="L308" s="23">
        <f t="shared" si="503"/>
        <v>0</v>
      </c>
      <c r="M308" s="23">
        <f t="shared" si="503"/>
        <v>0</v>
      </c>
      <c r="N308" s="23">
        <f t="shared" si="503"/>
        <v>0</v>
      </c>
      <c r="O308" s="23">
        <f t="shared" si="503"/>
        <v>0</v>
      </c>
      <c r="P308" s="23"/>
      <c r="Q308" s="23">
        <f t="shared" si="495"/>
        <v>2201.4</v>
      </c>
      <c r="R308" s="23">
        <f t="shared" si="495"/>
        <v>2201.4</v>
      </c>
      <c r="S308" s="23">
        <f t="shared" si="496"/>
        <v>100</v>
      </c>
      <c r="T308" s="23">
        <f t="shared" si="497"/>
        <v>4000</v>
      </c>
      <c r="U308" s="23">
        <f t="shared" si="497"/>
        <v>4000</v>
      </c>
      <c r="V308" s="23">
        <f t="shared" si="498"/>
        <v>100</v>
      </c>
      <c r="W308" s="23">
        <f t="shared" si="499"/>
        <v>5489.9</v>
      </c>
      <c r="X308" s="23">
        <f t="shared" si="499"/>
        <v>5489.9</v>
      </c>
      <c r="Y308" s="23">
        <f t="shared" si="500"/>
        <v>100</v>
      </c>
      <c r="Z308" s="23">
        <f t="shared" si="501"/>
        <v>13285.3</v>
      </c>
      <c r="AA308" s="23">
        <f t="shared" si="501"/>
        <v>1179.4000000000001</v>
      </c>
      <c r="AB308" s="23">
        <f t="shared" si="502"/>
        <v>8.8774811257555353</v>
      </c>
      <c r="AC308" s="23">
        <f>AC48+AC69</f>
        <v>1553.4</v>
      </c>
      <c r="AD308" s="23">
        <f>AD48+AD69</f>
        <v>89.5</v>
      </c>
      <c r="AE308" s="23">
        <f t="shared" ref="AE308" si="505">AD308/AC308*100</f>
        <v>5.7615552980558773</v>
      </c>
      <c r="AF308" s="23">
        <f>AF48+AF69</f>
        <v>0</v>
      </c>
      <c r="AG308" s="23">
        <f>AG48+AG69</f>
        <v>9253.9</v>
      </c>
      <c r="AH308" s="23"/>
      <c r="AI308" s="23">
        <f>AI48+AI69</f>
        <v>0.5</v>
      </c>
      <c r="AJ308" s="23">
        <f>AJ48+AJ69</f>
        <v>0</v>
      </c>
      <c r="AK308" s="23"/>
      <c r="AL308" s="23">
        <f>AL48+AL69</f>
        <v>0</v>
      </c>
      <c r="AM308" s="23">
        <f>AM48+AM69</f>
        <v>0</v>
      </c>
      <c r="AN308" s="23"/>
      <c r="AO308" s="23">
        <f>AO48+AO69</f>
        <v>0</v>
      </c>
      <c r="AP308" s="42">
        <f>AP48+AP69</f>
        <v>0</v>
      </c>
      <c r="AQ308" s="22" t="e">
        <f t="shared" si="504"/>
        <v>#DIV/0!</v>
      </c>
      <c r="AR308" s="33"/>
      <c r="AS308" s="33"/>
    </row>
    <row r="309" spans="1:60" ht="14.25" customHeight="1" x14ac:dyDescent="0.3">
      <c r="A309" s="139"/>
      <c r="B309" s="140"/>
      <c r="C309" s="141"/>
      <c r="D309" s="35" t="s">
        <v>22</v>
      </c>
      <c r="E309" s="23">
        <f t="shared" si="493"/>
        <v>0</v>
      </c>
      <c r="F309" s="23">
        <f t="shared" si="482"/>
        <v>0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42"/>
      <c r="AQ309" s="25"/>
      <c r="AR309" s="33"/>
      <c r="AS309" s="33"/>
    </row>
    <row r="310" spans="1:60" ht="14.25" customHeight="1" x14ac:dyDescent="0.3">
      <c r="A310" s="142"/>
      <c r="B310" s="143"/>
      <c r="C310" s="144"/>
      <c r="D310" s="35" t="s">
        <v>126</v>
      </c>
      <c r="E310" s="23"/>
      <c r="F310" s="23">
        <f t="shared" si="482"/>
        <v>19581</v>
      </c>
      <c r="G310" s="23"/>
      <c r="H310" s="23"/>
      <c r="I310" s="23"/>
      <c r="J310" s="23"/>
      <c r="K310" s="23"/>
      <c r="L310" s="23"/>
      <c r="M310" s="23"/>
      <c r="N310" s="23"/>
      <c r="O310" s="23">
        <f>O50</f>
        <v>3766.1</v>
      </c>
      <c r="P310" s="23"/>
      <c r="Q310" s="23"/>
      <c r="R310" s="23">
        <f>R50</f>
        <v>835.4</v>
      </c>
      <c r="S310" s="23"/>
      <c r="T310" s="23"/>
      <c r="U310" s="23">
        <f>U50</f>
        <v>3742.8</v>
      </c>
      <c r="V310" s="23"/>
      <c r="W310" s="23"/>
      <c r="X310" s="23">
        <f>X50</f>
        <v>0</v>
      </c>
      <c r="Y310" s="23"/>
      <c r="Z310" s="23"/>
      <c r="AA310" s="23">
        <f>AA50</f>
        <v>0</v>
      </c>
      <c r="AB310" s="23"/>
      <c r="AC310" s="23"/>
      <c r="AD310" s="23">
        <f>AD50</f>
        <v>0</v>
      </c>
      <c r="AE310" s="23"/>
      <c r="AF310" s="23"/>
      <c r="AG310" s="23">
        <f>AG50</f>
        <v>11236.7</v>
      </c>
      <c r="AH310" s="23"/>
      <c r="AI310" s="23"/>
      <c r="AJ310" s="23"/>
      <c r="AK310" s="23"/>
      <c r="AL310" s="23"/>
      <c r="AM310" s="23"/>
      <c r="AN310" s="23"/>
      <c r="AO310" s="23"/>
      <c r="AP310" s="42"/>
      <c r="AQ310" s="25"/>
      <c r="AR310" s="33"/>
      <c r="AS310" s="33"/>
    </row>
    <row r="311" spans="1:60" ht="14.25" customHeight="1" x14ac:dyDescent="0.3">
      <c r="A311" s="122" t="s">
        <v>123</v>
      </c>
      <c r="B311" s="122"/>
      <c r="C311" s="122"/>
      <c r="D311" s="35" t="s">
        <v>3</v>
      </c>
      <c r="E311" s="23">
        <f>H311+K311+N311+Q311+T311+W311+Z311+AC311+AF311+AI311+AL311+AO311</f>
        <v>3625.9000000000005</v>
      </c>
      <c r="F311" s="23">
        <f t="shared" si="482"/>
        <v>2360.1997500000002</v>
      </c>
      <c r="G311" s="23">
        <f>F311/E311*100</f>
        <v>65.092797650238552</v>
      </c>
      <c r="H311" s="23">
        <f>H312+H313+H314+H315</f>
        <v>0</v>
      </c>
      <c r="I311" s="23">
        <f>I312+I313+I314+I315</f>
        <v>0</v>
      </c>
      <c r="J311" s="23"/>
      <c r="K311" s="23">
        <f>K312+K313+K314+K315</f>
        <v>0</v>
      </c>
      <c r="L311" s="23">
        <f>L312+L313+L314+L315</f>
        <v>0</v>
      </c>
      <c r="M311" s="23"/>
      <c r="N311" s="23">
        <f>N312+N313+N314+N315</f>
        <v>211.8</v>
      </c>
      <c r="O311" s="23">
        <f>O312+O313+O314+O315</f>
        <v>119.7</v>
      </c>
      <c r="P311" s="23">
        <f>O311/N311*100</f>
        <v>56.515580736543903</v>
      </c>
      <c r="Q311" s="23">
        <f>Q312+Q313+Q314+Q315</f>
        <v>321.8</v>
      </c>
      <c r="R311" s="23">
        <f>R312+R313+R314+R315</f>
        <v>321.8</v>
      </c>
      <c r="S311" s="23">
        <f>R311/Q311*100</f>
        <v>100</v>
      </c>
      <c r="T311" s="23">
        <f>T312+T313+T314+T315</f>
        <v>0</v>
      </c>
      <c r="U311" s="23">
        <f>U312+U313+U314+U315</f>
        <v>0</v>
      </c>
      <c r="V311" s="23"/>
      <c r="W311" s="23">
        <f>W312+W313+W314+W315</f>
        <v>456.79999999999995</v>
      </c>
      <c r="X311" s="23">
        <f>X312+X313+X314+X315</f>
        <v>548.9</v>
      </c>
      <c r="Y311" s="23">
        <f>X311/W311*100</f>
        <v>120.16199649737305</v>
      </c>
      <c r="Z311" s="23">
        <f>Z312+Z313+Z314+Z315</f>
        <v>1896.3000000000002</v>
      </c>
      <c r="AA311" s="23">
        <f>AA312+AA313+AA314+AA315</f>
        <v>1369.7997500000001</v>
      </c>
      <c r="AB311" s="23">
        <f>AA311/Z311*100</f>
        <v>72.235392606655068</v>
      </c>
      <c r="AC311" s="23">
        <f>AC312+AC313+AC314+AC315</f>
        <v>0</v>
      </c>
      <c r="AD311" s="23">
        <f>AD312+AD313+AD314+AD315</f>
        <v>0</v>
      </c>
      <c r="AE311" s="23"/>
      <c r="AF311" s="23">
        <f>AF312+AF313+AF314+AF315</f>
        <v>0</v>
      </c>
      <c r="AG311" s="23">
        <f>AG312+AG313+AG314+AG315</f>
        <v>0</v>
      </c>
      <c r="AH311" s="23"/>
      <c r="AI311" s="23">
        <f>AI312+AI313+AI314+AI315</f>
        <v>470.90000000000003</v>
      </c>
      <c r="AJ311" s="23">
        <f>AJ312+AJ313+AJ314+AJ315</f>
        <v>0</v>
      </c>
      <c r="AK311" s="23"/>
      <c r="AL311" s="23">
        <f>AL312+AL313+AL314+AL315</f>
        <v>268.3</v>
      </c>
      <c r="AM311" s="23">
        <f>AM312+AM313+AM314+AM315</f>
        <v>0</v>
      </c>
      <c r="AN311" s="23">
        <f>AM311/AL311*100</f>
        <v>0</v>
      </c>
      <c r="AO311" s="23">
        <f>AO312+AO313+AO314+AO315</f>
        <v>0</v>
      </c>
      <c r="AP311" s="42"/>
      <c r="AQ311" s="22" t="e">
        <f t="shared" ref="AQ311" si="506">AP311/AO311</f>
        <v>#DIV/0!</v>
      </c>
      <c r="AR311" s="33"/>
      <c r="AS311" s="33"/>
    </row>
    <row r="312" spans="1:60" ht="14.25" customHeight="1" x14ac:dyDescent="0.3">
      <c r="A312" s="122"/>
      <c r="B312" s="122"/>
      <c r="C312" s="122"/>
      <c r="D312" s="35" t="s">
        <v>21</v>
      </c>
      <c r="E312" s="23">
        <f t="shared" ref="E312:E315" si="507">H312+K312+N312+Q312+T312+W312+Z312+AC312+AF312+AI312+AL312+AO312</f>
        <v>0</v>
      </c>
      <c r="F312" s="23">
        <f t="shared" si="482"/>
        <v>0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42"/>
      <c r="AQ312" s="22"/>
      <c r="AR312" s="33"/>
      <c r="AS312" s="33"/>
    </row>
    <row r="313" spans="1:60" ht="25.2" customHeight="1" x14ac:dyDescent="0.3">
      <c r="A313" s="122"/>
      <c r="B313" s="122"/>
      <c r="C313" s="122"/>
      <c r="D313" s="35" t="s">
        <v>4</v>
      </c>
      <c r="E313" s="23">
        <f t="shared" si="507"/>
        <v>1537.9</v>
      </c>
      <c r="F313" s="23">
        <f t="shared" si="482"/>
        <v>1276.89975</v>
      </c>
      <c r="G313" s="23">
        <f t="shared" ref="G313:G314" si="508">F313/E313*100</f>
        <v>83.0287892580792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>
        <v>261</v>
      </c>
      <c r="R313" s="23">
        <v>261</v>
      </c>
      <c r="S313" s="23">
        <f t="shared" ref="S313:S314" si="509">R313/Q313*100</f>
        <v>100</v>
      </c>
      <c r="T313" s="23"/>
      <c r="U313" s="23"/>
      <c r="V313" s="23"/>
      <c r="W313" s="23">
        <f>146.1-146</f>
        <v>9.9999999999994316E-2</v>
      </c>
      <c r="X313" s="23">
        <v>0.1</v>
      </c>
      <c r="Y313" s="23">
        <f t="shared" ref="Y313:Y314" si="510">X313/W313*100</f>
        <v>100.00000000000568</v>
      </c>
      <c r="Z313" s="23">
        <f>1168.7-65.5+3.8-91.2</f>
        <v>1015.8</v>
      </c>
      <c r="AA313" s="23">
        <v>1015.79975</v>
      </c>
      <c r="AB313" s="23">
        <f t="shared" ref="AB313:AB314" si="511">AA313/Z313*100</f>
        <v>99.999975388856072</v>
      </c>
      <c r="AC313" s="23"/>
      <c r="AD313" s="23"/>
      <c r="AE313" s="23"/>
      <c r="AF313" s="23"/>
      <c r="AG313" s="23"/>
      <c r="AH313" s="23"/>
      <c r="AI313" s="23">
        <f>64.9+196.1-3.8-107.7</f>
        <v>149.5</v>
      </c>
      <c r="AJ313" s="23"/>
      <c r="AK313" s="23"/>
      <c r="AL313" s="23">
        <f>146.2-34.7</f>
        <v>111.49999999999999</v>
      </c>
      <c r="AM313" s="23"/>
      <c r="AN313" s="23"/>
      <c r="AO313" s="23"/>
      <c r="AP313" s="42"/>
      <c r="AQ313" s="22" t="e">
        <f t="shared" ref="AQ313:AQ314" si="512">AP313/AO313</f>
        <v>#DIV/0!</v>
      </c>
      <c r="AR313" s="79" t="s">
        <v>158</v>
      </c>
      <c r="AS313" s="59"/>
    </row>
    <row r="314" spans="1:60" ht="63" customHeight="1" x14ac:dyDescent="0.3">
      <c r="A314" s="122"/>
      <c r="B314" s="122"/>
      <c r="C314" s="122"/>
      <c r="D314" s="35" t="s">
        <v>44</v>
      </c>
      <c r="E314" s="23">
        <f t="shared" si="507"/>
        <v>2088.0000000000005</v>
      </c>
      <c r="F314" s="23">
        <f t="shared" si="482"/>
        <v>1083.3</v>
      </c>
      <c r="G314" s="23">
        <f t="shared" si="508"/>
        <v>51.882183908045967</v>
      </c>
      <c r="H314" s="23"/>
      <c r="I314" s="23"/>
      <c r="J314" s="23"/>
      <c r="K314" s="23"/>
      <c r="L314" s="23"/>
      <c r="M314" s="23"/>
      <c r="N314" s="23">
        <f>197.9+13.9</f>
        <v>211.8</v>
      </c>
      <c r="O314" s="23">
        <v>119.7</v>
      </c>
      <c r="P314" s="23">
        <f t="shared" ref="P314" si="513">O314/N314*100</f>
        <v>56.515580736543903</v>
      </c>
      <c r="Q314" s="23">
        <v>60.8</v>
      </c>
      <c r="R314" s="23">
        <v>60.8</v>
      </c>
      <c r="S314" s="23">
        <f t="shared" si="509"/>
        <v>100</v>
      </c>
      <c r="T314" s="23"/>
      <c r="U314" s="23"/>
      <c r="V314" s="23"/>
      <c r="W314" s="23">
        <f>548.8-92.1</f>
        <v>456.69999999999993</v>
      </c>
      <c r="X314" s="23">
        <v>548.79999999999995</v>
      </c>
      <c r="Y314" s="23">
        <f t="shared" si="510"/>
        <v>120.16641121086053</v>
      </c>
      <c r="Z314" s="23">
        <f>716.7+163.1+0.7</f>
        <v>880.50000000000011</v>
      </c>
      <c r="AA314" s="23">
        <v>354</v>
      </c>
      <c r="AB314" s="23">
        <f t="shared" si="511"/>
        <v>40.20442930153321</v>
      </c>
      <c r="AC314" s="23"/>
      <c r="AD314" s="23"/>
      <c r="AE314" s="23"/>
      <c r="AF314" s="23"/>
      <c r="AG314" s="23"/>
      <c r="AH314" s="23"/>
      <c r="AI314" s="23">
        <f>82.4+239.7-0.7</f>
        <v>321.40000000000003</v>
      </c>
      <c r="AJ314" s="23"/>
      <c r="AK314" s="23"/>
      <c r="AL314" s="23">
        <f>163-6.2</f>
        <v>156.80000000000001</v>
      </c>
      <c r="AM314" s="23"/>
      <c r="AN314" s="23"/>
      <c r="AO314" s="23"/>
      <c r="AP314" s="42"/>
      <c r="AQ314" s="22" t="e">
        <f t="shared" si="512"/>
        <v>#DIV/0!</v>
      </c>
      <c r="AR314" s="91" t="s">
        <v>159</v>
      </c>
      <c r="AS314" s="59" t="s">
        <v>209</v>
      </c>
    </row>
    <row r="315" spans="1:60" ht="14.25" customHeight="1" x14ac:dyDescent="0.3">
      <c r="A315" s="122"/>
      <c r="B315" s="122"/>
      <c r="C315" s="122"/>
      <c r="D315" s="35" t="s">
        <v>22</v>
      </c>
      <c r="E315" s="23">
        <f t="shared" si="507"/>
        <v>0</v>
      </c>
      <c r="F315" s="23">
        <f t="shared" si="482"/>
        <v>0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42"/>
      <c r="AQ315" s="25"/>
      <c r="AR315" s="33"/>
      <c r="AS315" s="33"/>
    </row>
    <row r="316" spans="1:60" ht="15.6" x14ac:dyDescent="0.3">
      <c r="A316" s="48"/>
    </row>
    <row r="317" spans="1:60" ht="15.6" x14ac:dyDescent="0.3">
      <c r="A317" s="48"/>
      <c r="D317" s="60"/>
      <c r="E317" s="60"/>
      <c r="F317" s="60"/>
      <c r="G317" s="60"/>
      <c r="H317" s="60"/>
      <c r="N317" s="56"/>
    </row>
    <row r="318" spans="1:60" s="8" customFormat="1" ht="68.25" customHeight="1" x14ac:dyDescent="0.3">
      <c r="A318" s="1"/>
      <c r="B318" s="2" t="s">
        <v>196</v>
      </c>
      <c r="C318" s="2"/>
      <c r="D318" s="73"/>
      <c r="E318" s="74"/>
      <c r="F318" s="74"/>
      <c r="G318" s="74"/>
      <c r="H318" s="75"/>
      <c r="I318" s="20"/>
      <c r="J318" s="20"/>
      <c r="K318" s="3" t="s">
        <v>152</v>
      </c>
      <c r="L318" s="3"/>
      <c r="M318" s="3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"/>
      <c r="AG318" s="2"/>
      <c r="AH318" s="2"/>
      <c r="AI318" s="2"/>
      <c r="AJ318" s="2"/>
      <c r="AK318" s="2"/>
      <c r="AL318" s="5"/>
      <c r="AM318" s="5"/>
      <c r="AN318" s="5"/>
      <c r="AO318" s="5" t="s">
        <v>38</v>
      </c>
      <c r="AP318" s="5"/>
      <c r="AQ318" s="5"/>
      <c r="AR318" s="11"/>
      <c r="AS318" s="11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7"/>
      <c r="BF318" s="7"/>
      <c r="BG318" s="7"/>
      <c r="BH318" s="7"/>
    </row>
    <row r="319" spans="1:60" s="8" customFormat="1" ht="83.25" customHeight="1" x14ac:dyDescent="0.3">
      <c r="A319" s="1"/>
      <c r="B319" s="78" t="s">
        <v>197</v>
      </c>
      <c r="C319" s="61"/>
      <c r="D319" s="62"/>
      <c r="E319" s="63"/>
      <c r="F319" s="63"/>
      <c r="G319" s="63"/>
      <c r="H319" s="64"/>
      <c r="I319" s="65"/>
      <c r="J319" s="65"/>
      <c r="K319" s="66" t="s">
        <v>141</v>
      </c>
      <c r="L319" s="67"/>
      <c r="M319" s="67"/>
      <c r="N319" s="68"/>
      <c r="O319" s="68"/>
      <c r="P319" s="68"/>
      <c r="Q319" s="68"/>
      <c r="R319" s="68"/>
      <c r="S319" s="68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1"/>
      <c r="AG319" s="61"/>
      <c r="AH319" s="61"/>
      <c r="AI319" s="61"/>
      <c r="AJ319" s="61"/>
      <c r="AK319" s="61"/>
      <c r="AL319" s="68"/>
      <c r="AM319" s="68"/>
      <c r="AN319" s="68"/>
      <c r="AO319" s="70" t="s">
        <v>39</v>
      </c>
      <c r="AR319" s="11"/>
      <c r="AS319" s="11"/>
      <c r="AT319" s="6"/>
      <c r="AU319" s="9"/>
      <c r="AV319" s="9"/>
      <c r="AW319" s="9"/>
      <c r="AX319" s="9"/>
      <c r="AY319" s="9"/>
      <c r="AZ319" s="9"/>
      <c r="BA319" s="9"/>
      <c r="BB319" s="10"/>
      <c r="BC319" s="10"/>
      <c r="BD319" s="10"/>
      <c r="BE319" s="7"/>
      <c r="BF319" s="7"/>
      <c r="BG319" s="7"/>
      <c r="BH319" s="7"/>
    </row>
    <row r="320" spans="1:60" ht="46.5" customHeight="1" x14ac:dyDescent="0.3"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1"/>
      <c r="AK320" s="71"/>
      <c r="AL320" s="71"/>
      <c r="AM320" s="71"/>
      <c r="AN320" s="71"/>
      <c r="AO320" s="72" t="s">
        <v>124</v>
      </c>
    </row>
    <row r="321" spans="1:60" ht="15.75" customHeight="1" x14ac:dyDescent="0.3"/>
    <row r="322" spans="1:60" s="12" customFormat="1" ht="14.25" customHeight="1" x14ac:dyDescent="0.25">
      <c r="A322" s="14" t="s">
        <v>40</v>
      </c>
      <c r="B322" s="14"/>
      <c r="C322" s="93"/>
      <c r="D322" s="13"/>
      <c r="E322" s="15"/>
      <c r="F322" s="15"/>
      <c r="G322" s="15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1"/>
      <c r="AS322" s="11"/>
      <c r="AT322" s="6"/>
      <c r="AU322" s="11"/>
      <c r="AV322" s="11"/>
      <c r="AW322" s="11"/>
      <c r="AX322" s="6"/>
      <c r="AY322" s="6"/>
      <c r="AZ322" s="6"/>
      <c r="BA322" s="10"/>
      <c r="BB322" s="10"/>
      <c r="BC322" s="10"/>
      <c r="BD322" s="10"/>
      <c r="BE322" s="7"/>
      <c r="BF322" s="7"/>
      <c r="BG322" s="7"/>
      <c r="BH322" s="16"/>
    </row>
    <row r="323" spans="1:60" s="12" customFormat="1" ht="13.8" x14ac:dyDescent="0.3">
      <c r="A323" s="145" t="s">
        <v>125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93"/>
      <c r="M323" s="93"/>
      <c r="N323" s="18"/>
      <c r="O323" s="18"/>
      <c r="P323" s="18"/>
      <c r="Q323" s="11"/>
      <c r="R323" s="11"/>
      <c r="S323" s="11"/>
      <c r="T323" s="11"/>
      <c r="U323" s="11"/>
      <c r="V323" s="11"/>
      <c r="W323" s="19"/>
      <c r="X323" s="19"/>
      <c r="Y323" s="19"/>
      <c r="Z323" s="11"/>
      <c r="AA323" s="11"/>
      <c r="AB323" s="11"/>
      <c r="AC323" s="11"/>
      <c r="AD323" s="11"/>
      <c r="AE323" s="11"/>
      <c r="AF323" s="18"/>
      <c r="AG323" s="18"/>
      <c r="AH323" s="18"/>
      <c r="AI323" s="11"/>
      <c r="AJ323" s="11"/>
      <c r="AK323" s="11"/>
      <c r="AL323" s="11"/>
      <c r="AM323" s="11"/>
      <c r="AN323" s="11"/>
      <c r="AO323" s="18"/>
      <c r="AP323" s="18"/>
      <c r="AQ323" s="18"/>
      <c r="AR323" s="11"/>
      <c r="AS323" s="11"/>
      <c r="AT323" s="6"/>
      <c r="AU323" s="11"/>
      <c r="AV323" s="11"/>
      <c r="AW323" s="11"/>
      <c r="AX323" s="6"/>
      <c r="AY323" s="6"/>
      <c r="AZ323" s="6"/>
      <c r="BA323" s="10"/>
      <c r="BB323" s="10"/>
      <c r="BC323" s="10"/>
      <c r="BD323" s="10"/>
      <c r="BE323" s="7"/>
      <c r="BF323" s="7"/>
      <c r="BG323" s="7"/>
    </row>
  </sheetData>
  <mergeCells count="183">
    <mergeCell ref="AS46:AS48"/>
    <mergeCell ref="A292:C297"/>
    <mergeCell ref="A298:C298"/>
    <mergeCell ref="A299:C304"/>
    <mergeCell ref="A305:C310"/>
    <mergeCell ref="A311:C315"/>
    <mergeCell ref="A323:K323"/>
    <mergeCell ref="A270:A274"/>
    <mergeCell ref="B270:B274"/>
    <mergeCell ref="C270:C274"/>
    <mergeCell ref="A275:C279"/>
    <mergeCell ref="A280:C285"/>
    <mergeCell ref="A286:C291"/>
    <mergeCell ref="A265:A269"/>
    <mergeCell ref="B265:B269"/>
    <mergeCell ref="C265:C269"/>
    <mergeCell ref="A247:A252"/>
    <mergeCell ref="B247:B252"/>
    <mergeCell ref="C247:C252"/>
    <mergeCell ref="A253:C258"/>
    <mergeCell ref="A260:A264"/>
    <mergeCell ref="B260:B264"/>
    <mergeCell ref="C260:C264"/>
    <mergeCell ref="A232:A236"/>
    <mergeCell ref="B232:B236"/>
    <mergeCell ref="C232:C236"/>
    <mergeCell ref="A242:A246"/>
    <mergeCell ref="B242:B246"/>
    <mergeCell ref="C242:C246"/>
    <mergeCell ref="A216:A220"/>
    <mergeCell ref="B216:B220"/>
    <mergeCell ref="C216:C220"/>
    <mergeCell ref="A237:A241"/>
    <mergeCell ref="B237:B241"/>
    <mergeCell ref="C237:C241"/>
    <mergeCell ref="AR217:AR219"/>
    <mergeCell ref="AS217:AS219"/>
    <mergeCell ref="A226:C230"/>
    <mergeCell ref="A206:A210"/>
    <mergeCell ref="B206:B210"/>
    <mergeCell ref="C206:C210"/>
    <mergeCell ref="A211:A215"/>
    <mergeCell ref="B211:B215"/>
    <mergeCell ref="C211:C215"/>
    <mergeCell ref="A221:A225"/>
    <mergeCell ref="B221:B225"/>
    <mergeCell ref="C221:C225"/>
    <mergeCell ref="AR222:AR224"/>
    <mergeCell ref="AS222:AS224"/>
    <mergeCell ref="A190:C194"/>
    <mergeCell ref="A196:A200"/>
    <mergeCell ref="B196:B200"/>
    <mergeCell ref="C196:C200"/>
    <mergeCell ref="A201:A205"/>
    <mergeCell ref="B201:B205"/>
    <mergeCell ref="C201:C205"/>
    <mergeCell ref="A180:A184"/>
    <mergeCell ref="B180:B184"/>
    <mergeCell ref="C180:C184"/>
    <mergeCell ref="A185:A189"/>
    <mergeCell ref="B185:B189"/>
    <mergeCell ref="C185:C189"/>
    <mergeCell ref="A170:A174"/>
    <mergeCell ref="B170:B174"/>
    <mergeCell ref="C170:C174"/>
    <mergeCell ref="A175:A179"/>
    <mergeCell ref="B175:B179"/>
    <mergeCell ref="C175:C179"/>
    <mergeCell ref="A154:C158"/>
    <mergeCell ref="A160:A164"/>
    <mergeCell ref="B160:B164"/>
    <mergeCell ref="C160:C164"/>
    <mergeCell ref="A165:A169"/>
    <mergeCell ref="B165:B169"/>
    <mergeCell ref="C165:C169"/>
    <mergeCell ref="A144:A148"/>
    <mergeCell ref="B144:B148"/>
    <mergeCell ref="C144:C148"/>
    <mergeCell ref="A149:A153"/>
    <mergeCell ref="B149:B153"/>
    <mergeCell ref="C149:C153"/>
    <mergeCell ref="A134:A138"/>
    <mergeCell ref="B134:B138"/>
    <mergeCell ref="C134:C138"/>
    <mergeCell ref="A139:A143"/>
    <mergeCell ref="B139:B143"/>
    <mergeCell ref="C139:C143"/>
    <mergeCell ref="A119:A123"/>
    <mergeCell ref="B119:B123"/>
    <mergeCell ref="C119:C123"/>
    <mergeCell ref="A129:A133"/>
    <mergeCell ref="B129:B133"/>
    <mergeCell ref="C129:C133"/>
    <mergeCell ref="A109:A113"/>
    <mergeCell ref="B109:B113"/>
    <mergeCell ref="C109:C113"/>
    <mergeCell ref="A114:A118"/>
    <mergeCell ref="B114:B118"/>
    <mergeCell ref="C114:C118"/>
    <mergeCell ref="A124:A128"/>
    <mergeCell ref="B124:B128"/>
    <mergeCell ref="C124:C128"/>
    <mergeCell ref="A99:A103"/>
    <mergeCell ref="B99:B103"/>
    <mergeCell ref="C99:C103"/>
    <mergeCell ref="A104:A108"/>
    <mergeCell ref="B104:B108"/>
    <mergeCell ref="C104:C108"/>
    <mergeCell ref="A82:C87"/>
    <mergeCell ref="A89:A93"/>
    <mergeCell ref="B89:B93"/>
    <mergeCell ref="C89:C93"/>
    <mergeCell ref="A94:A98"/>
    <mergeCell ref="B94:B98"/>
    <mergeCell ref="C94:C98"/>
    <mergeCell ref="A71:A76"/>
    <mergeCell ref="B71:B76"/>
    <mergeCell ref="A77:A81"/>
    <mergeCell ref="B77:B81"/>
    <mergeCell ref="C77:C81"/>
    <mergeCell ref="A61:A65"/>
    <mergeCell ref="B61:B65"/>
    <mergeCell ref="C61:C65"/>
    <mergeCell ref="A66:A70"/>
    <mergeCell ref="B66:B70"/>
    <mergeCell ref="C66:C70"/>
    <mergeCell ref="C71:C76"/>
    <mergeCell ref="A51:A55"/>
    <mergeCell ref="B51:B55"/>
    <mergeCell ref="C51:C55"/>
    <mergeCell ref="A56:A60"/>
    <mergeCell ref="B56:B60"/>
    <mergeCell ref="C56:C60"/>
    <mergeCell ref="A34:C38"/>
    <mergeCell ref="A40:A44"/>
    <mergeCell ref="B40:B44"/>
    <mergeCell ref="C40:C44"/>
    <mergeCell ref="A45:A50"/>
    <mergeCell ref="B45:B50"/>
    <mergeCell ref="C45:C50"/>
    <mergeCell ref="N6:P6"/>
    <mergeCell ref="Q6:S6"/>
    <mergeCell ref="T6:V6"/>
    <mergeCell ref="W6:Y6"/>
    <mergeCell ref="A24:A28"/>
    <mergeCell ref="B24:B28"/>
    <mergeCell ref="C24:C28"/>
    <mergeCell ref="A29:A33"/>
    <mergeCell ref="B29:B33"/>
    <mergeCell ref="C29:C33"/>
    <mergeCell ref="A9:A13"/>
    <mergeCell ref="B9:B13"/>
    <mergeCell ref="C9:C13"/>
    <mergeCell ref="A19:A23"/>
    <mergeCell ref="B19:B23"/>
    <mergeCell ref="C19:C23"/>
    <mergeCell ref="A14:A18"/>
    <mergeCell ref="B14:B18"/>
    <mergeCell ref="C14:C18"/>
    <mergeCell ref="AS11:AS12"/>
    <mergeCell ref="AS16:AS17"/>
    <mergeCell ref="AS234:AS235"/>
    <mergeCell ref="AS239:AS240"/>
    <mergeCell ref="AS267:AS268"/>
    <mergeCell ref="AR46:AR48"/>
    <mergeCell ref="A1:AS1"/>
    <mergeCell ref="A3:AS3"/>
    <mergeCell ref="A5:A7"/>
    <mergeCell ref="B5:B7"/>
    <mergeCell ref="C5:C7"/>
    <mergeCell ref="D5:D7"/>
    <mergeCell ref="E5:G6"/>
    <mergeCell ref="H5:AQ5"/>
    <mergeCell ref="AR5:AR7"/>
    <mergeCell ref="AS5:AS7"/>
    <mergeCell ref="Z6:AB6"/>
    <mergeCell ref="AC6:AE6"/>
    <mergeCell ref="AF6:AH6"/>
    <mergeCell ref="AI6:AK6"/>
    <mergeCell ref="AL6:AN6"/>
    <mergeCell ref="AO6:AQ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</vt:lpstr>
      <vt:lpstr>'9 месяцев'!Область_печати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И.Е. Невская</dc:creator>
  <cp:lastModifiedBy>И.Е. Невская</cp:lastModifiedBy>
  <cp:lastPrinted>2022-10-14T09:13:00Z</cp:lastPrinted>
  <dcterms:created xsi:type="dcterms:W3CDTF">2006-09-28T05:33:00Z</dcterms:created>
  <dcterms:modified xsi:type="dcterms:W3CDTF">2022-10-14T11:52:43Z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