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3 КВ. 2021 год" sheetId="1" r:id="rId1"/>
  </sheets>
  <definedNames/>
  <calcPr fullCalcOnLoad="1"/>
</workbook>
</file>

<file path=xl/sharedStrings.xml><?xml version="1.0" encoding="utf-8"?>
<sst xmlns="http://schemas.openxmlformats.org/spreadsheetml/2006/main" count="251" uniqueCount="108">
  <si>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</si>
  <si>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</si>
  <si>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</si>
  <si>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</si>
  <si>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</si>
  <si>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</si>
  <si>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</si>
  <si>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</si>
  <si>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</si>
  <si>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</si>
  <si>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</si>
  <si>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</si>
  <si>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</si>
  <si>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</si>
  <si>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</si>
  <si>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</si>
  <si>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</si>
  <si>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</si>
  <si>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</si>
  <si>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</si>
  <si>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</si>
  <si>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</si>
  <si>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</si>
  <si>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</si>
  <si>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</si>
  <si>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</si>
  <si>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</si>
  <si>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</si>
  <si>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</si>
  <si>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</si>
  <si>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</si>
  <si>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</si>
  <si>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>социальным вопросам администрации города Урай</t>
  </si>
  <si>
    <t xml:space="preserve">К.В. Ермакова </t>
  </si>
  <si>
    <t>Подпрограмма 1. Модернизация и развитие учреждений в сфере культуры.</t>
  </si>
  <si>
    <t xml:space="preserve">Подпрограмма 2. Поддержка творческих и социокультурных гражданских инициатив, способствующих самореализации населения. Вовлечение граждан в культурную деятельность. </t>
  </si>
  <si>
    <t>Согласовано:</t>
  </si>
  <si>
    <t>__________________И.В. Хусаинова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</si>
  <si>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</si>
  <si>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</si>
  <si>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</si>
  <si>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</si>
  <si>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</si>
  <si>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</si>
  <si>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</si>
  <si>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</si>
  <si>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</si>
  <si>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</si>
  <si>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</si>
  <si>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</si>
  <si>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</si>
  <si>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3</t>
  </si>
  <si>
    <t>3.1</t>
  </si>
  <si>
    <t>3.2</t>
  </si>
  <si>
    <t>3.3</t>
  </si>
  <si>
    <t>Тел.: 8 (34676) 23330</t>
  </si>
  <si>
    <t xml:space="preserve">Председатель Комитета по финансам администрации города Урай </t>
  </si>
  <si>
    <t>Тел.: 8 (34676) 23348</t>
  </si>
  <si>
    <r>
      <rPr>
        <b/>
        <sz val="10"/>
        <rFont val="Times New Roman"/>
        <family val="1"/>
      </rPr>
      <t>За счет остатков прошлых лет</t>
    </r>
    <r>
      <rPr>
        <sz val="10"/>
        <rFont val="Times New Roman"/>
        <family val="1"/>
      </rPr>
      <t xml:space="preserve"> 1.3. Создание комфортного и современного учреждения культуры (реконструкция нежилого здания под музейно-библиотечный центр по адресу мкр. 2 дом 39/1), модернизация учреждений культуры</t>
    </r>
  </si>
  <si>
    <t>Остатки 2018 года - бюджет городского округа город Урай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</si>
  <si>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</si>
  <si>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</si>
  <si>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</si>
  <si>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</si>
  <si>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</si>
  <si>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</si>
  <si>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исполнитель/соисполнитель</t>
  </si>
  <si>
    <t xml:space="preserve">Финансовые затраты на реализацию 
(тыс. рублей)
</t>
  </si>
  <si>
    <t>Развитие библиотечного дела (1,2)</t>
  </si>
  <si>
    <t>Развитие музейного дела (1,2)</t>
  </si>
  <si>
    <t>Создание комфортного и современного учреждения культуры (реконструкция нежилого здания под музейно-библиотечный центр по адресу мкр. 2 дом 39/1), модернизация учреждений культуры (1)</t>
  </si>
  <si>
    <t>Укрепление материально-технической базы учреждений культуры и организаций дополнительного образования в области искусств (1)</t>
  </si>
  <si>
    <t>Обеспечение комплексной безопасности  учреждений культуры и организации дополнительного образования в области искусств (1)</t>
  </si>
  <si>
    <t>Реализация основного мероприятия «Федеральный проект «Культурная среда» (1,2)</t>
  </si>
  <si>
    <t>Стимулирование культурного разнообразия в городе Урай (3)</t>
  </si>
  <si>
    <t>Реализация социокультурных проектов (3)</t>
  </si>
  <si>
    <t>Оказание муниципальных услуг (выполнение работ) учреждениями культуры (4)</t>
  </si>
  <si>
    <t>Оказание муниципальных услуг (выполнение работ) организациями дополнительного образования в области искусств (4)</t>
  </si>
  <si>
    <r>
      <rPr>
        <b/>
        <sz val="10"/>
        <rFont val="Times New Roman"/>
        <family val="1"/>
      </rPr>
      <t xml:space="preserve">За счет остатков прошлых лет  </t>
    </r>
    <r>
      <rPr>
        <sz val="10"/>
        <rFont val="Times New Roman"/>
        <family val="1"/>
      </rPr>
      <t>1.4. Укрепление материально-технической базы учреждений культуры и организаций дополнительного образования в области искусств</t>
    </r>
  </si>
  <si>
    <t>ОТЧЕТ</t>
  </si>
  <si>
    <t xml:space="preserve">о ходе исполнения комплексного плана (сетевого графика) реализации муниципальной программы </t>
  </si>
  <si>
    <t>"_______"_______________________ 2021 г.</t>
  </si>
  <si>
    <t>Остатки 2020 года - бюджет городского округа город Урай</t>
  </si>
  <si>
    <t>Денежные средства были направлены на модернизацию библиотек города Урай: обновление электронных баз данных; подключние к сети Интернет (абонентская плата).</t>
  </si>
  <si>
    <t>Финансирование в 2021 году не предусмотрено.</t>
  </si>
  <si>
    <t>Реализация мероприятия запланировано на 4 квартал 2021 года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</si>
  <si>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</si>
  <si>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>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</si>
  <si>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Причины отклонения  фактически исполненных расходных обязательств от запланированных</t>
  </si>
  <si>
    <t>Развитие кадрового потенциала специалистов (4,5)</t>
  </si>
  <si>
    <t xml:space="preserve">вспециалист-эксперт управления по культуре и </t>
  </si>
  <si>
    <t>"Культура города Урай" на 2017 - 2021 годы за 9 месяцев 2021 года</t>
  </si>
  <si>
    <t>иные источники финансирования (внебюджетные средства)</t>
  </si>
  <si>
    <t>Подпрограмма 3. Обеспечение муниципальной поддержки учреждений культуры и организаций дополнительного образования в области искусств</t>
  </si>
  <si>
    <t xml:space="preserve">Исполнение от плановых назначений за 9 месяцев составило 100%. </t>
  </si>
  <si>
    <t>Исполнение от плановых назначений за 9 месяцев составило 100%</t>
  </si>
  <si>
    <t xml:space="preserve">Исполнение от плановых назначений за 1 полугодие составило 92,4%. Остаток средств сложился в результате того, что первоначально на 2021 год заработная плата преподавателей планировалась из расчета 45 человек. Фактически на 30.09.2020  среднесписочная численность преподавателей составляет 41,9 чел.; переноса льготного отпуска, оплаты за медицинские осмотры на октябрь 2021 года; отказа руководителя в использовании санаторно-курортного (оздоровительного) лечения; а также экономии по договорам физической охраны, обслуживания питьевых фонтанчиков, заправки картриджей и др. </t>
  </si>
  <si>
    <t>Исполнение от плановых назначений за 9 месяцев составило 97,5%. Остаток средств сложился в результате позднего предоставления договора и документов для оплаты по переводу документов в машиночитаемые форматы</t>
  </si>
  <si>
    <t>3.4</t>
  </si>
  <si>
    <t>Реализация основного мероприятия  «Региональный проект «Создание условий для реализации творческого потенциала нации («Творческие люди»)» (5)</t>
  </si>
  <si>
    <t>без финансирования</t>
  </si>
  <si>
    <t xml:space="preserve">Денежные средства были направлены на укрепление материально-технической базы учреждений культуры и организаций дополнительного образования в области искусств:  произведены работы по архитектурно-художественному оформлению и устройству освещения фасада объекта АНО «Свободный театр»; приобретен комбинированный шкаф и универсальный стол для отделения изобразительного искусства МБУ ДО «Детская школа искусств».
</t>
  </si>
  <si>
    <t xml:space="preserve">Денежные средства направлены на приобретение музыкальных инструментов (пианино, рояль, саксофон, альт, контрабас, концертный баян, гусли, а также комплектующие к ним), светового, звукового и выставочного оборудования, мольбертов, мультимедийного оборудования и учебных материалов.    </t>
  </si>
  <si>
    <t>Денежные средства направлены на проведение общегородских праздничных мероприятий. В связи с неблагоприятной эпидемиологической ситуацией мероприятия состоялись в режиме онлайн: День защитника Отечества; Международный женский день; Проводы русской зимы, День весны и труда, XI Международный фестиваль ремесел коренных народов мира «Югра – 2021». На фоне улучшения эпидемиологической ситуации были проведены следующие мероприятия: праздничные мероприятия, посвященный Дню Победы в Великой Отечественной войне 1941-1945 годов, Дню защиты детей, День города Урай; реализован инициативный проект «Организация и проведение городского национального праздника «Сабантуй-2021».</t>
  </si>
  <si>
    <t>Исполнение от плановых назначений за 9 месяцев составило 89,4%. Остаток средств в размере 39,9 тыс.рублей сложился по причине отказа от проведения конкурса "Урайская карусель" и принятия решения о проведении конкурса "Юный художник", который состоится в октябре 2021 года; остаток средств в размере 142,8 тыс.рублей сложился по причине уточнения реквизитов договора по мероприятию, посвященному Дню города Урай и Дню работников нефтяной и газовой промышленности.</t>
  </si>
  <si>
    <t>Реализация мероприятия без финансирования. В 2021 году 12 специалистов учреждений культуры и организаций дополнительного образования в области искусств прошли  повышение квалификации на базе Центров непрерывного образования и повышения квалификации творческих и управленческих кадров в сфере культуры.</t>
  </si>
  <si>
    <t>И.о. начальника управления по культуре и социальной вопросам администрации города Урай</t>
  </si>
  <si>
    <t>К.В. Ермакова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</si>
</sst>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5" fillId="0" borderId="12" xfId="60" applyNumberFormat="1" applyFont="1" applyFill="1" applyBorder="1" applyAlignment="1">
      <alignment horizontal="center" vertical="center" wrapText="1"/>
    </xf>
    <xf numFmtId="172" fontId="6" fillId="0" borderId="12" xfId="60" applyNumberFormat="1" applyFont="1" applyFill="1" applyBorder="1" applyAlignment="1">
      <alignment horizontal="center" vertical="center" wrapText="1"/>
    </xf>
    <xf numFmtId="172" fontId="4" fillId="0" borderId="12" xfId="6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36"/>
  <sheetViews>
    <sheetView tabSelected="1" zoomScale="85" zoomScaleNormal="85" zoomScalePageLayoutView="0" workbookViewId="0" topLeftCell="A1">
      <pane xSplit="8" ySplit="7" topLeftCell="AB4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C120" sqref="AC120"/>
    </sheetView>
  </sheetViews>
  <sheetFormatPr defaultColWidth="9.140625" defaultRowHeight="15"/>
  <cols>
    <col min="1" max="1" width="8.00390625" style="55" customWidth="1"/>
    <col min="2" max="2" width="29.7109375" style="18" customWidth="1"/>
    <col min="3" max="3" width="16.140625" style="56" customWidth="1"/>
    <col min="4" max="4" width="11.28125" style="18" hidden="1" customWidth="1"/>
    <col min="5" max="5" width="20.421875" style="18" customWidth="1"/>
    <col min="6" max="6" width="11.7109375" style="18" customWidth="1"/>
    <col min="7" max="7" width="9.140625" style="18" customWidth="1"/>
    <col min="8" max="8" width="10.00390625" style="18" customWidth="1"/>
    <col min="9" max="9" width="8.421875" style="18" customWidth="1"/>
    <col min="10" max="10" width="8.28125" style="18" customWidth="1"/>
    <col min="11" max="11" width="8.421875" style="18" customWidth="1"/>
    <col min="12" max="12" width="9.28125" style="18" customWidth="1"/>
    <col min="13" max="13" width="10.28125" style="18" customWidth="1"/>
    <col min="14" max="14" width="8.28125" style="18" customWidth="1"/>
    <col min="15" max="15" width="9.7109375" style="18" customWidth="1"/>
    <col min="16" max="16" width="8.8515625" style="18" customWidth="1"/>
    <col min="17" max="17" width="8.57421875" style="18" customWidth="1"/>
    <col min="18" max="18" width="9.57421875" style="18" customWidth="1"/>
    <col min="19" max="19" width="8.421875" style="18" customWidth="1"/>
    <col min="20" max="20" width="7.7109375" style="18" customWidth="1"/>
    <col min="21" max="21" width="8.8515625" style="18" customWidth="1"/>
    <col min="22" max="23" width="7.8515625" style="18" customWidth="1"/>
    <col min="24" max="24" width="10.28125" style="18" customWidth="1"/>
    <col min="25" max="25" width="7.8515625" style="18" customWidth="1"/>
    <col min="26" max="26" width="8.421875" style="18" customWidth="1"/>
    <col min="27" max="27" width="9.28125" style="18" customWidth="1"/>
    <col min="28" max="28" width="8.57421875" style="18" customWidth="1"/>
    <col min="29" max="29" width="8.00390625" style="18" customWidth="1"/>
    <col min="30" max="30" width="10.140625" style="18" customWidth="1"/>
    <col min="31" max="31" width="9.7109375" style="18" customWidth="1"/>
    <col min="32" max="32" width="9.00390625" style="18" customWidth="1"/>
    <col min="33" max="33" width="9.57421875" style="18" customWidth="1"/>
    <col min="34" max="34" width="9.28125" style="18" customWidth="1"/>
    <col min="35" max="35" width="8.7109375" style="18" customWidth="1"/>
    <col min="36" max="36" width="9.00390625" style="18" customWidth="1"/>
    <col min="37" max="37" width="8.7109375" style="18" hidden="1" customWidth="1"/>
    <col min="38" max="38" width="8.00390625" style="18" hidden="1" customWidth="1"/>
    <col min="39" max="39" width="9.00390625" style="18" customWidth="1"/>
    <col min="40" max="40" width="9.140625" style="18" hidden="1" customWidth="1"/>
    <col min="41" max="41" width="6.8515625" style="18" hidden="1" customWidth="1"/>
    <col min="42" max="42" width="8.8515625" style="18" customWidth="1"/>
    <col min="43" max="43" width="8.28125" style="18" hidden="1" customWidth="1"/>
    <col min="44" max="44" width="9.00390625" style="18" hidden="1" customWidth="1"/>
    <col min="45" max="45" width="60.421875" style="18" customWidth="1"/>
    <col min="46" max="46" width="43.28125" style="18" customWidth="1"/>
    <col min="47" max="16384" width="9.140625" style="18" customWidth="1"/>
  </cols>
  <sheetData>
    <row r="1" spans="1:12" ht="15">
      <c r="A1" s="159" t="s">
        <v>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5.75">
      <c r="A2" s="154" t="s">
        <v>80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4" t="s">
        <v>91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5.75">
      <c r="A4" s="29"/>
      <c r="B4" s="30"/>
      <c r="C4" s="31"/>
      <c r="D4" s="30"/>
      <c r="E4" s="30"/>
      <c r="F4" s="30"/>
      <c r="G4" s="30"/>
      <c r="H4" s="30"/>
      <c r="I4" s="30"/>
      <c r="J4" s="30"/>
      <c r="K4" s="30"/>
      <c r="L4" s="30"/>
    </row>
    <row r="5" spans="1:46" ht="32.25" customHeight="1">
      <c r="A5" s="155" t="s">
        <v>0</v>
      </c>
      <c r="B5" s="143" t="s">
        <v>65</v>
      </c>
      <c r="C5" s="156" t="s">
        <v>66</v>
      </c>
      <c r="D5" s="156" t="s">
        <v>1</v>
      </c>
      <c r="E5" s="156" t="s">
        <v>2</v>
      </c>
      <c r="F5" s="160" t="s">
        <v>67</v>
      </c>
      <c r="G5" s="160"/>
      <c r="H5" s="160"/>
      <c r="I5" s="143" t="s">
        <v>3</v>
      </c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1" t="s">
        <v>4</v>
      </c>
      <c r="AT5" s="11" t="s">
        <v>88</v>
      </c>
    </row>
    <row r="6" spans="1:46" ht="15">
      <c r="A6" s="155"/>
      <c r="B6" s="143"/>
      <c r="C6" s="157"/>
      <c r="D6" s="157"/>
      <c r="E6" s="157"/>
      <c r="F6" s="160"/>
      <c r="G6" s="160"/>
      <c r="H6" s="160"/>
      <c r="I6" s="143" t="s">
        <v>5</v>
      </c>
      <c r="J6" s="143"/>
      <c r="K6" s="143"/>
      <c r="L6" s="143" t="s">
        <v>6</v>
      </c>
      <c r="M6" s="143"/>
      <c r="N6" s="143"/>
      <c r="O6" s="143" t="s">
        <v>7</v>
      </c>
      <c r="P6" s="143"/>
      <c r="Q6" s="143"/>
      <c r="R6" s="153" t="s">
        <v>8</v>
      </c>
      <c r="S6" s="143"/>
      <c r="T6" s="143"/>
      <c r="U6" s="143" t="s">
        <v>9</v>
      </c>
      <c r="V6" s="143"/>
      <c r="W6" s="143"/>
      <c r="X6" s="143" t="s">
        <v>10</v>
      </c>
      <c r="Y6" s="143"/>
      <c r="Z6" s="143"/>
      <c r="AA6" s="143" t="s">
        <v>11</v>
      </c>
      <c r="AB6" s="143"/>
      <c r="AC6" s="143"/>
      <c r="AD6" s="143" t="s">
        <v>12</v>
      </c>
      <c r="AE6" s="143"/>
      <c r="AF6" s="143"/>
      <c r="AG6" s="143" t="s">
        <v>13</v>
      </c>
      <c r="AH6" s="143"/>
      <c r="AI6" s="143"/>
      <c r="AJ6" s="143" t="s">
        <v>14</v>
      </c>
      <c r="AK6" s="143"/>
      <c r="AL6" s="143"/>
      <c r="AM6" s="143" t="s">
        <v>15</v>
      </c>
      <c r="AN6" s="143"/>
      <c r="AO6" s="143"/>
      <c r="AP6" s="143" t="s">
        <v>16</v>
      </c>
      <c r="AQ6" s="143"/>
      <c r="AR6" s="143"/>
      <c r="AS6" s="11"/>
      <c r="AT6" s="11"/>
    </row>
    <row r="7" spans="1:46" ht="38.25">
      <c r="A7" s="155"/>
      <c r="B7" s="143"/>
      <c r="C7" s="158"/>
      <c r="D7" s="158"/>
      <c r="E7" s="158"/>
      <c r="F7" s="32" t="s">
        <v>17</v>
      </c>
      <c r="G7" s="32" t="s">
        <v>18</v>
      </c>
      <c r="H7" s="33" t="s">
        <v>19</v>
      </c>
      <c r="I7" s="11" t="s">
        <v>17</v>
      </c>
      <c r="J7" s="11" t="s">
        <v>18</v>
      </c>
      <c r="K7" s="1" t="s">
        <v>19</v>
      </c>
      <c r="L7" s="11" t="s">
        <v>17</v>
      </c>
      <c r="M7" s="11" t="s">
        <v>18</v>
      </c>
      <c r="N7" s="1" t="s">
        <v>19</v>
      </c>
      <c r="O7" s="11" t="s">
        <v>17</v>
      </c>
      <c r="P7" s="11" t="s">
        <v>18</v>
      </c>
      <c r="Q7" s="1" t="s">
        <v>19</v>
      </c>
      <c r="R7" s="58" t="s">
        <v>17</v>
      </c>
      <c r="S7" s="11" t="s">
        <v>18</v>
      </c>
      <c r="T7" s="1" t="s">
        <v>19</v>
      </c>
      <c r="U7" s="11" t="s">
        <v>17</v>
      </c>
      <c r="V7" s="11" t="s">
        <v>18</v>
      </c>
      <c r="W7" s="1" t="s">
        <v>19</v>
      </c>
      <c r="X7" s="11" t="s">
        <v>17</v>
      </c>
      <c r="Y7" s="11" t="s">
        <v>18</v>
      </c>
      <c r="Z7" s="1" t="s">
        <v>19</v>
      </c>
      <c r="AA7" s="11" t="s">
        <v>17</v>
      </c>
      <c r="AB7" s="11" t="s">
        <v>18</v>
      </c>
      <c r="AC7" s="1" t="s">
        <v>19</v>
      </c>
      <c r="AD7" s="11" t="s">
        <v>17</v>
      </c>
      <c r="AE7" s="11" t="s">
        <v>18</v>
      </c>
      <c r="AF7" s="1" t="s">
        <v>19</v>
      </c>
      <c r="AG7" s="11" t="s">
        <v>17</v>
      </c>
      <c r="AH7" s="11" t="s">
        <v>18</v>
      </c>
      <c r="AI7" s="1" t="s">
        <v>19</v>
      </c>
      <c r="AJ7" s="11" t="s">
        <v>17</v>
      </c>
      <c r="AK7" s="11" t="s">
        <v>18</v>
      </c>
      <c r="AL7" s="1" t="s">
        <v>19</v>
      </c>
      <c r="AM7" s="11" t="s">
        <v>17</v>
      </c>
      <c r="AN7" s="11" t="s">
        <v>18</v>
      </c>
      <c r="AO7" s="1" t="s">
        <v>19</v>
      </c>
      <c r="AP7" s="11" t="s">
        <v>17</v>
      </c>
      <c r="AQ7" s="11" t="s">
        <v>18</v>
      </c>
      <c r="AR7" s="1" t="s">
        <v>19</v>
      </c>
      <c r="AS7" s="11"/>
      <c r="AT7" s="11"/>
    </row>
    <row r="8" spans="1:46" s="35" customFormat="1" ht="25.5" customHeight="1">
      <c r="A8" s="112" t="s">
        <v>47</v>
      </c>
      <c r="B8" s="144" t="s">
        <v>34</v>
      </c>
      <c r="C8" s="145"/>
      <c r="D8" s="146"/>
      <c r="E8" s="14" t="s">
        <v>20</v>
      </c>
      <c r="F8" s="9">
        <f>I8+L8+O8+R8+U8+X8+AA8+AD8+AG8+AJ8+AM8+AP8</f>
        <v>22719.200000000004</v>
      </c>
      <c r="G8" s="9">
        <f aca="true" t="shared" si="0" ref="F8:G13">J8+M8+P8+S8+V8+Y8+AB8+AE8+AH8+AK8+AN8+AQ8</f>
        <v>18770.4</v>
      </c>
      <c r="H8" s="9">
        <f aca="true" t="shared" si="1" ref="H8:H13">G8/F8*100</f>
        <v>82.61910630656008</v>
      </c>
      <c r="I8" s="34">
        <f>I13+I18+I23+I28+I33+I38</f>
        <v>0</v>
      </c>
      <c r="J8" s="34">
        <v>0</v>
      </c>
      <c r="K8" s="34">
        <v>0</v>
      </c>
      <c r="L8" s="34">
        <f aca="true" t="shared" si="2" ref="L8:M11">L13+L18+L23+L28+L33+L38</f>
        <v>187.8</v>
      </c>
      <c r="M8" s="34">
        <f t="shared" si="2"/>
        <v>48.400000000000006</v>
      </c>
      <c r="N8" s="34">
        <f>M8/L8*100</f>
        <v>25.772097976570823</v>
      </c>
      <c r="O8" s="34">
        <f aca="true" t="shared" si="3" ref="O8:P11">O13+O18+O23+O28+O33+O38</f>
        <v>5047</v>
      </c>
      <c r="P8" s="34">
        <f t="shared" si="3"/>
        <v>991.5</v>
      </c>
      <c r="Q8" s="34">
        <f>P8/O8*100</f>
        <v>19.64533386170002</v>
      </c>
      <c r="R8" s="59">
        <f aca="true" t="shared" si="4" ref="R8:S11">R13+R18+R23+R28+R33+R38</f>
        <v>8.5</v>
      </c>
      <c r="S8" s="34">
        <f t="shared" si="4"/>
        <v>70.5</v>
      </c>
      <c r="T8" s="34">
        <f>S8/R8*100</f>
        <v>829.4117647058824</v>
      </c>
      <c r="U8" s="34">
        <f aca="true" t="shared" si="5" ref="U8:V11">U13+U18+U23+U28+U33+U38</f>
        <v>1342.8</v>
      </c>
      <c r="V8" s="34">
        <f t="shared" si="5"/>
        <v>5475.7</v>
      </c>
      <c r="W8" s="34">
        <f>V8/U8*100</f>
        <v>407.7822460530235</v>
      </c>
      <c r="X8" s="34">
        <f aca="true" t="shared" si="6" ref="X8:Y11">X13+X18+X23+X28+X33+X38</f>
        <v>328.50000000000034</v>
      </c>
      <c r="Y8" s="34">
        <f t="shared" si="6"/>
        <v>328.5</v>
      </c>
      <c r="Z8" s="2">
        <f>Y8/X8*100</f>
        <v>99.9999999999999</v>
      </c>
      <c r="AA8" s="34">
        <f aca="true" t="shared" si="7" ref="AA8:AB12">AA13+AA18+AA23+AA28+AA33+AA38</f>
        <v>6147.1</v>
      </c>
      <c r="AB8" s="34">
        <f t="shared" si="7"/>
        <v>6176.200000000001</v>
      </c>
      <c r="AC8" s="2">
        <f>AB8/AA8*100</f>
        <v>100.4733939581266</v>
      </c>
      <c r="AD8" s="34">
        <f aca="true" t="shared" si="8" ref="AD8:AE12">AD13+AD18+AD23+AD28+AD33+AD38</f>
        <v>5030.400000000001</v>
      </c>
      <c r="AE8" s="34">
        <f t="shared" si="8"/>
        <v>4839.700000000001</v>
      </c>
      <c r="AF8" s="2">
        <f>AE8/AD8*100</f>
        <v>96.20904898218829</v>
      </c>
      <c r="AG8" s="34">
        <f aca="true" t="shared" si="9" ref="AG8:AH12">AG13+AG18+AG23+AG28+AG33+AG38</f>
        <v>688.5</v>
      </c>
      <c r="AH8" s="34">
        <f t="shared" si="9"/>
        <v>839.9</v>
      </c>
      <c r="AI8" s="2">
        <f>AH8/AG8*100</f>
        <v>121.98983297022512</v>
      </c>
      <c r="AJ8" s="34">
        <f aca="true" t="shared" si="10" ref="AJ8:AP11">AJ13+AJ18+AJ23+AJ28+AJ33+AJ38</f>
        <v>3904.7</v>
      </c>
      <c r="AK8" s="34">
        <f t="shared" si="10"/>
        <v>0</v>
      </c>
      <c r="AL8" s="34">
        <f t="shared" si="10"/>
        <v>0</v>
      </c>
      <c r="AM8" s="34">
        <f t="shared" si="10"/>
        <v>8.5</v>
      </c>
      <c r="AN8" s="34">
        <f t="shared" si="10"/>
        <v>0</v>
      </c>
      <c r="AO8" s="34">
        <f t="shared" si="10"/>
        <v>0</v>
      </c>
      <c r="AP8" s="34">
        <f t="shared" si="10"/>
        <v>25.4</v>
      </c>
      <c r="AQ8" s="34"/>
      <c r="AR8" s="34"/>
      <c r="AS8" s="34"/>
      <c r="AT8" s="34"/>
    </row>
    <row r="9" spans="1:46" s="35" customFormat="1" ht="25.5" customHeight="1">
      <c r="A9" s="113"/>
      <c r="B9" s="147"/>
      <c r="C9" s="148"/>
      <c r="D9" s="149"/>
      <c r="E9" s="36" t="s">
        <v>21</v>
      </c>
      <c r="F9" s="9">
        <f>I9+L9+O9+R9+U9+X9+AA9+AD9+AG9+AJ9+AM9+AP9</f>
        <v>6518.9</v>
      </c>
      <c r="G9" s="9">
        <f t="shared" si="0"/>
        <v>6518.9</v>
      </c>
      <c r="H9" s="9">
        <f t="shared" si="1"/>
        <v>100</v>
      </c>
      <c r="I9" s="34">
        <f>I14+I19+I24+I29+I34+I39</f>
        <v>0</v>
      </c>
      <c r="J9" s="34">
        <f>J14+J19+J24+J29+J34+J39</f>
        <v>0</v>
      </c>
      <c r="K9" s="34">
        <v>0</v>
      </c>
      <c r="L9" s="34">
        <f t="shared" si="2"/>
        <v>29.6</v>
      </c>
      <c r="M9" s="34">
        <f t="shared" si="2"/>
        <v>0</v>
      </c>
      <c r="N9" s="34">
        <v>0</v>
      </c>
      <c r="O9" s="34">
        <f t="shared" si="3"/>
        <v>1925.7</v>
      </c>
      <c r="P9" s="34">
        <f t="shared" si="3"/>
        <v>375.7</v>
      </c>
      <c r="Q9" s="34">
        <f>P9/O9*100</f>
        <v>19.50978864828374</v>
      </c>
      <c r="R9" s="59">
        <f t="shared" si="4"/>
        <v>0</v>
      </c>
      <c r="S9" s="34">
        <f t="shared" si="4"/>
        <v>0</v>
      </c>
      <c r="T9" s="34">
        <v>0</v>
      </c>
      <c r="U9" s="34">
        <f t="shared" si="5"/>
        <v>509.9999999999999</v>
      </c>
      <c r="V9" s="34">
        <f t="shared" si="5"/>
        <v>2089.6</v>
      </c>
      <c r="W9" s="34">
        <f>V9/U9*100</f>
        <v>409.72549019607845</v>
      </c>
      <c r="X9" s="34">
        <f t="shared" si="6"/>
        <v>122.30000000000018</v>
      </c>
      <c r="Y9" s="34">
        <f t="shared" si="6"/>
        <v>122.3</v>
      </c>
      <c r="Z9" s="2">
        <f>Y9/X9*100</f>
        <v>99.99999999999984</v>
      </c>
      <c r="AA9" s="34">
        <f t="shared" si="7"/>
        <v>2265.9</v>
      </c>
      <c r="AB9" s="34">
        <f t="shared" si="7"/>
        <v>2265.9</v>
      </c>
      <c r="AC9" s="34">
        <v>0</v>
      </c>
      <c r="AD9" s="34">
        <f t="shared" si="8"/>
        <v>1665.4</v>
      </c>
      <c r="AE9" s="34">
        <f t="shared" si="8"/>
        <v>1665.4</v>
      </c>
      <c r="AF9" s="34">
        <v>0</v>
      </c>
      <c r="AG9" s="34">
        <f t="shared" si="9"/>
        <v>0</v>
      </c>
      <c r="AH9" s="34">
        <f t="shared" si="9"/>
        <v>0</v>
      </c>
      <c r="AI9" s="34">
        <v>0</v>
      </c>
      <c r="AJ9" s="34">
        <f t="shared" si="10"/>
        <v>0</v>
      </c>
      <c r="AK9" s="34">
        <f t="shared" si="10"/>
        <v>0</v>
      </c>
      <c r="AL9" s="34">
        <f t="shared" si="10"/>
        <v>0</v>
      </c>
      <c r="AM9" s="34">
        <f t="shared" si="10"/>
        <v>0</v>
      </c>
      <c r="AN9" s="34">
        <f t="shared" si="10"/>
        <v>0</v>
      </c>
      <c r="AO9" s="34">
        <f t="shared" si="10"/>
        <v>0</v>
      </c>
      <c r="AP9" s="34">
        <f t="shared" si="10"/>
        <v>0</v>
      </c>
      <c r="AQ9" s="34"/>
      <c r="AR9" s="34"/>
      <c r="AS9" s="34"/>
      <c r="AT9" s="34"/>
    </row>
    <row r="10" spans="1:46" s="35" customFormat="1" ht="25.5" customHeight="1">
      <c r="A10" s="113"/>
      <c r="B10" s="147"/>
      <c r="C10" s="148"/>
      <c r="D10" s="149"/>
      <c r="E10" s="36" t="s">
        <v>22</v>
      </c>
      <c r="F10" s="9">
        <f t="shared" si="0"/>
        <v>10720.700000000003</v>
      </c>
      <c r="G10" s="9">
        <f t="shared" si="0"/>
        <v>10674.2</v>
      </c>
      <c r="H10" s="9">
        <f t="shared" si="1"/>
        <v>99.56625966588001</v>
      </c>
      <c r="I10" s="34">
        <f>I15+I20+I25+I30+I35+I40</f>
        <v>0</v>
      </c>
      <c r="J10" s="34">
        <f>J15+J20+J25+J30+J35+J40</f>
        <v>0</v>
      </c>
      <c r="K10" s="34">
        <v>0</v>
      </c>
      <c r="L10" s="34">
        <f t="shared" si="2"/>
        <v>140.1</v>
      </c>
      <c r="M10" s="34">
        <f t="shared" si="2"/>
        <v>31.8</v>
      </c>
      <c r="N10" s="34">
        <f>M10/L10*100</f>
        <v>22.698072805139187</v>
      </c>
      <c r="O10" s="34">
        <f t="shared" si="3"/>
        <v>3019.2</v>
      </c>
      <c r="P10" s="34">
        <f t="shared" si="3"/>
        <v>594.8000000000001</v>
      </c>
      <c r="Q10" s="34">
        <f>P10/O10*100</f>
        <v>19.700582935877055</v>
      </c>
      <c r="R10" s="59">
        <f t="shared" si="4"/>
        <v>7.2</v>
      </c>
      <c r="S10" s="34">
        <f t="shared" si="4"/>
        <v>69.2</v>
      </c>
      <c r="T10" s="34">
        <f>S10/R10*100</f>
        <v>961.1111111111111</v>
      </c>
      <c r="U10" s="34">
        <f t="shared" si="5"/>
        <v>804.8000000000001</v>
      </c>
      <c r="V10" s="34">
        <f t="shared" si="5"/>
        <v>3275.5</v>
      </c>
      <c r="W10" s="34">
        <f>V10/U10*100</f>
        <v>406.99552683896616</v>
      </c>
      <c r="X10" s="34">
        <f t="shared" si="6"/>
        <v>198.50000000000017</v>
      </c>
      <c r="Y10" s="34">
        <f t="shared" si="6"/>
        <v>198.5</v>
      </c>
      <c r="Z10" s="2">
        <f>Y10/X10*100</f>
        <v>99.99999999999991</v>
      </c>
      <c r="AA10" s="34">
        <f t="shared" si="7"/>
        <v>3551.3</v>
      </c>
      <c r="AB10" s="34">
        <f t="shared" si="7"/>
        <v>3551.7999999999997</v>
      </c>
      <c r="AC10" s="2">
        <f>AB10/AA10*100</f>
        <v>100.01407935122349</v>
      </c>
      <c r="AD10" s="34">
        <f t="shared" si="8"/>
        <v>2774.2000000000003</v>
      </c>
      <c r="AE10" s="34">
        <f t="shared" si="8"/>
        <v>2612</v>
      </c>
      <c r="AF10" s="2">
        <f>AE10/AD10*100</f>
        <v>94.15326941100136</v>
      </c>
      <c r="AG10" s="34">
        <f t="shared" si="9"/>
        <v>189.10000000000002</v>
      </c>
      <c r="AH10" s="34">
        <f t="shared" si="9"/>
        <v>340.6</v>
      </c>
      <c r="AI10" s="2">
        <f>AH10/AG10*100</f>
        <v>180.11634056054996</v>
      </c>
      <c r="AJ10" s="34">
        <f t="shared" si="10"/>
        <v>7.2</v>
      </c>
      <c r="AK10" s="34">
        <f t="shared" si="10"/>
        <v>0</v>
      </c>
      <c r="AL10" s="34">
        <f t="shared" si="10"/>
        <v>0</v>
      </c>
      <c r="AM10" s="34">
        <f t="shared" si="10"/>
        <v>7.2</v>
      </c>
      <c r="AN10" s="34">
        <f t="shared" si="10"/>
        <v>0</v>
      </c>
      <c r="AO10" s="34">
        <f t="shared" si="10"/>
        <v>0</v>
      </c>
      <c r="AP10" s="34">
        <f t="shared" si="10"/>
        <v>21.9</v>
      </c>
      <c r="AQ10" s="34"/>
      <c r="AR10" s="34"/>
      <c r="AS10" s="34"/>
      <c r="AT10" s="34"/>
    </row>
    <row r="11" spans="1:46" s="35" customFormat="1" ht="25.5" customHeight="1">
      <c r="A11" s="113"/>
      <c r="B11" s="147"/>
      <c r="C11" s="148"/>
      <c r="D11" s="149"/>
      <c r="E11" s="36" t="s">
        <v>23</v>
      </c>
      <c r="F11" s="9">
        <f t="shared" si="0"/>
        <v>409.6</v>
      </c>
      <c r="G11" s="9">
        <f t="shared" si="0"/>
        <v>403.5</v>
      </c>
      <c r="H11" s="9">
        <f t="shared" si="1"/>
        <v>98.5107421875</v>
      </c>
      <c r="I11" s="34">
        <f>I16+I21+I26+I31+I36+I41</f>
        <v>0</v>
      </c>
      <c r="J11" s="34">
        <f>J16+J21+J26+J31+J36+J41</f>
        <v>0</v>
      </c>
      <c r="K11" s="34">
        <v>0</v>
      </c>
      <c r="L11" s="34">
        <f t="shared" si="2"/>
        <v>18.1</v>
      </c>
      <c r="M11" s="34">
        <f t="shared" si="2"/>
        <v>16.6</v>
      </c>
      <c r="N11" s="34">
        <f>M11/L11*100</f>
        <v>91.71270718232044</v>
      </c>
      <c r="O11" s="34">
        <f t="shared" si="3"/>
        <v>102.1</v>
      </c>
      <c r="P11" s="34">
        <f t="shared" si="3"/>
        <v>21</v>
      </c>
      <c r="Q11" s="34">
        <f>P11/O11*100</f>
        <v>20.568070519098924</v>
      </c>
      <c r="R11" s="59">
        <f t="shared" si="4"/>
        <v>1.3</v>
      </c>
      <c r="S11" s="34">
        <f t="shared" si="4"/>
        <v>1.3</v>
      </c>
      <c r="T11" s="34">
        <f>S11/R11*100</f>
        <v>100</v>
      </c>
      <c r="U11" s="34">
        <f t="shared" si="5"/>
        <v>28.00000000000001</v>
      </c>
      <c r="V11" s="34">
        <f t="shared" si="5"/>
        <v>110.6</v>
      </c>
      <c r="W11" s="34">
        <f>V11/U11*100</f>
        <v>394.99999999999983</v>
      </c>
      <c r="X11" s="34">
        <f t="shared" si="6"/>
        <v>7.7000000000000055</v>
      </c>
      <c r="Y11" s="34">
        <f t="shared" si="6"/>
        <v>7.7</v>
      </c>
      <c r="Z11" s="2">
        <f>Y11/X11*100</f>
        <v>99.99999999999993</v>
      </c>
      <c r="AA11" s="34">
        <f t="shared" si="7"/>
        <v>119.9</v>
      </c>
      <c r="AB11" s="34">
        <f t="shared" si="7"/>
        <v>148.5</v>
      </c>
      <c r="AC11" s="2">
        <f>AB11/AA11*100</f>
        <v>123.8532110091743</v>
      </c>
      <c r="AD11" s="34">
        <f t="shared" si="8"/>
        <v>117</v>
      </c>
      <c r="AE11" s="34">
        <f t="shared" si="8"/>
        <v>88.5</v>
      </c>
      <c r="AF11" s="2">
        <f>AE11/AD11*100</f>
        <v>75.64102564102564</v>
      </c>
      <c r="AG11" s="34">
        <f t="shared" si="9"/>
        <v>9.4</v>
      </c>
      <c r="AH11" s="34">
        <f t="shared" si="9"/>
        <v>9.3</v>
      </c>
      <c r="AI11" s="2">
        <f>AH11/AG11*100</f>
        <v>98.93617021276596</v>
      </c>
      <c r="AJ11" s="34">
        <f t="shared" si="10"/>
        <v>1.3</v>
      </c>
      <c r="AK11" s="34">
        <f t="shared" si="10"/>
        <v>0</v>
      </c>
      <c r="AL11" s="34">
        <f t="shared" si="10"/>
        <v>0</v>
      </c>
      <c r="AM11" s="34">
        <f t="shared" si="10"/>
        <v>1.3</v>
      </c>
      <c r="AN11" s="34">
        <f t="shared" si="10"/>
        <v>0</v>
      </c>
      <c r="AO11" s="34">
        <f t="shared" si="10"/>
        <v>0</v>
      </c>
      <c r="AP11" s="34">
        <f t="shared" si="10"/>
        <v>3.5</v>
      </c>
      <c r="AQ11" s="34"/>
      <c r="AR11" s="34"/>
      <c r="AS11" s="34"/>
      <c r="AT11" s="34"/>
    </row>
    <row r="12" spans="1:46" s="35" customFormat="1" ht="39" customHeight="1">
      <c r="A12" s="114"/>
      <c r="B12" s="150"/>
      <c r="C12" s="151"/>
      <c r="D12" s="152"/>
      <c r="E12" s="36" t="s">
        <v>92</v>
      </c>
      <c r="F12" s="9">
        <f t="shared" si="0"/>
        <v>5070</v>
      </c>
      <c r="G12" s="9">
        <f t="shared" si="0"/>
        <v>1173.8</v>
      </c>
      <c r="H12" s="9">
        <f t="shared" si="1"/>
        <v>23.151873767258383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210</v>
      </c>
      <c r="AB12" s="34">
        <f t="shared" si="7"/>
        <v>210</v>
      </c>
      <c r="AC12" s="2">
        <f>AB12/AA12*100</f>
        <v>100</v>
      </c>
      <c r="AD12" s="34">
        <f t="shared" si="8"/>
        <v>473.8</v>
      </c>
      <c r="AE12" s="34">
        <f t="shared" si="8"/>
        <v>473.8</v>
      </c>
      <c r="AF12" s="2">
        <f>AE12/AD12*100</f>
        <v>100</v>
      </c>
      <c r="AG12" s="34">
        <f t="shared" si="9"/>
        <v>490</v>
      </c>
      <c r="AH12" s="34">
        <f t="shared" si="9"/>
        <v>490</v>
      </c>
      <c r="AI12" s="2">
        <f>AH12/AG12*100</f>
        <v>100</v>
      </c>
      <c r="AJ12" s="34">
        <f>AJ17+AJ22+AJ27+AJ32+AJ37+AJ42</f>
        <v>3896.2</v>
      </c>
      <c r="AK12" s="34"/>
      <c r="AL12" s="34"/>
      <c r="AM12" s="34">
        <f>AM17+AM22+AM27+AM32+AM37+AM42</f>
        <v>0</v>
      </c>
      <c r="AN12" s="34">
        <f>AN17+AN22+AN27+AN32+AN37+AN42</f>
        <v>0</v>
      </c>
      <c r="AO12" s="34">
        <f>AO17+AO22+AO27+AO32+AO37+AO42</f>
        <v>0</v>
      </c>
      <c r="AP12" s="34">
        <f>AP17+AP22+AP27+AP32+AP37+AP42</f>
        <v>0</v>
      </c>
      <c r="AQ12" s="34"/>
      <c r="AR12" s="34"/>
      <c r="AS12" s="78"/>
      <c r="AT12" s="78"/>
    </row>
    <row r="13" spans="1:46" s="12" customFormat="1" ht="25.5" customHeight="1">
      <c r="A13" s="115" t="s">
        <v>38</v>
      </c>
      <c r="B13" s="84" t="s">
        <v>68</v>
      </c>
      <c r="C13" s="100" t="s">
        <v>40</v>
      </c>
      <c r="D13" s="90" t="s">
        <v>39</v>
      </c>
      <c r="E13" s="14" t="s">
        <v>20</v>
      </c>
      <c r="F13" s="9">
        <f>I13+L13+O13+R13+U13+X13+AA13+AD13+AG13+AJ13+AM13+AP13</f>
        <v>456.7</v>
      </c>
      <c r="G13" s="9">
        <f t="shared" si="0"/>
        <v>404.1</v>
      </c>
      <c r="H13" s="9">
        <f t="shared" si="1"/>
        <v>88.48259251149551</v>
      </c>
      <c r="I13" s="2">
        <f>I14+I15+I16</f>
        <v>0</v>
      </c>
      <c r="J13" s="2">
        <v>0</v>
      </c>
      <c r="K13" s="2">
        <v>0</v>
      </c>
      <c r="L13" s="2">
        <f aca="true" t="shared" si="11" ref="L13:AP13">L14+L15+L16</f>
        <v>110.4</v>
      </c>
      <c r="M13" s="2">
        <f t="shared" si="11"/>
        <v>48.400000000000006</v>
      </c>
      <c r="N13" s="2">
        <f>M13/L13*100</f>
        <v>43.84057971014493</v>
      </c>
      <c r="O13" s="2">
        <f t="shared" si="11"/>
        <v>8.5</v>
      </c>
      <c r="P13" s="2">
        <f t="shared" si="11"/>
        <v>8.5</v>
      </c>
      <c r="Q13" s="2">
        <f>P13/O13*100</f>
        <v>100</v>
      </c>
      <c r="R13" s="60">
        <f t="shared" si="11"/>
        <v>8.5</v>
      </c>
      <c r="S13" s="2">
        <f t="shared" si="11"/>
        <v>70.5</v>
      </c>
      <c r="T13" s="2">
        <f>S13/R13*100</f>
        <v>829.4117647058824</v>
      </c>
      <c r="U13" s="2">
        <f t="shared" si="11"/>
        <v>8.5</v>
      </c>
      <c r="V13" s="2">
        <f t="shared" si="11"/>
        <v>8.5</v>
      </c>
      <c r="W13" s="2">
        <f>V13/U13*100</f>
        <v>100</v>
      </c>
      <c r="X13" s="2">
        <f t="shared" si="11"/>
        <v>8.5</v>
      </c>
      <c r="Y13" s="2">
        <f t="shared" si="11"/>
        <v>8.5</v>
      </c>
      <c r="Z13" s="2">
        <f>Y13/X13*100</f>
        <v>100</v>
      </c>
      <c r="AA13" s="2">
        <f t="shared" si="11"/>
        <v>8.5</v>
      </c>
      <c r="AB13" s="2">
        <f t="shared" si="11"/>
        <v>37.6</v>
      </c>
      <c r="AC13" s="2">
        <f>AB13/AA13*100</f>
        <v>442.3529411764706</v>
      </c>
      <c r="AD13" s="2">
        <f t="shared" si="11"/>
        <v>199.20000000000002</v>
      </c>
      <c r="AE13" s="2">
        <f t="shared" si="11"/>
        <v>8.5</v>
      </c>
      <c r="AF13" s="2">
        <f>AE13/AD13*100</f>
        <v>4.267068273092369</v>
      </c>
      <c r="AG13" s="2">
        <f t="shared" si="11"/>
        <v>62.199999999999996</v>
      </c>
      <c r="AH13" s="2">
        <f t="shared" si="11"/>
        <v>213.60000000000002</v>
      </c>
      <c r="AI13" s="2">
        <f>AH13/AG13*100</f>
        <v>343.40836012861746</v>
      </c>
      <c r="AJ13" s="2">
        <f t="shared" si="11"/>
        <v>8.5</v>
      </c>
      <c r="AK13" s="2">
        <f t="shared" si="11"/>
        <v>0</v>
      </c>
      <c r="AL13" s="2">
        <f t="shared" si="11"/>
        <v>0</v>
      </c>
      <c r="AM13" s="2">
        <f t="shared" si="11"/>
        <v>8.5</v>
      </c>
      <c r="AN13" s="2">
        <f t="shared" si="11"/>
        <v>0</v>
      </c>
      <c r="AO13" s="2">
        <f t="shared" si="11"/>
        <v>0</v>
      </c>
      <c r="AP13" s="2">
        <f t="shared" si="11"/>
        <v>25.4</v>
      </c>
      <c r="AQ13" s="2"/>
      <c r="AR13" s="2"/>
      <c r="AS13" s="124" t="s">
        <v>83</v>
      </c>
      <c r="AT13" s="124" t="s">
        <v>97</v>
      </c>
    </row>
    <row r="14" spans="1:46" s="13" customFormat="1" ht="25.5" customHeight="1">
      <c r="A14" s="116"/>
      <c r="B14" s="85"/>
      <c r="C14" s="101"/>
      <c r="D14" s="90"/>
      <c r="E14" s="15" t="s">
        <v>21</v>
      </c>
      <c r="F14" s="9">
        <f aca="true" t="shared" si="12" ref="F14:G39">I14+L14+O14+R14+U14+X14+AA14+AD14+AG14+AJ14+AM14+AP14</f>
        <v>0</v>
      </c>
      <c r="G14" s="9">
        <f>J14+M14+P14+S14+V14+Y14+AB14+AE14+AH14+AK14+AN14+AQ14</f>
        <v>0</v>
      </c>
      <c r="H14" s="9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61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125"/>
      <c r="AT14" s="125"/>
    </row>
    <row r="15" spans="1:46" s="13" customFormat="1" ht="25.5" customHeight="1">
      <c r="A15" s="116"/>
      <c r="B15" s="85"/>
      <c r="C15" s="101"/>
      <c r="D15" s="90"/>
      <c r="E15" s="15" t="s">
        <v>22</v>
      </c>
      <c r="F15" s="9">
        <f>I15+L15+O15+R15+U15+X15+AA15+AD15+AG15+AJ15+AM15+AP15</f>
        <v>388.2</v>
      </c>
      <c r="G15" s="9">
        <f>J15+M15+P15+S15+V15+Y15+AB15+AE15+AH15+AK15+AN15+AQ15</f>
        <v>341.70000000000005</v>
      </c>
      <c r="H15" s="9">
        <f>G15/F15*100</f>
        <v>88.02163833075736</v>
      </c>
      <c r="I15" s="3">
        <v>0</v>
      </c>
      <c r="J15" s="3">
        <v>0</v>
      </c>
      <c r="K15" s="3">
        <v>0</v>
      </c>
      <c r="L15" s="3">
        <v>93.8</v>
      </c>
      <c r="M15" s="3">
        <v>31.8</v>
      </c>
      <c r="N15" s="3">
        <f>M15/L15*100</f>
        <v>33.90191897654584</v>
      </c>
      <c r="O15" s="3">
        <v>7.2</v>
      </c>
      <c r="P15" s="3">
        <v>7.2</v>
      </c>
      <c r="Q15" s="3">
        <f>P15/O15*100</f>
        <v>100</v>
      </c>
      <c r="R15" s="61">
        <v>7.2</v>
      </c>
      <c r="S15" s="3">
        <v>69.2</v>
      </c>
      <c r="T15" s="3">
        <f>S15/R15*100</f>
        <v>961.1111111111111</v>
      </c>
      <c r="U15" s="3">
        <v>7.2</v>
      </c>
      <c r="V15" s="3">
        <v>7.2</v>
      </c>
      <c r="W15" s="3">
        <f>V15/U15*100</f>
        <v>100</v>
      </c>
      <c r="X15" s="3">
        <v>7.2</v>
      </c>
      <c r="Y15" s="3">
        <v>7.2</v>
      </c>
      <c r="Z15" s="3">
        <f>Y15/X15*100</f>
        <v>100</v>
      </c>
      <c r="AA15" s="3">
        <v>7.2</v>
      </c>
      <c r="AB15" s="3">
        <v>7.7</v>
      </c>
      <c r="AC15" s="3">
        <f>AB15/AA15*100</f>
        <v>106.94444444444444</v>
      </c>
      <c r="AD15" s="3">
        <v>169.3</v>
      </c>
      <c r="AE15" s="3">
        <v>7.1</v>
      </c>
      <c r="AF15" s="3">
        <f>AE15/AD15*100</f>
        <v>4.193738924985232</v>
      </c>
      <c r="AG15" s="3">
        <v>52.8</v>
      </c>
      <c r="AH15" s="3">
        <v>204.3</v>
      </c>
      <c r="AI15" s="3">
        <f>AH15/AG15*100</f>
        <v>386.9318181818182</v>
      </c>
      <c r="AJ15" s="3">
        <v>7.2</v>
      </c>
      <c r="AK15" s="3"/>
      <c r="AL15" s="3"/>
      <c r="AM15" s="3">
        <v>7.2</v>
      </c>
      <c r="AN15" s="3"/>
      <c r="AO15" s="3"/>
      <c r="AP15" s="3">
        <v>21.9</v>
      </c>
      <c r="AQ15" s="3"/>
      <c r="AR15" s="3"/>
      <c r="AS15" s="125"/>
      <c r="AT15" s="125"/>
    </row>
    <row r="16" spans="1:46" s="13" customFormat="1" ht="25.5" customHeight="1">
      <c r="A16" s="116"/>
      <c r="B16" s="85"/>
      <c r="C16" s="101"/>
      <c r="D16" s="90"/>
      <c r="E16" s="15" t="s">
        <v>23</v>
      </c>
      <c r="F16" s="9">
        <f t="shared" si="12"/>
        <v>68.5</v>
      </c>
      <c r="G16" s="9">
        <f>J16+M16+P16+S16+V16+Y16+AB16+AE16+AH16+AK16+AN16+AQ16</f>
        <v>62.400000000000006</v>
      </c>
      <c r="H16" s="9">
        <f>G16/F16*100</f>
        <v>91.09489051094891</v>
      </c>
      <c r="I16" s="3">
        <v>0</v>
      </c>
      <c r="J16" s="3">
        <v>0</v>
      </c>
      <c r="K16" s="3">
        <v>0</v>
      </c>
      <c r="L16" s="3">
        <v>16.6</v>
      </c>
      <c r="M16" s="3">
        <v>16.6</v>
      </c>
      <c r="N16" s="3">
        <f>M16/L16*100</f>
        <v>100</v>
      </c>
      <c r="O16" s="3">
        <v>1.3</v>
      </c>
      <c r="P16" s="3">
        <v>1.3</v>
      </c>
      <c r="Q16" s="3">
        <f>P16/O16*100</f>
        <v>100</v>
      </c>
      <c r="R16" s="61">
        <v>1.3</v>
      </c>
      <c r="S16" s="3">
        <v>1.3</v>
      </c>
      <c r="T16" s="3">
        <f>S16/R16*100</f>
        <v>100</v>
      </c>
      <c r="U16" s="3">
        <v>1.3</v>
      </c>
      <c r="V16" s="3">
        <v>1.3</v>
      </c>
      <c r="W16" s="3">
        <f>V16/U16*100</f>
        <v>100</v>
      </c>
      <c r="X16" s="3">
        <v>1.3</v>
      </c>
      <c r="Y16" s="3">
        <v>1.3</v>
      </c>
      <c r="Z16" s="3">
        <f>Y16/X16*100</f>
        <v>100</v>
      </c>
      <c r="AA16" s="3">
        <v>1.3</v>
      </c>
      <c r="AB16" s="3">
        <v>29.9</v>
      </c>
      <c r="AC16" s="3">
        <f>AB16/AA16*100</f>
        <v>2299.9999999999995</v>
      </c>
      <c r="AD16" s="3">
        <v>29.9</v>
      </c>
      <c r="AE16" s="3">
        <v>1.4</v>
      </c>
      <c r="AF16" s="3">
        <f>AE16/AD16*100</f>
        <v>4.682274247491638</v>
      </c>
      <c r="AG16" s="3">
        <v>9.4</v>
      </c>
      <c r="AH16" s="3">
        <v>9.3</v>
      </c>
      <c r="AI16" s="3">
        <f>AH16/AG16*100</f>
        <v>98.93617021276596</v>
      </c>
      <c r="AJ16" s="3">
        <v>1.3</v>
      </c>
      <c r="AK16" s="3"/>
      <c r="AL16" s="3"/>
      <c r="AM16" s="3">
        <v>1.3</v>
      </c>
      <c r="AN16" s="3"/>
      <c r="AO16" s="3"/>
      <c r="AP16" s="3">
        <v>3.5</v>
      </c>
      <c r="AQ16" s="3"/>
      <c r="AR16" s="3"/>
      <c r="AS16" s="126"/>
      <c r="AT16" s="126"/>
    </row>
    <row r="17" spans="1:46" s="13" customFormat="1" ht="42.75" customHeight="1">
      <c r="A17" s="117"/>
      <c r="B17" s="86"/>
      <c r="C17" s="102"/>
      <c r="D17" s="1"/>
      <c r="E17" s="15" t="s">
        <v>92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3"/>
      <c r="AR17" s="3"/>
      <c r="AS17" s="74"/>
      <c r="AT17" s="74"/>
    </row>
    <row r="18" spans="1:46" s="12" customFormat="1" ht="25.5" customHeight="1">
      <c r="A18" s="115" t="s">
        <v>41</v>
      </c>
      <c r="B18" s="84" t="s">
        <v>69</v>
      </c>
      <c r="C18" s="100" t="s">
        <v>40</v>
      </c>
      <c r="D18" s="90" t="s">
        <v>39</v>
      </c>
      <c r="E18" s="14" t="s">
        <v>20</v>
      </c>
      <c r="F18" s="9">
        <f t="shared" si="12"/>
        <v>0</v>
      </c>
      <c r="G18" s="9">
        <v>0</v>
      </c>
      <c r="H18" s="4">
        <v>0</v>
      </c>
      <c r="I18" s="2">
        <f>I19+I20+I21</f>
        <v>0</v>
      </c>
      <c r="J18" s="2">
        <f aca="true" t="shared" si="13" ref="J18:AP18">J19+J20+J21</f>
        <v>0</v>
      </c>
      <c r="K18" s="2">
        <f t="shared" si="13"/>
        <v>0</v>
      </c>
      <c r="L18" s="2">
        <f t="shared" si="13"/>
        <v>0</v>
      </c>
      <c r="M18" s="2">
        <f t="shared" si="13"/>
        <v>0</v>
      </c>
      <c r="N18" s="2">
        <f t="shared" si="13"/>
        <v>0</v>
      </c>
      <c r="O18" s="2">
        <f t="shared" si="13"/>
        <v>0</v>
      </c>
      <c r="P18" s="2">
        <f t="shared" si="13"/>
        <v>0</v>
      </c>
      <c r="Q18" s="2">
        <f t="shared" si="13"/>
        <v>0</v>
      </c>
      <c r="R18" s="2">
        <f t="shared" si="13"/>
        <v>0</v>
      </c>
      <c r="S18" s="2">
        <f t="shared" si="13"/>
        <v>0</v>
      </c>
      <c r="T18" s="2">
        <f t="shared" si="13"/>
        <v>0</v>
      </c>
      <c r="U18" s="2">
        <f t="shared" si="13"/>
        <v>0</v>
      </c>
      <c r="V18" s="2">
        <f t="shared" si="13"/>
        <v>0</v>
      </c>
      <c r="W18" s="2">
        <f t="shared" si="13"/>
        <v>0</v>
      </c>
      <c r="X18" s="2">
        <f t="shared" si="13"/>
        <v>0</v>
      </c>
      <c r="Y18" s="2">
        <f t="shared" si="13"/>
        <v>0</v>
      </c>
      <c r="Z18" s="2">
        <f t="shared" si="13"/>
        <v>0</v>
      </c>
      <c r="AA18" s="2">
        <f t="shared" si="13"/>
        <v>0</v>
      </c>
      <c r="AB18" s="2">
        <f t="shared" si="13"/>
        <v>0</v>
      </c>
      <c r="AC18" s="2">
        <f t="shared" si="13"/>
        <v>0</v>
      </c>
      <c r="AD18" s="2">
        <f t="shared" si="13"/>
        <v>0</v>
      </c>
      <c r="AE18" s="2">
        <f t="shared" si="13"/>
        <v>0</v>
      </c>
      <c r="AF18" s="2">
        <f t="shared" si="13"/>
        <v>0</v>
      </c>
      <c r="AG18" s="2">
        <f t="shared" si="13"/>
        <v>0</v>
      </c>
      <c r="AH18" s="2">
        <f t="shared" si="13"/>
        <v>0</v>
      </c>
      <c r="AI18" s="2">
        <f t="shared" si="13"/>
        <v>0</v>
      </c>
      <c r="AJ18" s="2">
        <f t="shared" si="13"/>
        <v>0</v>
      </c>
      <c r="AK18" s="2">
        <f t="shared" si="13"/>
        <v>0</v>
      </c>
      <c r="AL18" s="2">
        <f t="shared" si="13"/>
        <v>0</v>
      </c>
      <c r="AM18" s="2">
        <f t="shared" si="13"/>
        <v>0</v>
      </c>
      <c r="AN18" s="2">
        <f t="shared" si="13"/>
        <v>0</v>
      </c>
      <c r="AO18" s="2">
        <f t="shared" si="13"/>
        <v>0</v>
      </c>
      <c r="AP18" s="2">
        <f t="shared" si="13"/>
        <v>0</v>
      </c>
      <c r="AQ18" s="4"/>
      <c r="AR18" s="4"/>
      <c r="AS18" s="100" t="s">
        <v>84</v>
      </c>
      <c r="AT18" s="130"/>
    </row>
    <row r="19" spans="1:46" s="12" customFormat="1" ht="25.5" customHeight="1">
      <c r="A19" s="116"/>
      <c r="B19" s="85"/>
      <c r="C19" s="101"/>
      <c r="D19" s="90"/>
      <c r="E19" s="15" t="s">
        <v>21</v>
      </c>
      <c r="F19" s="9">
        <f t="shared" si="12"/>
        <v>0</v>
      </c>
      <c r="G19" s="9">
        <v>0</v>
      </c>
      <c r="H19" s="4">
        <v>0</v>
      </c>
      <c r="I19" s="3">
        <f aca="true" t="shared" si="14" ref="I19:AP19">I20+I21+I23</f>
        <v>0</v>
      </c>
      <c r="J19" s="3">
        <f t="shared" si="14"/>
        <v>0</v>
      </c>
      <c r="K19" s="3">
        <f t="shared" si="14"/>
        <v>0</v>
      </c>
      <c r="L19" s="3">
        <f t="shared" si="14"/>
        <v>0</v>
      </c>
      <c r="M19" s="3">
        <f t="shared" si="14"/>
        <v>0</v>
      </c>
      <c r="N19" s="3">
        <f t="shared" si="14"/>
        <v>0</v>
      </c>
      <c r="O19" s="3">
        <f t="shared" si="14"/>
        <v>0</v>
      </c>
      <c r="P19" s="3">
        <f t="shared" si="14"/>
        <v>0</v>
      </c>
      <c r="Q19" s="3">
        <f t="shared" si="14"/>
        <v>0</v>
      </c>
      <c r="R19" s="3">
        <f t="shared" si="14"/>
        <v>0</v>
      </c>
      <c r="S19" s="3">
        <f t="shared" si="14"/>
        <v>0</v>
      </c>
      <c r="T19" s="3">
        <f t="shared" si="14"/>
        <v>0</v>
      </c>
      <c r="U19" s="3">
        <f t="shared" si="14"/>
        <v>0</v>
      </c>
      <c r="V19" s="3">
        <f t="shared" si="14"/>
        <v>0</v>
      </c>
      <c r="W19" s="3">
        <f t="shared" si="14"/>
        <v>0</v>
      </c>
      <c r="X19" s="3">
        <f t="shared" si="14"/>
        <v>0</v>
      </c>
      <c r="Y19" s="3">
        <f t="shared" si="14"/>
        <v>0</v>
      </c>
      <c r="Z19" s="3">
        <f t="shared" si="14"/>
        <v>0</v>
      </c>
      <c r="AA19" s="3">
        <f t="shared" si="14"/>
        <v>0</v>
      </c>
      <c r="AB19" s="3">
        <f t="shared" si="14"/>
        <v>0</v>
      </c>
      <c r="AC19" s="3">
        <f t="shared" si="14"/>
        <v>0</v>
      </c>
      <c r="AD19" s="3">
        <f t="shared" si="14"/>
        <v>0</v>
      </c>
      <c r="AE19" s="3">
        <f t="shared" si="14"/>
        <v>0</v>
      </c>
      <c r="AF19" s="3">
        <f t="shared" si="14"/>
        <v>0</v>
      </c>
      <c r="AG19" s="3">
        <f t="shared" si="14"/>
        <v>0</v>
      </c>
      <c r="AH19" s="3">
        <f t="shared" si="14"/>
        <v>0</v>
      </c>
      <c r="AI19" s="3">
        <f t="shared" si="14"/>
        <v>0</v>
      </c>
      <c r="AJ19" s="3">
        <f t="shared" si="14"/>
        <v>0</v>
      </c>
      <c r="AK19" s="3">
        <f t="shared" si="14"/>
        <v>0</v>
      </c>
      <c r="AL19" s="3">
        <f t="shared" si="14"/>
        <v>0</v>
      </c>
      <c r="AM19" s="3">
        <f t="shared" si="14"/>
        <v>0</v>
      </c>
      <c r="AN19" s="3">
        <f t="shared" si="14"/>
        <v>0</v>
      </c>
      <c r="AO19" s="3">
        <f t="shared" si="14"/>
        <v>0</v>
      </c>
      <c r="AP19" s="3">
        <f t="shared" si="14"/>
        <v>0</v>
      </c>
      <c r="AQ19" s="4"/>
      <c r="AR19" s="4"/>
      <c r="AS19" s="101"/>
      <c r="AT19" s="131"/>
    </row>
    <row r="20" spans="1:46" s="13" customFormat="1" ht="25.5" customHeight="1">
      <c r="A20" s="116"/>
      <c r="B20" s="85"/>
      <c r="C20" s="101"/>
      <c r="D20" s="90"/>
      <c r="E20" s="15" t="s">
        <v>22</v>
      </c>
      <c r="F20" s="9">
        <f t="shared" si="12"/>
        <v>0</v>
      </c>
      <c r="G20" s="9">
        <v>0</v>
      </c>
      <c r="H20" s="4">
        <v>0</v>
      </c>
      <c r="I20" s="3">
        <f aca="true" t="shared" si="15" ref="I20:AP20">I21+I23+I24</f>
        <v>0</v>
      </c>
      <c r="J20" s="3">
        <f t="shared" si="15"/>
        <v>0</v>
      </c>
      <c r="K20" s="3">
        <f t="shared" si="15"/>
        <v>0</v>
      </c>
      <c r="L20" s="3">
        <f t="shared" si="15"/>
        <v>0</v>
      </c>
      <c r="M20" s="3">
        <f t="shared" si="15"/>
        <v>0</v>
      </c>
      <c r="N20" s="3">
        <f t="shared" si="15"/>
        <v>0</v>
      </c>
      <c r="O20" s="3">
        <f t="shared" si="15"/>
        <v>0</v>
      </c>
      <c r="P20" s="3">
        <f t="shared" si="15"/>
        <v>0</v>
      </c>
      <c r="Q20" s="3">
        <f t="shared" si="15"/>
        <v>0</v>
      </c>
      <c r="R20" s="3">
        <f t="shared" si="15"/>
        <v>0</v>
      </c>
      <c r="S20" s="3">
        <f t="shared" si="15"/>
        <v>0</v>
      </c>
      <c r="T20" s="3">
        <f t="shared" si="15"/>
        <v>0</v>
      </c>
      <c r="U20" s="3">
        <f t="shared" si="15"/>
        <v>0</v>
      </c>
      <c r="V20" s="3">
        <f t="shared" si="15"/>
        <v>0</v>
      </c>
      <c r="W20" s="3">
        <f t="shared" si="15"/>
        <v>0</v>
      </c>
      <c r="X20" s="3">
        <f t="shared" si="15"/>
        <v>0</v>
      </c>
      <c r="Y20" s="3">
        <f t="shared" si="15"/>
        <v>0</v>
      </c>
      <c r="Z20" s="3">
        <f t="shared" si="15"/>
        <v>0</v>
      </c>
      <c r="AA20" s="3">
        <f t="shared" si="15"/>
        <v>0</v>
      </c>
      <c r="AB20" s="3">
        <f t="shared" si="15"/>
        <v>0</v>
      </c>
      <c r="AC20" s="3">
        <f t="shared" si="15"/>
        <v>0</v>
      </c>
      <c r="AD20" s="3">
        <f t="shared" si="15"/>
        <v>0</v>
      </c>
      <c r="AE20" s="3">
        <f t="shared" si="15"/>
        <v>0</v>
      </c>
      <c r="AF20" s="3">
        <f t="shared" si="15"/>
        <v>0</v>
      </c>
      <c r="AG20" s="3">
        <f t="shared" si="15"/>
        <v>0</v>
      </c>
      <c r="AH20" s="3">
        <f t="shared" si="15"/>
        <v>0</v>
      </c>
      <c r="AI20" s="3">
        <f t="shared" si="15"/>
        <v>0</v>
      </c>
      <c r="AJ20" s="3">
        <f t="shared" si="15"/>
        <v>0</v>
      </c>
      <c r="AK20" s="3">
        <f t="shared" si="15"/>
        <v>0</v>
      </c>
      <c r="AL20" s="3">
        <f t="shared" si="15"/>
        <v>0</v>
      </c>
      <c r="AM20" s="3">
        <f t="shared" si="15"/>
        <v>0</v>
      </c>
      <c r="AN20" s="3">
        <f t="shared" si="15"/>
        <v>0</v>
      </c>
      <c r="AO20" s="3">
        <f t="shared" si="15"/>
        <v>0</v>
      </c>
      <c r="AP20" s="3">
        <f t="shared" si="15"/>
        <v>0</v>
      </c>
      <c r="AQ20" s="5"/>
      <c r="AR20" s="5"/>
      <c r="AS20" s="101"/>
      <c r="AT20" s="131"/>
    </row>
    <row r="21" spans="1:46" s="13" customFormat="1" ht="25.5" customHeight="1">
      <c r="A21" s="116"/>
      <c r="B21" s="85"/>
      <c r="C21" s="101"/>
      <c r="D21" s="90"/>
      <c r="E21" s="15" t="s">
        <v>23</v>
      </c>
      <c r="F21" s="9">
        <f t="shared" si="12"/>
        <v>0</v>
      </c>
      <c r="G21" s="9">
        <v>0</v>
      </c>
      <c r="H21" s="4">
        <v>0</v>
      </c>
      <c r="I21" s="3">
        <f aca="true" t="shared" si="16" ref="I21:AP21">I23+I24+I25</f>
        <v>0</v>
      </c>
      <c r="J21" s="3">
        <f t="shared" si="16"/>
        <v>0</v>
      </c>
      <c r="K21" s="3">
        <f t="shared" si="16"/>
        <v>0</v>
      </c>
      <c r="L21" s="3">
        <f t="shared" si="16"/>
        <v>0</v>
      </c>
      <c r="M21" s="3">
        <f t="shared" si="16"/>
        <v>0</v>
      </c>
      <c r="N21" s="3">
        <f t="shared" si="16"/>
        <v>0</v>
      </c>
      <c r="O21" s="3">
        <f t="shared" si="16"/>
        <v>0</v>
      </c>
      <c r="P21" s="3">
        <f t="shared" si="16"/>
        <v>0</v>
      </c>
      <c r="Q21" s="3">
        <f t="shared" si="16"/>
        <v>0</v>
      </c>
      <c r="R21" s="3">
        <f t="shared" si="16"/>
        <v>0</v>
      </c>
      <c r="S21" s="3">
        <f t="shared" si="16"/>
        <v>0</v>
      </c>
      <c r="T21" s="3">
        <f t="shared" si="16"/>
        <v>0</v>
      </c>
      <c r="U21" s="3">
        <f t="shared" si="16"/>
        <v>0</v>
      </c>
      <c r="V21" s="3">
        <f t="shared" si="16"/>
        <v>0</v>
      </c>
      <c r="W21" s="3">
        <f t="shared" si="16"/>
        <v>0</v>
      </c>
      <c r="X21" s="3">
        <f t="shared" si="16"/>
        <v>0</v>
      </c>
      <c r="Y21" s="3">
        <f t="shared" si="16"/>
        <v>0</v>
      </c>
      <c r="Z21" s="3">
        <f t="shared" si="16"/>
        <v>0</v>
      </c>
      <c r="AA21" s="3">
        <f t="shared" si="16"/>
        <v>0</v>
      </c>
      <c r="AB21" s="3">
        <f t="shared" si="16"/>
        <v>0</v>
      </c>
      <c r="AC21" s="3">
        <f t="shared" si="16"/>
        <v>0</v>
      </c>
      <c r="AD21" s="3">
        <f t="shared" si="16"/>
        <v>0</v>
      </c>
      <c r="AE21" s="3">
        <f t="shared" si="16"/>
        <v>0</v>
      </c>
      <c r="AF21" s="3">
        <f t="shared" si="16"/>
        <v>0</v>
      </c>
      <c r="AG21" s="3">
        <f t="shared" si="16"/>
        <v>0</v>
      </c>
      <c r="AH21" s="3">
        <f t="shared" si="16"/>
        <v>0</v>
      </c>
      <c r="AI21" s="3">
        <f t="shared" si="16"/>
        <v>0</v>
      </c>
      <c r="AJ21" s="3">
        <f t="shared" si="16"/>
        <v>0</v>
      </c>
      <c r="AK21" s="3">
        <f t="shared" si="16"/>
        <v>0</v>
      </c>
      <c r="AL21" s="3">
        <f t="shared" si="16"/>
        <v>0</v>
      </c>
      <c r="AM21" s="3">
        <f t="shared" si="16"/>
        <v>0</v>
      </c>
      <c r="AN21" s="3">
        <f t="shared" si="16"/>
        <v>0</v>
      </c>
      <c r="AO21" s="3">
        <f t="shared" si="16"/>
        <v>0</v>
      </c>
      <c r="AP21" s="3">
        <f t="shared" si="16"/>
        <v>0</v>
      </c>
      <c r="AQ21" s="5"/>
      <c r="AR21" s="5"/>
      <c r="AS21" s="102"/>
      <c r="AT21" s="132"/>
    </row>
    <row r="22" spans="1:46" s="13" customFormat="1" ht="42" customHeight="1">
      <c r="A22" s="117"/>
      <c r="B22" s="86"/>
      <c r="C22" s="102"/>
      <c r="D22" s="1"/>
      <c r="E22" s="15" t="s">
        <v>92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5"/>
      <c r="AR22" s="5"/>
      <c r="AS22" s="70"/>
      <c r="AT22" s="72"/>
    </row>
    <row r="23" spans="1:46" s="12" customFormat="1" ht="25.5" customHeight="1">
      <c r="A23" s="87" t="s">
        <v>42</v>
      </c>
      <c r="B23" s="84" t="s">
        <v>70</v>
      </c>
      <c r="C23" s="100" t="s">
        <v>40</v>
      </c>
      <c r="D23" s="90">
        <v>1</v>
      </c>
      <c r="E23" s="14" t="s">
        <v>20</v>
      </c>
      <c r="F23" s="9">
        <f t="shared" si="12"/>
        <v>0</v>
      </c>
      <c r="G23" s="9">
        <v>0</v>
      </c>
      <c r="H23" s="9">
        <v>0</v>
      </c>
      <c r="I23" s="2">
        <f>I24+I25+I26</f>
        <v>0</v>
      </c>
      <c r="J23" s="2">
        <v>0</v>
      </c>
      <c r="K23" s="2">
        <v>0</v>
      </c>
      <c r="L23" s="2">
        <f aca="true" t="shared" si="17" ref="L23:AO23">L24+L25+L26</f>
        <v>0</v>
      </c>
      <c r="M23" s="2">
        <f t="shared" si="17"/>
        <v>0</v>
      </c>
      <c r="N23" s="2">
        <v>0</v>
      </c>
      <c r="O23" s="2">
        <f t="shared" si="17"/>
        <v>0</v>
      </c>
      <c r="P23" s="2">
        <f t="shared" si="17"/>
        <v>0</v>
      </c>
      <c r="Q23" s="2">
        <v>0</v>
      </c>
      <c r="R23" s="60">
        <f t="shared" si="17"/>
        <v>0</v>
      </c>
      <c r="S23" s="2">
        <f t="shared" si="17"/>
        <v>0</v>
      </c>
      <c r="T23" s="2">
        <v>0</v>
      </c>
      <c r="U23" s="2">
        <f t="shared" si="17"/>
        <v>0</v>
      </c>
      <c r="V23" s="2">
        <f t="shared" si="17"/>
        <v>0</v>
      </c>
      <c r="W23" s="2">
        <v>0</v>
      </c>
      <c r="X23" s="2">
        <f t="shared" si="17"/>
        <v>0</v>
      </c>
      <c r="Y23" s="2">
        <f t="shared" si="17"/>
        <v>0</v>
      </c>
      <c r="Z23" s="2">
        <v>0</v>
      </c>
      <c r="AA23" s="2">
        <f t="shared" si="17"/>
        <v>0</v>
      </c>
      <c r="AB23" s="2">
        <f t="shared" si="17"/>
        <v>0</v>
      </c>
      <c r="AC23" s="2"/>
      <c r="AD23" s="2">
        <f t="shared" si="17"/>
        <v>0</v>
      </c>
      <c r="AE23" s="2">
        <f t="shared" si="17"/>
        <v>0</v>
      </c>
      <c r="AF23" s="2"/>
      <c r="AG23" s="2">
        <f t="shared" si="17"/>
        <v>0</v>
      </c>
      <c r="AH23" s="2">
        <f t="shared" si="17"/>
        <v>0</v>
      </c>
      <c r="AI23" s="2"/>
      <c r="AJ23" s="2">
        <f t="shared" si="17"/>
        <v>0</v>
      </c>
      <c r="AK23" s="2">
        <f t="shared" si="17"/>
        <v>0</v>
      </c>
      <c r="AL23" s="2">
        <f t="shared" si="17"/>
        <v>0</v>
      </c>
      <c r="AM23" s="2">
        <f t="shared" si="17"/>
        <v>0</v>
      </c>
      <c r="AN23" s="2">
        <f t="shared" si="17"/>
        <v>0</v>
      </c>
      <c r="AO23" s="2">
        <f t="shared" si="17"/>
        <v>0</v>
      </c>
      <c r="AP23" s="2">
        <v>0</v>
      </c>
      <c r="AQ23" s="17"/>
      <c r="AR23" s="17"/>
      <c r="AS23" s="100" t="s">
        <v>84</v>
      </c>
      <c r="AT23" s="136"/>
    </row>
    <row r="24" spans="1:46" s="12" customFormat="1" ht="25.5" customHeight="1">
      <c r="A24" s="88"/>
      <c r="B24" s="85"/>
      <c r="C24" s="101"/>
      <c r="D24" s="90"/>
      <c r="E24" s="15" t="s">
        <v>21</v>
      </c>
      <c r="F24" s="9">
        <f t="shared" si="12"/>
        <v>0</v>
      </c>
      <c r="G24" s="9">
        <v>0</v>
      </c>
      <c r="H24" s="9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17"/>
      <c r="AR24" s="17"/>
      <c r="AS24" s="101"/>
      <c r="AT24" s="137"/>
    </row>
    <row r="25" spans="1:46" s="13" customFormat="1" ht="25.5" customHeight="1">
      <c r="A25" s="88"/>
      <c r="B25" s="85"/>
      <c r="C25" s="101"/>
      <c r="D25" s="90"/>
      <c r="E25" s="15" t="s">
        <v>22</v>
      </c>
      <c r="F25" s="9">
        <f t="shared" si="12"/>
        <v>0</v>
      </c>
      <c r="G25" s="9">
        <v>0</v>
      </c>
      <c r="H25" s="9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16"/>
      <c r="AR25" s="16"/>
      <c r="AS25" s="101"/>
      <c r="AT25" s="137"/>
    </row>
    <row r="26" spans="1:46" s="13" customFormat="1" ht="25.5" customHeight="1">
      <c r="A26" s="88"/>
      <c r="B26" s="85"/>
      <c r="C26" s="101"/>
      <c r="D26" s="90"/>
      <c r="E26" s="15" t="s">
        <v>23</v>
      </c>
      <c r="F26" s="9">
        <f t="shared" si="12"/>
        <v>0</v>
      </c>
      <c r="G26" s="9">
        <v>0</v>
      </c>
      <c r="H26" s="9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7"/>
      <c r="AR26" s="7"/>
      <c r="AS26" s="102"/>
      <c r="AT26" s="138"/>
    </row>
    <row r="27" spans="1:46" s="13" customFormat="1" ht="39.75" customHeight="1">
      <c r="A27" s="89"/>
      <c r="B27" s="86"/>
      <c r="C27" s="102"/>
      <c r="D27" s="1"/>
      <c r="E27" s="15" t="s">
        <v>92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7"/>
      <c r="AR27" s="7"/>
      <c r="AS27" s="70"/>
      <c r="AT27" s="68"/>
    </row>
    <row r="28" spans="1:46" s="12" customFormat="1" ht="25.5" customHeight="1">
      <c r="A28" s="87" t="s">
        <v>43</v>
      </c>
      <c r="B28" s="84" t="s">
        <v>71</v>
      </c>
      <c r="C28" s="139" t="s">
        <v>44</v>
      </c>
      <c r="D28" s="90">
        <v>1</v>
      </c>
      <c r="E28" s="14" t="s">
        <v>20</v>
      </c>
      <c r="F28" s="9">
        <f t="shared" si="12"/>
        <v>5206.299999999999</v>
      </c>
      <c r="G28" s="9">
        <f t="shared" si="12"/>
        <v>1310.1</v>
      </c>
      <c r="H28" s="9">
        <f>G28/F28*100</f>
        <v>25.163743925628566</v>
      </c>
      <c r="I28" s="9">
        <f>I29+I30+I31</f>
        <v>0</v>
      </c>
      <c r="J28" s="9">
        <v>0</v>
      </c>
      <c r="K28" s="9">
        <v>0</v>
      </c>
      <c r="L28" s="9">
        <f aca="true" t="shared" si="18" ref="L28:AO28">L29+L30+L31</f>
        <v>0</v>
      </c>
      <c r="M28" s="9">
        <f t="shared" si="18"/>
        <v>0</v>
      </c>
      <c r="N28" s="9">
        <v>0</v>
      </c>
      <c r="O28" s="9">
        <f t="shared" si="18"/>
        <v>0</v>
      </c>
      <c r="P28" s="9">
        <f t="shared" si="18"/>
        <v>0</v>
      </c>
      <c r="Q28" s="9">
        <v>0</v>
      </c>
      <c r="R28" s="62">
        <f t="shared" si="18"/>
        <v>0</v>
      </c>
      <c r="S28" s="9">
        <f t="shared" si="18"/>
        <v>0</v>
      </c>
      <c r="T28" s="9">
        <v>0</v>
      </c>
      <c r="U28" s="9">
        <f t="shared" si="18"/>
        <v>0</v>
      </c>
      <c r="V28" s="9">
        <f t="shared" si="18"/>
        <v>0</v>
      </c>
      <c r="W28" s="9">
        <v>0</v>
      </c>
      <c r="X28" s="9">
        <f t="shared" si="18"/>
        <v>0</v>
      </c>
      <c r="Y28" s="9">
        <f t="shared" si="18"/>
        <v>0</v>
      </c>
      <c r="Z28" s="9">
        <v>0</v>
      </c>
      <c r="AA28" s="9">
        <f>AA29+AA30+AA31+AA32</f>
        <v>210</v>
      </c>
      <c r="AB28" s="9">
        <f>AB29+AB30+AB31+AB32</f>
        <v>210</v>
      </c>
      <c r="AC28" s="9">
        <f>AB28/AA28*100</f>
        <v>100</v>
      </c>
      <c r="AD28" s="9">
        <f>AD29+AD30+AD31+AD32</f>
        <v>473.8</v>
      </c>
      <c r="AE28" s="9">
        <f>AE29+AE30+AE31+AE32</f>
        <v>473.8</v>
      </c>
      <c r="AF28" s="9">
        <f>AE28/AD28*100</f>
        <v>100</v>
      </c>
      <c r="AG28" s="9">
        <f>AG29+AG30+AG31+AG32</f>
        <v>626.3</v>
      </c>
      <c r="AH28" s="9">
        <f>AH29+AH30+AH31+AH32</f>
        <v>626.3</v>
      </c>
      <c r="AI28" s="9">
        <f>AH28/AG28*100</f>
        <v>100</v>
      </c>
      <c r="AJ28" s="9">
        <f>AJ29+AJ30+AJ31+AJ32</f>
        <v>3896.2</v>
      </c>
      <c r="AK28" s="9">
        <f t="shared" si="18"/>
        <v>0</v>
      </c>
      <c r="AL28" s="9">
        <f t="shared" si="18"/>
        <v>0</v>
      </c>
      <c r="AM28" s="9">
        <f t="shared" si="18"/>
        <v>0</v>
      </c>
      <c r="AN28" s="9">
        <f t="shared" si="18"/>
        <v>0</v>
      </c>
      <c r="AO28" s="9">
        <f t="shared" si="18"/>
        <v>0</v>
      </c>
      <c r="AP28" s="9">
        <v>0</v>
      </c>
      <c r="AQ28" s="9"/>
      <c r="AR28" s="9"/>
      <c r="AS28" s="100" t="s">
        <v>101</v>
      </c>
      <c r="AT28" s="136" t="s">
        <v>94</v>
      </c>
    </row>
    <row r="29" spans="1:46" s="12" customFormat="1" ht="25.5" customHeight="1">
      <c r="A29" s="88"/>
      <c r="B29" s="85"/>
      <c r="C29" s="140"/>
      <c r="D29" s="90"/>
      <c r="E29" s="15" t="s">
        <v>21</v>
      </c>
      <c r="F29" s="9">
        <f t="shared" si="12"/>
        <v>0</v>
      </c>
      <c r="G29" s="9">
        <f t="shared" si="12"/>
        <v>0</v>
      </c>
      <c r="H29" s="9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5">
        <v>0</v>
      </c>
      <c r="P29" s="5">
        <v>0</v>
      </c>
      <c r="Q29" s="7">
        <v>0</v>
      </c>
      <c r="R29" s="63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9"/>
      <c r="AR29" s="9"/>
      <c r="AS29" s="101"/>
      <c r="AT29" s="137"/>
    </row>
    <row r="30" spans="1:46" s="13" customFormat="1" ht="25.5" customHeight="1">
      <c r="A30" s="88"/>
      <c r="B30" s="85"/>
      <c r="C30" s="140"/>
      <c r="D30" s="90"/>
      <c r="E30" s="15" t="s">
        <v>22</v>
      </c>
      <c r="F30" s="9">
        <f t="shared" si="12"/>
        <v>136.3</v>
      </c>
      <c r="G30" s="9">
        <f t="shared" si="12"/>
        <v>136.3</v>
      </c>
      <c r="H30" s="9">
        <f>G30/F30*100</f>
        <v>100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5">
        <v>0</v>
      </c>
      <c r="P30" s="5">
        <v>0</v>
      </c>
      <c r="Q30" s="7">
        <v>0</v>
      </c>
      <c r="R30" s="63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3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136.3</v>
      </c>
      <c r="AH30" s="7">
        <v>136.3</v>
      </c>
      <c r="AI30" s="7">
        <f>AH30/AG30*100</f>
        <v>100</v>
      </c>
      <c r="AJ30" s="7">
        <v>0</v>
      </c>
      <c r="AK30" s="7"/>
      <c r="AL30" s="7"/>
      <c r="AM30" s="7">
        <v>0</v>
      </c>
      <c r="AN30" s="7"/>
      <c r="AO30" s="7"/>
      <c r="AP30" s="7">
        <v>0</v>
      </c>
      <c r="AQ30" s="7"/>
      <c r="AR30" s="7"/>
      <c r="AS30" s="101"/>
      <c r="AT30" s="137"/>
    </row>
    <row r="31" spans="1:46" s="13" customFormat="1" ht="25.5" customHeight="1">
      <c r="A31" s="88"/>
      <c r="B31" s="85"/>
      <c r="C31" s="140"/>
      <c r="D31" s="90"/>
      <c r="E31" s="15" t="s">
        <v>23</v>
      </c>
      <c r="F31" s="9">
        <f t="shared" si="12"/>
        <v>0</v>
      </c>
      <c r="G31" s="9">
        <f t="shared" si="12"/>
        <v>0</v>
      </c>
      <c r="H31" s="9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7">
        <v>0</v>
      </c>
      <c r="R31" s="63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/>
      <c r="AL31" s="7"/>
      <c r="AM31" s="7">
        <v>0</v>
      </c>
      <c r="AN31" s="7"/>
      <c r="AO31" s="7"/>
      <c r="AP31" s="7">
        <v>0</v>
      </c>
      <c r="AQ31" s="7"/>
      <c r="AR31" s="7"/>
      <c r="AS31" s="101"/>
      <c r="AT31" s="137"/>
    </row>
    <row r="32" spans="1:46" s="13" customFormat="1" ht="39.75" customHeight="1">
      <c r="A32" s="89"/>
      <c r="B32" s="86"/>
      <c r="C32" s="141"/>
      <c r="D32" s="1"/>
      <c r="E32" s="15" t="s">
        <v>92</v>
      </c>
      <c r="F32" s="9">
        <f t="shared" si="12"/>
        <v>5070</v>
      </c>
      <c r="G32" s="9">
        <f t="shared" si="12"/>
        <v>1173.8</v>
      </c>
      <c r="H32" s="9">
        <f>G32/F32*100</f>
        <v>23.151873767258383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210</v>
      </c>
      <c r="AB32" s="7">
        <v>210</v>
      </c>
      <c r="AC32" s="7">
        <f>AB32/AA32*100</f>
        <v>100</v>
      </c>
      <c r="AD32" s="7">
        <v>473.8</v>
      </c>
      <c r="AE32" s="7">
        <v>473.8</v>
      </c>
      <c r="AF32" s="7">
        <f>AE32/AD32*100</f>
        <v>100</v>
      </c>
      <c r="AG32" s="7">
        <v>490</v>
      </c>
      <c r="AH32" s="7">
        <v>490</v>
      </c>
      <c r="AI32" s="7">
        <f>AH32/AG32*100</f>
        <v>100</v>
      </c>
      <c r="AJ32" s="7">
        <v>3896.2</v>
      </c>
      <c r="AK32" s="7"/>
      <c r="AL32" s="7"/>
      <c r="AM32" s="7">
        <v>0</v>
      </c>
      <c r="AN32" s="7"/>
      <c r="AO32" s="7"/>
      <c r="AP32" s="7">
        <v>0</v>
      </c>
      <c r="AQ32" s="7"/>
      <c r="AR32" s="7"/>
      <c r="AS32" s="102"/>
      <c r="AT32" s="138"/>
    </row>
    <row r="33" spans="1:46" s="12" customFormat="1" ht="25.5" customHeight="1">
      <c r="A33" s="87" t="s">
        <v>45</v>
      </c>
      <c r="B33" s="84" t="s">
        <v>72</v>
      </c>
      <c r="C33" s="100" t="s">
        <v>40</v>
      </c>
      <c r="D33" s="90">
        <v>1</v>
      </c>
      <c r="E33" s="14" t="s">
        <v>20</v>
      </c>
      <c r="F33" s="9">
        <f t="shared" si="12"/>
        <v>0</v>
      </c>
      <c r="G33" s="9">
        <v>0</v>
      </c>
      <c r="H33" s="9">
        <v>0</v>
      </c>
      <c r="I33" s="9">
        <f>I34+I35+I36</f>
        <v>0</v>
      </c>
      <c r="J33" s="9">
        <f aca="true" t="shared" si="19" ref="J33:AO33">J34+J35+J36</f>
        <v>0</v>
      </c>
      <c r="K33" s="9">
        <v>0</v>
      </c>
      <c r="L33" s="9">
        <f t="shared" si="19"/>
        <v>0</v>
      </c>
      <c r="M33" s="9">
        <f t="shared" si="19"/>
        <v>0</v>
      </c>
      <c r="N33" s="9">
        <v>0</v>
      </c>
      <c r="O33" s="9">
        <f t="shared" si="19"/>
        <v>0</v>
      </c>
      <c r="P33" s="9">
        <f t="shared" si="19"/>
        <v>0</v>
      </c>
      <c r="Q33" s="9">
        <v>0</v>
      </c>
      <c r="R33" s="62">
        <f t="shared" si="19"/>
        <v>0</v>
      </c>
      <c r="S33" s="9">
        <f t="shared" si="19"/>
        <v>0</v>
      </c>
      <c r="T33" s="9">
        <v>0</v>
      </c>
      <c r="U33" s="9">
        <f t="shared" si="19"/>
        <v>0</v>
      </c>
      <c r="V33" s="9">
        <f t="shared" si="19"/>
        <v>0</v>
      </c>
      <c r="W33" s="9">
        <v>0</v>
      </c>
      <c r="X33" s="9">
        <f t="shared" si="19"/>
        <v>0</v>
      </c>
      <c r="Y33" s="9">
        <f t="shared" si="19"/>
        <v>0</v>
      </c>
      <c r="Z33" s="9">
        <f t="shared" si="19"/>
        <v>0</v>
      </c>
      <c r="AA33" s="9">
        <f t="shared" si="19"/>
        <v>0</v>
      </c>
      <c r="AB33" s="9">
        <f t="shared" si="19"/>
        <v>0</v>
      </c>
      <c r="AC33" s="9"/>
      <c r="AD33" s="9">
        <f t="shared" si="19"/>
        <v>0</v>
      </c>
      <c r="AE33" s="9">
        <f t="shared" si="19"/>
        <v>0</v>
      </c>
      <c r="AF33" s="9"/>
      <c r="AG33" s="9">
        <f t="shared" si="19"/>
        <v>0</v>
      </c>
      <c r="AH33" s="9">
        <f t="shared" si="19"/>
        <v>0</v>
      </c>
      <c r="AI33" s="9"/>
      <c r="AJ33" s="9">
        <f t="shared" si="19"/>
        <v>0</v>
      </c>
      <c r="AK33" s="9">
        <f t="shared" si="19"/>
        <v>0</v>
      </c>
      <c r="AL33" s="9">
        <f t="shared" si="19"/>
        <v>0</v>
      </c>
      <c r="AM33" s="9">
        <f t="shared" si="19"/>
        <v>0</v>
      </c>
      <c r="AN33" s="9">
        <f t="shared" si="19"/>
        <v>0</v>
      </c>
      <c r="AO33" s="9">
        <f t="shared" si="19"/>
        <v>0</v>
      </c>
      <c r="AP33" s="9">
        <v>0</v>
      </c>
      <c r="AQ33" s="17"/>
      <c r="AR33" s="17"/>
      <c r="AS33" s="100" t="s">
        <v>84</v>
      </c>
      <c r="AT33" s="130"/>
    </row>
    <row r="34" spans="1:46" s="12" customFormat="1" ht="25.5" customHeight="1">
      <c r="A34" s="88"/>
      <c r="B34" s="85"/>
      <c r="C34" s="101"/>
      <c r="D34" s="90"/>
      <c r="E34" s="15" t="s">
        <v>21</v>
      </c>
      <c r="F34" s="9">
        <f t="shared" si="12"/>
        <v>0</v>
      </c>
      <c r="G34" s="9">
        <v>0</v>
      </c>
      <c r="H34" s="9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17"/>
      <c r="AR34" s="17"/>
      <c r="AS34" s="101"/>
      <c r="AT34" s="131"/>
    </row>
    <row r="35" spans="1:46" s="13" customFormat="1" ht="25.5" customHeight="1">
      <c r="A35" s="88"/>
      <c r="B35" s="85"/>
      <c r="C35" s="101"/>
      <c r="D35" s="90"/>
      <c r="E35" s="15" t="s">
        <v>22</v>
      </c>
      <c r="F35" s="9">
        <f t="shared" si="12"/>
        <v>0</v>
      </c>
      <c r="G35" s="9">
        <v>0</v>
      </c>
      <c r="H35" s="9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16"/>
      <c r="AR35" s="16"/>
      <c r="AS35" s="101"/>
      <c r="AT35" s="131"/>
    </row>
    <row r="36" spans="1:46" s="13" customFormat="1" ht="25.5" customHeight="1">
      <c r="A36" s="88"/>
      <c r="B36" s="85"/>
      <c r="C36" s="101"/>
      <c r="D36" s="90"/>
      <c r="E36" s="15" t="s">
        <v>23</v>
      </c>
      <c r="F36" s="9">
        <f t="shared" si="12"/>
        <v>0</v>
      </c>
      <c r="G36" s="9">
        <v>0</v>
      </c>
      <c r="H36" s="9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16"/>
      <c r="AR36" s="16"/>
      <c r="AS36" s="102"/>
      <c r="AT36" s="132"/>
    </row>
    <row r="37" spans="1:46" s="13" customFormat="1" ht="39" customHeight="1">
      <c r="A37" s="89"/>
      <c r="B37" s="86"/>
      <c r="C37" s="102"/>
      <c r="D37" s="1"/>
      <c r="E37" s="15" t="s">
        <v>92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70"/>
      <c r="AT37" s="72"/>
    </row>
    <row r="38" spans="1:46" s="12" customFormat="1" ht="41.25" customHeight="1">
      <c r="A38" s="83" t="s">
        <v>46</v>
      </c>
      <c r="B38" s="82" t="s">
        <v>73</v>
      </c>
      <c r="C38" s="90" t="s">
        <v>40</v>
      </c>
      <c r="D38" s="142" t="s">
        <v>39</v>
      </c>
      <c r="E38" s="14" t="s">
        <v>20</v>
      </c>
      <c r="F38" s="9">
        <f t="shared" si="12"/>
        <v>17056.2</v>
      </c>
      <c r="G38" s="9">
        <f t="shared" si="12"/>
        <v>17056.2</v>
      </c>
      <c r="H38" s="9">
        <f>G38/F38*100</f>
        <v>100</v>
      </c>
      <c r="I38" s="9">
        <f>I39+I40+I41</f>
        <v>0</v>
      </c>
      <c r="J38" s="9">
        <f aca="true" t="shared" si="20" ref="J38:AO38">J39+J40+J41</f>
        <v>0</v>
      </c>
      <c r="K38" s="9">
        <v>0</v>
      </c>
      <c r="L38" s="9">
        <f t="shared" si="20"/>
        <v>77.4</v>
      </c>
      <c r="M38" s="9">
        <f t="shared" si="20"/>
        <v>0</v>
      </c>
      <c r="N38" s="9">
        <f t="shared" si="20"/>
        <v>0</v>
      </c>
      <c r="O38" s="9">
        <f t="shared" si="20"/>
        <v>5038.5</v>
      </c>
      <c r="P38" s="9">
        <f>P39+P40+P41</f>
        <v>983</v>
      </c>
      <c r="Q38" s="9">
        <f>P38/O38*100</f>
        <v>19.50977473454401</v>
      </c>
      <c r="R38" s="62">
        <f t="shared" si="20"/>
        <v>0</v>
      </c>
      <c r="S38" s="9">
        <f t="shared" si="20"/>
        <v>0</v>
      </c>
      <c r="T38" s="9">
        <f t="shared" si="20"/>
        <v>0</v>
      </c>
      <c r="U38" s="9">
        <f>U39+U40+U41</f>
        <v>1334.3</v>
      </c>
      <c r="V38" s="9">
        <f t="shared" si="20"/>
        <v>5467.2</v>
      </c>
      <c r="W38" s="9">
        <f>V38/U38*100</f>
        <v>409.7429363711309</v>
      </c>
      <c r="X38" s="9">
        <f t="shared" si="20"/>
        <v>320.00000000000034</v>
      </c>
      <c r="Y38" s="9">
        <f t="shared" si="20"/>
        <v>320</v>
      </c>
      <c r="Z38" s="2">
        <f>Y38/X38*100</f>
        <v>99.99999999999989</v>
      </c>
      <c r="AA38" s="9">
        <f t="shared" si="20"/>
        <v>5928.6</v>
      </c>
      <c r="AB38" s="9">
        <f t="shared" si="20"/>
        <v>5928.6</v>
      </c>
      <c r="AC38" s="4">
        <f>AB38/AA38*100</f>
        <v>100</v>
      </c>
      <c r="AD38" s="9">
        <f t="shared" si="20"/>
        <v>4357.400000000001</v>
      </c>
      <c r="AE38" s="9">
        <f t="shared" si="20"/>
        <v>4357.400000000001</v>
      </c>
      <c r="AF38" s="9">
        <f t="shared" si="20"/>
        <v>0</v>
      </c>
      <c r="AG38" s="9">
        <f t="shared" si="20"/>
        <v>0</v>
      </c>
      <c r="AH38" s="9">
        <f t="shared" si="20"/>
        <v>0</v>
      </c>
      <c r="AI38" s="9">
        <v>0</v>
      </c>
      <c r="AJ38" s="9">
        <f t="shared" si="20"/>
        <v>0</v>
      </c>
      <c r="AK38" s="9">
        <f t="shared" si="20"/>
        <v>0</v>
      </c>
      <c r="AL38" s="9">
        <f t="shared" si="20"/>
        <v>0</v>
      </c>
      <c r="AM38" s="9">
        <f t="shared" si="20"/>
        <v>0</v>
      </c>
      <c r="AN38" s="9">
        <f t="shared" si="20"/>
        <v>0</v>
      </c>
      <c r="AO38" s="9">
        <f t="shared" si="20"/>
        <v>0</v>
      </c>
      <c r="AP38" s="9">
        <v>0</v>
      </c>
      <c r="AQ38" s="9"/>
      <c r="AR38" s="9"/>
      <c r="AS38" s="100" t="s">
        <v>102</v>
      </c>
      <c r="AT38" s="124" t="s">
        <v>95</v>
      </c>
    </row>
    <row r="39" spans="1:46" s="12" customFormat="1" ht="30" customHeight="1">
      <c r="A39" s="83"/>
      <c r="B39" s="82"/>
      <c r="C39" s="90"/>
      <c r="D39" s="142"/>
      <c r="E39" s="15" t="s">
        <v>21</v>
      </c>
      <c r="F39" s="9">
        <f t="shared" si="12"/>
        <v>6518.9</v>
      </c>
      <c r="G39" s="9">
        <f t="shared" si="12"/>
        <v>6518.9</v>
      </c>
      <c r="H39" s="9">
        <f>G39/F39*100</f>
        <v>100</v>
      </c>
      <c r="I39" s="5">
        <v>0</v>
      </c>
      <c r="J39" s="5">
        <v>0</v>
      </c>
      <c r="K39" s="5">
        <v>0</v>
      </c>
      <c r="L39" s="5">
        <f>0+29.6</f>
        <v>29.6</v>
      </c>
      <c r="M39" s="5">
        <v>0</v>
      </c>
      <c r="N39" s="5">
        <v>0</v>
      </c>
      <c r="O39" s="5">
        <f>156.7+1769</f>
        <v>1925.7</v>
      </c>
      <c r="P39" s="5">
        <f>375.7</f>
        <v>375.7</v>
      </c>
      <c r="Q39" s="5">
        <f>P39/O39*100</f>
        <v>19.50978864828374</v>
      </c>
      <c r="R39" s="5">
        <f>0+204.3-204.3</f>
        <v>0</v>
      </c>
      <c r="S39" s="5">
        <v>0</v>
      </c>
      <c r="T39" s="5">
        <v>0</v>
      </c>
      <c r="U39" s="5">
        <f>1944.1-1330-104.1</f>
        <v>509.9999999999999</v>
      </c>
      <c r="V39" s="5">
        <v>2089.6</v>
      </c>
      <c r="W39" s="5">
        <f>V39/U39*100</f>
        <v>409.72549019607845</v>
      </c>
      <c r="X39" s="5">
        <f>2470.4-73.7-2274.4</f>
        <v>122.30000000000018</v>
      </c>
      <c r="Y39" s="5">
        <v>122.3</v>
      </c>
      <c r="Z39" s="5">
        <f>Y39/X39*100</f>
        <v>99.99999999999984</v>
      </c>
      <c r="AA39" s="5">
        <f>1947.7-599.2+917.3+0.1</f>
        <v>2265.9</v>
      </c>
      <c r="AB39" s="5">
        <v>2265.9</v>
      </c>
      <c r="AC39" s="5">
        <f>AB39/AA39*100</f>
        <v>100</v>
      </c>
      <c r="AD39" s="5">
        <f>0+63.1-0.1+1602.4</f>
        <v>1665.4</v>
      </c>
      <c r="AE39" s="5">
        <v>1665.4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9"/>
      <c r="AR39" s="9"/>
      <c r="AS39" s="101"/>
      <c r="AT39" s="125"/>
    </row>
    <row r="40" spans="1:46" s="13" customFormat="1" ht="34.5" customHeight="1">
      <c r="A40" s="83"/>
      <c r="B40" s="82"/>
      <c r="C40" s="90"/>
      <c r="D40" s="142"/>
      <c r="E40" s="15" t="s">
        <v>22</v>
      </c>
      <c r="F40" s="9">
        <f>I40+L40+O40+R40+U40+X40+AA40+AD40+AG40+AJ40+AM40+AP40</f>
        <v>10196.2</v>
      </c>
      <c r="G40" s="9">
        <f>J40+M40+P40+S40+V40+Y40+AB40+AE40+AH40+AK40+AN40+AQ40</f>
        <v>10196.2</v>
      </c>
      <c r="H40" s="9">
        <f>G40/F40*100</f>
        <v>100</v>
      </c>
      <c r="I40" s="5">
        <v>0</v>
      </c>
      <c r="J40" s="5">
        <v>0</v>
      </c>
      <c r="K40" s="5">
        <v>0</v>
      </c>
      <c r="L40" s="5">
        <f>0+46.3</f>
        <v>46.3</v>
      </c>
      <c r="M40" s="5">
        <v>0</v>
      </c>
      <c r="N40" s="5">
        <v>0</v>
      </c>
      <c r="O40" s="5">
        <f>245.1+2766.9</f>
        <v>3012</v>
      </c>
      <c r="P40" s="5">
        <f>587.6</f>
        <v>587.6</v>
      </c>
      <c r="Q40" s="5">
        <f>P40/O40*100</f>
        <v>19.50863213811421</v>
      </c>
      <c r="R40" s="5">
        <f>0+319.5-319.5</f>
        <v>0</v>
      </c>
      <c r="S40" s="5">
        <v>0</v>
      </c>
      <c r="T40" s="5">
        <v>0</v>
      </c>
      <c r="U40" s="5">
        <f>3040.9-2080.4-162.8-0.1</f>
        <v>797.6</v>
      </c>
      <c r="V40" s="5">
        <v>3268.3</v>
      </c>
      <c r="W40" s="5">
        <f>V40/U40*100</f>
        <v>409.7668004012037</v>
      </c>
      <c r="X40" s="5">
        <f>3863.9-115.2-3557.4</f>
        <v>191.30000000000018</v>
      </c>
      <c r="Y40" s="5">
        <v>191.3</v>
      </c>
      <c r="Z40" s="5">
        <f>Y40/X40*100</f>
        <v>99.99999999999991</v>
      </c>
      <c r="AA40" s="5">
        <f>3046.3-937.1+1434.9</f>
        <v>3544.1000000000004</v>
      </c>
      <c r="AB40" s="5">
        <v>3544.1</v>
      </c>
      <c r="AC40" s="5">
        <f>AB40/AA40*100</f>
        <v>99.99999999999999</v>
      </c>
      <c r="AD40" s="5">
        <f>0+98.6+2506.3</f>
        <v>2604.9</v>
      </c>
      <c r="AE40" s="5">
        <v>2604.9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7"/>
      <c r="AR40" s="7"/>
      <c r="AS40" s="101"/>
      <c r="AT40" s="125"/>
    </row>
    <row r="41" spans="1:46" s="13" customFormat="1" ht="37.5" customHeight="1">
      <c r="A41" s="83"/>
      <c r="B41" s="82"/>
      <c r="C41" s="90"/>
      <c r="D41" s="142"/>
      <c r="E41" s="15" t="s">
        <v>23</v>
      </c>
      <c r="F41" s="9">
        <f>I41+L41+O41+R41+U41+X41+AA41+AD41+AG41+AJ41+AM41+AP41</f>
        <v>341.1</v>
      </c>
      <c r="G41" s="9">
        <f>J41+M41+P41+S41+V41+Y41+AB41+AE41+AH41+AK41+AN41+AQ41</f>
        <v>341.1</v>
      </c>
      <c r="H41" s="9">
        <f>G41/F41*100</f>
        <v>100</v>
      </c>
      <c r="I41" s="5">
        <v>0</v>
      </c>
      <c r="J41" s="5">
        <v>0</v>
      </c>
      <c r="K41" s="5">
        <v>0</v>
      </c>
      <c r="L41" s="5">
        <f>0+1.5</f>
        <v>1.5</v>
      </c>
      <c r="M41" s="5">
        <v>0</v>
      </c>
      <c r="N41" s="5">
        <v>0</v>
      </c>
      <c r="O41" s="5">
        <f>8.2+92.6</f>
        <v>100.8</v>
      </c>
      <c r="P41" s="5">
        <f>19.7</f>
        <v>19.7</v>
      </c>
      <c r="Q41" s="5">
        <f>P41/O41*100</f>
        <v>19.543650793650794</v>
      </c>
      <c r="R41" s="5">
        <f>0+10.7-10.7</f>
        <v>0</v>
      </c>
      <c r="S41" s="5">
        <v>0</v>
      </c>
      <c r="T41" s="5">
        <v>0</v>
      </c>
      <c r="U41" s="5">
        <f>101.7-69.6-5.5+0.1</f>
        <v>26.70000000000001</v>
      </c>
      <c r="V41" s="5">
        <v>109.3</v>
      </c>
      <c r="W41" s="5">
        <f>V41/U41*100</f>
        <v>409.3632958801496</v>
      </c>
      <c r="X41" s="5">
        <f>129.3-3.9-119</f>
        <v>6.400000000000006</v>
      </c>
      <c r="Y41" s="5">
        <v>6.4</v>
      </c>
      <c r="Z41" s="5">
        <f>Y41/X41*100</f>
        <v>99.99999999999991</v>
      </c>
      <c r="AA41" s="5">
        <f>101.9-31.3+48</f>
        <v>118.60000000000001</v>
      </c>
      <c r="AB41" s="5">
        <v>118.6</v>
      </c>
      <c r="AC41" s="5">
        <f>AB41/AA41*100</f>
        <v>99.99999999999999</v>
      </c>
      <c r="AD41" s="5">
        <f>0+3.3+83.8</f>
        <v>87.1</v>
      </c>
      <c r="AE41" s="5">
        <v>87.1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7"/>
      <c r="AR41" s="7"/>
      <c r="AS41" s="102"/>
      <c r="AT41" s="126"/>
    </row>
    <row r="42" spans="1:46" s="13" customFormat="1" ht="37.5" customHeight="1">
      <c r="A42" s="83"/>
      <c r="B42" s="82"/>
      <c r="C42" s="90"/>
      <c r="D42" s="77"/>
      <c r="E42" s="15" t="s">
        <v>92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7"/>
      <c r="AR42" s="7"/>
      <c r="AS42" s="71"/>
      <c r="AT42" s="75"/>
    </row>
    <row r="43" spans="1:46" s="35" customFormat="1" ht="25.5" customHeight="1">
      <c r="A43" s="112" t="s">
        <v>48</v>
      </c>
      <c r="B43" s="103" t="s">
        <v>35</v>
      </c>
      <c r="C43" s="104"/>
      <c r="D43" s="105"/>
      <c r="E43" s="14" t="s">
        <v>20</v>
      </c>
      <c r="F43" s="9">
        <f>I43+L43+O43+R43+U43+X43+AA43+AD43+AG43+AJ43+AM43+AP43</f>
        <v>2207.8</v>
      </c>
      <c r="G43" s="9">
        <f aca="true" t="shared" si="21" ref="G43:G50">J43+M43+P43+S43+V43+Y43+AB43+AE43+AH43+AK43+AN43+AQ43</f>
        <v>1716.1</v>
      </c>
      <c r="H43" s="9">
        <f>G43/F43*100</f>
        <v>77.72896095660838</v>
      </c>
      <c r="I43" s="9">
        <f aca="true" t="shared" si="22" ref="I43:P43">I48+I53</f>
        <v>0</v>
      </c>
      <c r="J43" s="9">
        <f t="shared" si="22"/>
        <v>0</v>
      </c>
      <c r="K43" s="9">
        <v>0</v>
      </c>
      <c r="L43" s="9">
        <f t="shared" si="22"/>
        <v>68.9</v>
      </c>
      <c r="M43" s="9">
        <f t="shared" si="22"/>
        <v>68.9</v>
      </c>
      <c r="N43" s="9">
        <f>M43/L43*100</f>
        <v>100</v>
      </c>
      <c r="O43" s="9">
        <f t="shared" si="22"/>
        <v>86.5</v>
      </c>
      <c r="P43" s="9">
        <f t="shared" si="22"/>
        <v>86.5</v>
      </c>
      <c r="Q43" s="9">
        <f>P43/O43*100</f>
        <v>100</v>
      </c>
      <c r="R43" s="62">
        <f aca="true" t="shared" si="23" ref="R43:S46">R48+R53</f>
        <v>812.7</v>
      </c>
      <c r="S43" s="9">
        <f t="shared" si="23"/>
        <v>812.7</v>
      </c>
      <c r="T43" s="9">
        <f>S43/R43*100</f>
        <v>100</v>
      </c>
      <c r="U43" s="9">
        <f aca="true" t="shared" si="24" ref="U43:V46">U48+U53</f>
        <v>402.6</v>
      </c>
      <c r="V43" s="9">
        <f t="shared" si="24"/>
        <v>362.7</v>
      </c>
      <c r="W43" s="9">
        <f>V43/U43*100</f>
        <v>90.08941877794337</v>
      </c>
      <c r="X43" s="9">
        <f aca="true" t="shared" si="25" ref="X43:Y46">X48+X53</f>
        <v>384.3</v>
      </c>
      <c r="Y43" s="9">
        <f t="shared" si="25"/>
        <v>384.3</v>
      </c>
      <c r="Z43" s="9">
        <f>Y43/X43*100</f>
        <v>100</v>
      </c>
      <c r="AA43" s="9">
        <f aca="true" t="shared" si="26" ref="AA43:AB46">AA48+AA53</f>
        <v>0</v>
      </c>
      <c r="AB43" s="9">
        <f t="shared" si="26"/>
        <v>0</v>
      </c>
      <c r="AC43" s="4">
        <v>0</v>
      </c>
      <c r="AD43" s="9">
        <f aca="true" t="shared" si="27" ref="AD43:AE46">AD48+AD53</f>
        <v>1</v>
      </c>
      <c r="AE43" s="9">
        <f t="shared" si="27"/>
        <v>1</v>
      </c>
      <c r="AF43" s="4">
        <f>AE43/AD43*100</f>
        <v>100</v>
      </c>
      <c r="AG43" s="9">
        <f aca="true" t="shared" si="28" ref="AG43:AH46">AG48+AG53</f>
        <v>142.8</v>
      </c>
      <c r="AH43" s="9">
        <f t="shared" si="28"/>
        <v>0</v>
      </c>
      <c r="AI43" s="4">
        <v>0</v>
      </c>
      <c r="AJ43" s="9">
        <f aca="true" t="shared" si="29" ref="AJ43:AR43">AJ48+AJ53</f>
        <v>62.3</v>
      </c>
      <c r="AK43" s="9">
        <f t="shared" si="29"/>
        <v>0</v>
      </c>
      <c r="AL43" s="9">
        <f t="shared" si="29"/>
        <v>0</v>
      </c>
      <c r="AM43" s="9">
        <f t="shared" si="29"/>
        <v>0</v>
      </c>
      <c r="AN43" s="9">
        <f t="shared" si="29"/>
        <v>0</v>
      </c>
      <c r="AO43" s="9">
        <f t="shared" si="29"/>
        <v>0</v>
      </c>
      <c r="AP43" s="9">
        <f t="shared" si="29"/>
        <v>246.70000000000005</v>
      </c>
      <c r="AQ43" s="9">
        <f t="shared" si="29"/>
        <v>0</v>
      </c>
      <c r="AR43" s="9">
        <f t="shared" si="29"/>
        <v>0</v>
      </c>
      <c r="AS43" s="9"/>
      <c r="AT43" s="9"/>
    </row>
    <row r="44" spans="1:46" s="35" customFormat="1" ht="25.5" customHeight="1">
      <c r="A44" s="113"/>
      <c r="B44" s="106"/>
      <c r="C44" s="107"/>
      <c r="D44" s="108"/>
      <c r="E44" s="36" t="s">
        <v>21</v>
      </c>
      <c r="F44" s="9">
        <f aca="true" t="shared" si="30" ref="F44:F55">I44+L44+O44+R44+U44+X44+AA44+AD44+AG44+AJ44+AM44+AP44</f>
        <v>0</v>
      </c>
      <c r="G44" s="9">
        <f t="shared" si="21"/>
        <v>0</v>
      </c>
      <c r="H44" s="9">
        <v>0</v>
      </c>
      <c r="I44" s="9">
        <f aca="true" t="shared" si="31" ref="I44:J46">I49+I54</f>
        <v>0</v>
      </c>
      <c r="J44" s="9">
        <f t="shared" si="31"/>
        <v>0</v>
      </c>
      <c r="K44" s="9">
        <v>0</v>
      </c>
      <c r="L44" s="9">
        <f aca="true" t="shared" si="32" ref="L44:M46">L49+L54</f>
        <v>0</v>
      </c>
      <c r="M44" s="9">
        <f t="shared" si="32"/>
        <v>0</v>
      </c>
      <c r="N44" s="9">
        <v>0</v>
      </c>
      <c r="O44" s="9">
        <f aca="true" t="shared" si="33" ref="O44:P46">O49+O54</f>
        <v>0</v>
      </c>
      <c r="P44" s="9">
        <f t="shared" si="33"/>
        <v>0</v>
      </c>
      <c r="Q44" s="9">
        <v>0</v>
      </c>
      <c r="R44" s="62">
        <f t="shared" si="23"/>
        <v>0</v>
      </c>
      <c r="S44" s="9">
        <f t="shared" si="23"/>
        <v>0</v>
      </c>
      <c r="T44" s="9">
        <v>0</v>
      </c>
      <c r="U44" s="9">
        <f t="shared" si="24"/>
        <v>0</v>
      </c>
      <c r="V44" s="9">
        <f t="shared" si="24"/>
        <v>0</v>
      </c>
      <c r="W44" s="9">
        <v>0</v>
      </c>
      <c r="X44" s="9">
        <f t="shared" si="25"/>
        <v>0</v>
      </c>
      <c r="Y44" s="9">
        <f t="shared" si="25"/>
        <v>0</v>
      </c>
      <c r="Z44" s="9">
        <v>0</v>
      </c>
      <c r="AA44" s="9">
        <f t="shared" si="26"/>
        <v>0</v>
      </c>
      <c r="AB44" s="9">
        <f t="shared" si="26"/>
        <v>0</v>
      </c>
      <c r="AC44" s="9">
        <v>0</v>
      </c>
      <c r="AD44" s="9">
        <f t="shared" si="27"/>
        <v>0</v>
      </c>
      <c r="AE44" s="9">
        <f t="shared" si="27"/>
        <v>0</v>
      </c>
      <c r="AF44" s="9">
        <v>0</v>
      </c>
      <c r="AG44" s="9">
        <f t="shared" si="28"/>
        <v>0</v>
      </c>
      <c r="AH44" s="9">
        <f t="shared" si="28"/>
        <v>0</v>
      </c>
      <c r="AI44" s="9">
        <v>0</v>
      </c>
      <c r="AJ44" s="9">
        <f aca="true" t="shared" si="34" ref="AJ44:AP46">AJ49+AJ54</f>
        <v>0</v>
      </c>
      <c r="AK44" s="9">
        <f t="shared" si="34"/>
        <v>0</v>
      </c>
      <c r="AL44" s="9">
        <f t="shared" si="34"/>
        <v>0</v>
      </c>
      <c r="AM44" s="9">
        <f t="shared" si="34"/>
        <v>0</v>
      </c>
      <c r="AN44" s="9">
        <f t="shared" si="34"/>
        <v>0</v>
      </c>
      <c r="AO44" s="9">
        <f t="shared" si="34"/>
        <v>0</v>
      </c>
      <c r="AP44" s="9">
        <f t="shared" si="34"/>
        <v>0</v>
      </c>
      <c r="AQ44" s="37"/>
      <c r="AR44" s="37"/>
      <c r="AS44" s="38"/>
      <c r="AT44" s="38"/>
    </row>
    <row r="45" spans="1:46" s="35" customFormat="1" ht="25.5" customHeight="1">
      <c r="A45" s="113"/>
      <c r="B45" s="106"/>
      <c r="C45" s="107"/>
      <c r="D45" s="108"/>
      <c r="E45" s="36" t="s">
        <v>22</v>
      </c>
      <c r="F45" s="9">
        <f t="shared" si="30"/>
        <v>55</v>
      </c>
      <c r="G45" s="9">
        <f t="shared" si="21"/>
        <v>55</v>
      </c>
      <c r="H45" s="9">
        <v>0</v>
      </c>
      <c r="I45" s="9">
        <f t="shared" si="31"/>
        <v>0</v>
      </c>
      <c r="J45" s="9">
        <f t="shared" si="31"/>
        <v>0</v>
      </c>
      <c r="K45" s="9">
        <v>0</v>
      </c>
      <c r="L45" s="9">
        <f t="shared" si="32"/>
        <v>0</v>
      </c>
      <c r="M45" s="9">
        <f t="shared" si="32"/>
        <v>0</v>
      </c>
      <c r="N45" s="9">
        <v>0</v>
      </c>
      <c r="O45" s="9">
        <f t="shared" si="33"/>
        <v>0</v>
      </c>
      <c r="P45" s="9">
        <f t="shared" si="33"/>
        <v>0</v>
      </c>
      <c r="Q45" s="9">
        <v>0</v>
      </c>
      <c r="R45" s="62">
        <f t="shared" si="23"/>
        <v>0</v>
      </c>
      <c r="S45" s="9">
        <f t="shared" si="23"/>
        <v>0</v>
      </c>
      <c r="T45" s="9">
        <v>0</v>
      </c>
      <c r="U45" s="9">
        <f t="shared" si="24"/>
        <v>0</v>
      </c>
      <c r="V45" s="9">
        <f t="shared" si="24"/>
        <v>0</v>
      </c>
      <c r="W45" s="9">
        <v>0</v>
      </c>
      <c r="X45" s="9">
        <f t="shared" si="25"/>
        <v>55</v>
      </c>
      <c r="Y45" s="9">
        <f t="shared" si="25"/>
        <v>55</v>
      </c>
      <c r="Z45" s="9">
        <f>Y45/X45*100</f>
        <v>100</v>
      </c>
      <c r="AA45" s="9">
        <f t="shared" si="26"/>
        <v>0</v>
      </c>
      <c r="AB45" s="9">
        <f t="shared" si="26"/>
        <v>0</v>
      </c>
      <c r="AC45" s="9">
        <v>0</v>
      </c>
      <c r="AD45" s="9">
        <f t="shared" si="27"/>
        <v>0</v>
      </c>
      <c r="AE45" s="9">
        <f t="shared" si="27"/>
        <v>0</v>
      </c>
      <c r="AF45" s="9">
        <v>0</v>
      </c>
      <c r="AG45" s="9">
        <f t="shared" si="28"/>
        <v>0</v>
      </c>
      <c r="AH45" s="9">
        <f t="shared" si="28"/>
        <v>0</v>
      </c>
      <c r="AI45" s="9">
        <v>0</v>
      </c>
      <c r="AJ45" s="9">
        <f t="shared" si="34"/>
        <v>0</v>
      </c>
      <c r="AK45" s="9">
        <f t="shared" si="34"/>
        <v>0</v>
      </c>
      <c r="AL45" s="9">
        <f t="shared" si="34"/>
        <v>0</v>
      </c>
      <c r="AM45" s="9">
        <f t="shared" si="34"/>
        <v>0</v>
      </c>
      <c r="AN45" s="9">
        <f t="shared" si="34"/>
        <v>0</v>
      </c>
      <c r="AO45" s="9">
        <f t="shared" si="34"/>
        <v>0</v>
      </c>
      <c r="AP45" s="9">
        <f t="shared" si="34"/>
        <v>0</v>
      </c>
      <c r="AQ45" s="37"/>
      <c r="AR45" s="37"/>
      <c r="AS45" s="38"/>
      <c r="AT45" s="38"/>
    </row>
    <row r="46" spans="1:46" s="35" customFormat="1" ht="25.5" customHeight="1">
      <c r="A46" s="113"/>
      <c r="B46" s="106"/>
      <c r="C46" s="107"/>
      <c r="D46" s="108"/>
      <c r="E46" s="36" t="s">
        <v>23</v>
      </c>
      <c r="F46" s="9">
        <f t="shared" si="30"/>
        <v>2152.8</v>
      </c>
      <c r="G46" s="9">
        <f t="shared" si="21"/>
        <v>1661.1</v>
      </c>
      <c r="H46" s="9">
        <f>G46/F46*100</f>
        <v>77.15997770345595</v>
      </c>
      <c r="I46" s="9">
        <f t="shared" si="31"/>
        <v>0</v>
      </c>
      <c r="J46" s="9">
        <f t="shared" si="31"/>
        <v>0</v>
      </c>
      <c r="K46" s="9">
        <v>0</v>
      </c>
      <c r="L46" s="9">
        <f t="shared" si="32"/>
        <v>68.9</v>
      </c>
      <c r="M46" s="9">
        <f t="shared" si="32"/>
        <v>68.9</v>
      </c>
      <c r="N46" s="9">
        <f>M46/L46*100</f>
        <v>100</v>
      </c>
      <c r="O46" s="9">
        <f t="shared" si="33"/>
        <v>86.5</v>
      </c>
      <c r="P46" s="9">
        <f t="shared" si="33"/>
        <v>86.5</v>
      </c>
      <c r="Q46" s="9">
        <f>P46/O46*100</f>
        <v>100</v>
      </c>
      <c r="R46" s="62">
        <f t="shared" si="23"/>
        <v>812.7</v>
      </c>
      <c r="S46" s="9">
        <f t="shared" si="23"/>
        <v>812.7</v>
      </c>
      <c r="T46" s="9">
        <f>S46/R46*100</f>
        <v>100</v>
      </c>
      <c r="U46" s="9">
        <f t="shared" si="24"/>
        <v>402.6</v>
      </c>
      <c r="V46" s="9">
        <f t="shared" si="24"/>
        <v>362.7</v>
      </c>
      <c r="W46" s="9">
        <f>V46/U46*100</f>
        <v>90.08941877794337</v>
      </c>
      <c r="X46" s="9">
        <f t="shared" si="25"/>
        <v>329.3</v>
      </c>
      <c r="Y46" s="9">
        <f t="shared" si="25"/>
        <v>329.3</v>
      </c>
      <c r="Z46" s="9">
        <f>Y46/X46*100</f>
        <v>100</v>
      </c>
      <c r="AA46" s="9">
        <f t="shared" si="26"/>
        <v>0</v>
      </c>
      <c r="AB46" s="9">
        <f t="shared" si="26"/>
        <v>0</v>
      </c>
      <c r="AC46" s="9">
        <v>0</v>
      </c>
      <c r="AD46" s="9">
        <f t="shared" si="27"/>
        <v>1</v>
      </c>
      <c r="AE46" s="9">
        <f t="shared" si="27"/>
        <v>1</v>
      </c>
      <c r="AF46" s="4">
        <f>AE46/AD46*100</f>
        <v>100</v>
      </c>
      <c r="AG46" s="9">
        <f t="shared" si="28"/>
        <v>142.8</v>
      </c>
      <c r="AH46" s="9">
        <f t="shared" si="28"/>
        <v>0</v>
      </c>
      <c r="AI46" s="4">
        <v>0</v>
      </c>
      <c r="AJ46" s="9">
        <f t="shared" si="34"/>
        <v>62.3</v>
      </c>
      <c r="AK46" s="9">
        <f t="shared" si="34"/>
        <v>0</v>
      </c>
      <c r="AL46" s="9">
        <f t="shared" si="34"/>
        <v>0</v>
      </c>
      <c r="AM46" s="9">
        <f t="shared" si="34"/>
        <v>0</v>
      </c>
      <c r="AN46" s="9">
        <f t="shared" si="34"/>
        <v>0</v>
      </c>
      <c r="AO46" s="9">
        <f t="shared" si="34"/>
        <v>0</v>
      </c>
      <c r="AP46" s="9">
        <f t="shared" si="34"/>
        <v>246.70000000000005</v>
      </c>
      <c r="AQ46" s="37"/>
      <c r="AR46" s="37"/>
      <c r="AS46" s="38"/>
      <c r="AT46" s="38"/>
    </row>
    <row r="47" spans="1:46" s="35" customFormat="1" ht="44.25" customHeight="1">
      <c r="A47" s="114"/>
      <c r="B47" s="109"/>
      <c r="C47" s="110"/>
      <c r="D47" s="111"/>
      <c r="E47" s="36" t="s">
        <v>92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37"/>
      <c r="AR47" s="37"/>
      <c r="AS47" s="79"/>
      <c r="AT47" s="79"/>
    </row>
    <row r="48" spans="1:46" s="12" customFormat="1" ht="41.25" customHeight="1">
      <c r="A48" s="87" t="s">
        <v>49</v>
      </c>
      <c r="B48" s="84" t="s">
        <v>74</v>
      </c>
      <c r="C48" s="100" t="s">
        <v>40</v>
      </c>
      <c r="D48" s="90">
        <v>3</v>
      </c>
      <c r="E48" s="14" t="s">
        <v>20</v>
      </c>
      <c r="F48" s="9">
        <f t="shared" si="30"/>
        <v>2036.8</v>
      </c>
      <c r="G48" s="9">
        <f t="shared" si="21"/>
        <v>1545.1</v>
      </c>
      <c r="H48" s="6">
        <f>G48/F48*100</f>
        <v>75.85919088766693</v>
      </c>
      <c r="I48" s="4">
        <f>I49+I50+I51</f>
        <v>0</v>
      </c>
      <c r="J48" s="4">
        <f>J49+J50+J51</f>
        <v>0</v>
      </c>
      <c r="K48" s="4">
        <v>0</v>
      </c>
      <c r="L48" s="4">
        <f>L49+L50+L51</f>
        <v>68.9</v>
      </c>
      <c r="M48" s="4">
        <f>M49+M50+M51</f>
        <v>68.9</v>
      </c>
      <c r="N48" s="4">
        <f>M48/L48*100</f>
        <v>100</v>
      </c>
      <c r="O48" s="4">
        <f>O49+O50+O51</f>
        <v>86.5</v>
      </c>
      <c r="P48" s="4">
        <f aca="true" t="shared" si="35" ref="P48:AP48">P49+P50+P51</f>
        <v>86.5</v>
      </c>
      <c r="Q48" s="4">
        <f>P48/O48*100</f>
        <v>100</v>
      </c>
      <c r="R48" s="64">
        <f t="shared" si="35"/>
        <v>696.7</v>
      </c>
      <c r="S48" s="4">
        <f t="shared" si="35"/>
        <v>696.7</v>
      </c>
      <c r="T48" s="4">
        <f>S48/R48*100</f>
        <v>100</v>
      </c>
      <c r="U48" s="4">
        <f t="shared" si="35"/>
        <v>402.6</v>
      </c>
      <c r="V48" s="4">
        <f t="shared" si="35"/>
        <v>362.7</v>
      </c>
      <c r="W48" s="4">
        <f>V48/U48*100</f>
        <v>90.08941877794337</v>
      </c>
      <c r="X48" s="4">
        <f t="shared" si="35"/>
        <v>329.3</v>
      </c>
      <c r="Y48" s="4">
        <f t="shared" si="35"/>
        <v>329.3</v>
      </c>
      <c r="Z48" s="4">
        <f>Y48/X48*100</f>
        <v>100</v>
      </c>
      <c r="AA48" s="4">
        <f t="shared" si="35"/>
        <v>0</v>
      </c>
      <c r="AB48" s="4">
        <f t="shared" si="35"/>
        <v>0</v>
      </c>
      <c r="AC48" s="4" t="e">
        <f>AB48/AA48*100</f>
        <v>#DIV/0!</v>
      </c>
      <c r="AD48" s="4">
        <f t="shared" si="35"/>
        <v>1</v>
      </c>
      <c r="AE48" s="4">
        <f t="shared" si="35"/>
        <v>1</v>
      </c>
      <c r="AF48" s="4">
        <f>AE48/AD48*100</f>
        <v>100</v>
      </c>
      <c r="AG48" s="4">
        <f t="shared" si="35"/>
        <v>142.8</v>
      </c>
      <c r="AH48" s="4">
        <f t="shared" si="35"/>
        <v>0</v>
      </c>
      <c r="AI48" s="4">
        <v>0</v>
      </c>
      <c r="AJ48" s="4">
        <f t="shared" si="35"/>
        <v>62.3</v>
      </c>
      <c r="AK48" s="4">
        <f t="shared" si="35"/>
        <v>0</v>
      </c>
      <c r="AL48" s="4">
        <f t="shared" si="35"/>
        <v>0</v>
      </c>
      <c r="AM48" s="4">
        <f t="shared" si="35"/>
        <v>0</v>
      </c>
      <c r="AN48" s="4">
        <f t="shared" si="35"/>
        <v>0</v>
      </c>
      <c r="AO48" s="4">
        <f t="shared" si="35"/>
        <v>0</v>
      </c>
      <c r="AP48" s="4">
        <f t="shared" si="35"/>
        <v>246.70000000000005</v>
      </c>
      <c r="AQ48" s="4"/>
      <c r="AR48" s="4"/>
      <c r="AS48" s="100" t="s">
        <v>103</v>
      </c>
      <c r="AT48" s="100" t="s">
        <v>104</v>
      </c>
    </row>
    <row r="49" spans="1:46" s="12" customFormat="1" ht="48" customHeight="1">
      <c r="A49" s="88"/>
      <c r="B49" s="85"/>
      <c r="C49" s="101"/>
      <c r="D49" s="90"/>
      <c r="E49" s="15" t="s">
        <v>21</v>
      </c>
      <c r="F49" s="9">
        <f t="shared" si="30"/>
        <v>0</v>
      </c>
      <c r="G49" s="9">
        <f t="shared" si="21"/>
        <v>0</v>
      </c>
      <c r="H49" s="6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4"/>
      <c r="AR49" s="4"/>
      <c r="AS49" s="101"/>
      <c r="AT49" s="101"/>
    </row>
    <row r="50" spans="1:46" s="13" customFormat="1" ht="33.75" customHeight="1">
      <c r="A50" s="88"/>
      <c r="B50" s="85"/>
      <c r="C50" s="101"/>
      <c r="D50" s="90"/>
      <c r="E50" s="15" t="s">
        <v>22</v>
      </c>
      <c r="F50" s="9">
        <f t="shared" si="30"/>
        <v>0</v>
      </c>
      <c r="G50" s="9">
        <f t="shared" si="21"/>
        <v>0</v>
      </c>
      <c r="H50" s="6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/>
      <c r="AL50" s="5"/>
      <c r="AM50" s="5">
        <v>0</v>
      </c>
      <c r="AN50" s="5"/>
      <c r="AO50" s="5"/>
      <c r="AP50" s="5">
        <v>0</v>
      </c>
      <c r="AQ50" s="5"/>
      <c r="AR50" s="5"/>
      <c r="AS50" s="101"/>
      <c r="AT50" s="101"/>
    </row>
    <row r="51" spans="1:46" s="13" customFormat="1" ht="46.5" customHeight="1">
      <c r="A51" s="88"/>
      <c r="B51" s="85"/>
      <c r="C51" s="101"/>
      <c r="D51" s="90"/>
      <c r="E51" s="15" t="s">
        <v>23</v>
      </c>
      <c r="F51" s="9">
        <f>I51+L51+O51+R51+U51+X51+AA51+AD51+AG51+AJ51+AM51+AP51</f>
        <v>2036.8</v>
      </c>
      <c r="G51" s="9">
        <f>J51+M51+P51+S51+V51+Y51+AB51+AE51+AH51+AK51+AN51+AQ51</f>
        <v>1545.1</v>
      </c>
      <c r="H51" s="6">
        <f>G51/F51*100</f>
        <v>75.85919088766693</v>
      </c>
      <c r="I51" s="5">
        <v>0</v>
      </c>
      <c r="J51" s="5">
        <v>0</v>
      </c>
      <c r="K51" s="5">
        <v>0</v>
      </c>
      <c r="L51" s="5">
        <v>68.9</v>
      </c>
      <c r="M51" s="5">
        <v>68.9</v>
      </c>
      <c r="N51" s="5">
        <f>M51/L51*100</f>
        <v>100</v>
      </c>
      <c r="O51" s="5">
        <v>86.5</v>
      </c>
      <c r="P51" s="5">
        <v>86.5</v>
      </c>
      <c r="Q51" s="5">
        <f>P51/O51*100</f>
        <v>100</v>
      </c>
      <c r="R51" s="65">
        <f>186.7+510</f>
        <v>696.7</v>
      </c>
      <c r="S51" s="5">
        <v>696.7</v>
      </c>
      <c r="T51" s="5">
        <f>S51/R51*100</f>
        <v>100</v>
      </c>
      <c r="U51" s="5">
        <f>39.9+190.1+172.6</f>
        <v>402.6</v>
      </c>
      <c r="V51" s="5">
        <v>362.7</v>
      </c>
      <c r="W51" s="5">
        <f>V51/U51*100</f>
        <v>90.08941877794337</v>
      </c>
      <c r="X51" s="5">
        <f>50+16+263.3</f>
        <v>329.3</v>
      </c>
      <c r="Y51" s="5">
        <v>329.3</v>
      </c>
      <c r="Z51" s="5">
        <f>Y51/X51*100</f>
        <v>100</v>
      </c>
      <c r="AA51" s="5">
        <v>0</v>
      </c>
      <c r="AB51" s="5">
        <v>0</v>
      </c>
      <c r="AC51" s="5">
        <v>0</v>
      </c>
      <c r="AD51" s="5">
        <v>1</v>
      </c>
      <c r="AE51" s="5">
        <v>1</v>
      </c>
      <c r="AF51" s="5">
        <f>AE51/AD51*100</f>
        <v>100</v>
      </c>
      <c r="AG51" s="5">
        <v>142.8</v>
      </c>
      <c r="AH51" s="5">
        <v>0</v>
      </c>
      <c r="AI51" s="5">
        <v>0</v>
      </c>
      <c r="AJ51" s="5">
        <v>62.3</v>
      </c>
      <c r="AK51" s="5"/>
      <c r="AL51" s="5"/>
      <c r="AM51" s="5">
        <f>682.6-510-172.6</f>
        <v>0</v>
      </c>
      <c r="AN51" s="5"/>
      <c r="AO51" s="5"/>
      <c r="AP51" s="5">
        <f>0+2000-263.3-1490</f>
        <v>246.70000000000005</v>
      </c>
      <c r="AQ51" s="5"/>
      <c r="AR51" s="5"/>
      <c r="AS51" s="102"/>
      <c r="AT51" s="102"/>
    </row>
    <row r="52" spans="1:46" s="13" customFormat="1" ht="46.5" customHeight="1">
      <c r="A52" s="89"/>
      <c r="B52" s="86"/>
      <c r="C52" s="102"/>
      <c r="D52" s="1"/>
      <c r="E52" s="15" t="s">
        <v>92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5"/>
      <c r="AR52" s="5"/>
      <c r="AS52" s="70"/>
      <c r="AT52" s="70"/>
    </row>
    <row r="53" spans="1:46" s="12" customFormat="1" ht="25.5" customHeight="1">
      <c r="A53" s="83" t="s">
        <v>50</v>
      </c>
      <c r="B53" s="82" t="s">
        <v>75</v>
      </c>
      <c r="C53" s="90" t="s">
        <v>40</v>
      </c>
      <c r="D53" s="90">
        <v>3</v>
      </c>
      <c r="E53" s="14" t="s">
        <v>20</v>
      </c>
      <c r="F53" s="9">
        <f t="shared" si="30"/>
        <v>171</v>
      </c>
      <c r="G53" s="9">
        <f>J53+M53+P53+S53+V53+Y53+AB53+AE53+AH53+AK53+AN53+AQ53</f>
        <v>171</v>
      </c>
      <c r="H53" s="6">
        <f>G53/F53*100</f>
        <v>100</v>
      </c>
      <c r="I53" s="4">
        <f aca="true" t="shared" si="36" ref="I53:AP53">I54+I55+I56</f>
        <v>0</v>
      </c>
      <c r="J53" s="4">
        <f t="shared" si="36"/>
        <v>0</v>
      </c>
      <c r="K53" s="4">
        <v>0</v>
      </c>
      <c r="L53" s="4">
        <f t="shared" si="36"/>
        <v>0</v>
      </c>
      <c r="M53" s="4">
        <f t="shared" si="36"/>
        <v>0</v>
      </c>
      <c r="N53" s="4">
        <v>0</v>
      </c>
      <c r="O53" s="4">
        <f t="shared" si="36"/>
        <v>0</v>
      </c>
      <c r="P53" s="4">
        <f t="shared" si="36"/>
        <v>0</v>
      </c>
      <c r="Q53" s="4">
        <v>0</v>
      </c>
      <c r="R53" s="64">
        <f t="shared" si="36"/>
        <v>116</v>
      </c>
      <c r="S53" s="4">
        <f t="shared" si="36"/>
        <v>116</v>
      </c>
      <c r="T53" s="4">
        <f>S53/R53*100</f>
        <v>100</v>
      </c>
      <c r="U53" s="4">
        <f t="shared" si="36"/>
        <v>0</v>
      </c>
      <c r="V53" s="4">
        <f t="shared" si="36"/>
        <v>0</v>
      </c>
      <c r="W53" s="4">
        <v>0</v>
      </c>
      <c r="X53" s="4">
        <f t="shared" si="36"/>
        <v>55</v>
      </c>
      <c r="Y53" s="4">
        <f t="shared" si="36"/>
        <v>55</v>
      </c>
      <c r="Z53" s="4">
        <f>Y53/X53*100</f>
        <v>100</v>
      </c>
      <c r="AA53" s="4">
        <f t="shared" si="36"/>
        <v>0</v>
      </c>
      <c r="AB53" s="4">
        <f t="shared" si="36"/>
        <v>0</v>
      </c>
      <c r="AC53" s="4">
        <v>0</v>
      </c>
      <c r="AD53" s="4">
        <f t="shared" si="36"/>
        <v>0</v>
      </c>
      <c r="AE53" s="4">
        <f t="shared" si="36"/>
        <v>0</v>
      </c>
      <c r="AF53" s="4">
        <v>0</v>
      </c>
      <c r="AG53" s="4">
        <f t="shared" si="36"/>
        <v>0</v>
      </c>
      <c r="AH53" s="4">
        <f t="shared" si="36"/>
        <v>0</v>
      </c>
      <c r="AI53" s="4">
        <v>0</v>
      </c>
      <c r="AJ53" s="4">
        <f t="shared" si="36"/>
        <v>0</v>
      </c>
      <c r="AK53" s="4">
        <f t="shared" si="36"/>
        <v>0</v>
      </c>
      <c r="AL53" s="4">
        <f t="shared" si="36"/>
        <v>0</v>
      </c>
      <c r="AM53" s="4">
        <f t="shared" si="36"/>
        <v>0</v>
      </c>
      <c r="AN53" s="4">
        <f t="shared" si="36"/>
        <v>0</v>
      </c>
      <c r="AO53" s="4">
        <f t="shared" si="36"/>
        <v>0</v>
      </c>
      <c r="AP53" s="4">
        <f t="shared" si="36"/>
        <v>0</v>
      </c>
      <c r="AQ53" s="4"/>
      <c r="AR53" s="4"/>
      <c r="AS53" s="100" t="s">
        <v>85</v>
      </c>
      <c r="AT53" s="124" t="s">
        <v>95</v>
      </c>
    </row>
    <row r="54" spans="1:46" s="12" customFormat="1" ht="25.5" customHeight="1">
      <c r="A54" s="83"/>
      <c r="B54" s="82"/>
      <c r="C54" s="90"/>
      <c r="D54" s="90"/>
      <c r="E54" s="15" t="s">
        <v>21</v>
      </c>
      <c r="F54" s="9">
        <f t="shared" si="30"/>
        <v>0</v>
      </c>
      <c r="G54" s="9">
        <f>J54+M54+P54+S54+V54+Y54+AB54+AE54+AH54+AK54+AN54+AQ54</f>
        <v>0</v>
      </c>
      <c r="H54" s="6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4"/>
      <c r="AL54" s="4"/>
      <c r="AM54" s="4">
        <v>0</v>
      </c>
      <c r="AN54" s="4"/>
      <c r="AO54" s="4"/>
      <c r="AP54" s="4">
        <v>0</v>
      </c>
      <c r="AQ54" s="4"/>
      <c r="AR54" s="4"/>
      <c r="AS54" s="101"/>
      <c r="AT54" s="125"/>
    </row>
    <row r="55" spans="1:46" s="13" customFormat="1" ht="25.5" customHeight="1">
      <c r="A55" s="83"/>
      <c r="B55" s="82"/>
      <c r="C55" s="90"/>
      <c r="D55" s="90"/>
      <c r="E55" s="15" t="s">
        <v>22</v>
      </c>
      <c r="F55" s="9">
        <f t="shared" si="30"/>
        <v>55</v>
      </c>
      <c r="G55" s="9">
        <f>J55+M55+P55+S55+V55+Y55+AB55+AE55+AH55+AK55+AN55+AQ55</f>
        <v>55</v>
      </c>
      <c r="H55" s="6">
        <f>G55/F55*100</f>
        <v>100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f>0+55</f>
        <v>55</v>
      </c>
      <c r="Y55" s="5">
        <v>55</v>
      </c>
      <c r="Z55" s="5">
        <f>Y55/X55*100</f>
        <v>100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/>
      <c r="AL55" s="5"/>
      <c r="AM55" s="5">
        <v>0</v>
      </c>
      <c r="AN55" s="5"/>
      <c r="AO55" s="5"/>
      <c r="AP55" s="5">
        <v>0</v>
      </c>
      <c r="AQ55" s="5"/>
      <c r="AR55" s="5"/>
      <c r="AS55" s="101"/>
      <c r="AT55" s="125"/>
    </row>
    <row r="56" spans="1:46" s="13" customFormat="1" ht="25.5" customHeight="1">
      <c r="A56" s="83"/>
      <c r="B56" s="82"/>
      <c r="C56" s="90"/>
      <c r="D56" s="90"/>
      <c r="E56" s="15" t="s">
        <v>23</v>
      </c>
      <c r="F56" s="9">
        <f>I56+L56+O56+R56+U56+X56+AA56+AD56+AG56+AJ56+AM56+AP56</f>
        <v>116</v>
      </c>
      <c r="G56" s="9">
        <f>J56+M56+P56+S56+V56+Y56+AB56+AE56+AH56+AK56+AN56+AQ56</f>
        <v>116</v>
      </c>
      <c r="H56" s="6">
        <f>G56/F56*100</f>
        <v>100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>0+116</f>
        <v>116</v>
      </c>
      <c r="S56" s="5">
        <v>116</v>
      </c>
      <c r="T56" s="5">
        <f>S56/R56*100</f>
        <v>100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/>
      <c r="AL56" s="5"/>
      <c r="AM56" s="5">
        <f>116-116</f>
        <v>0</v>
      </c>
      <c r="AN56" s="5"/>
      <c r="AO56" s="5"/>
      <c r="AP56" s="5">
        <v>0</v>
      </c>
      <c r="AQ56" s="5"/>
      <c r="AR56" s="5"/>
      <c r="AS56" s="102"/>
      <c r="AT56" s="126"/>
    </row>
    <row r="57" spans="1:46" s="13" customFormat="1" ht="42" customHeight="1">
      <c r="A57" s="83"/>
      <c r="B57" s="82"/>
      <c r="C57" s="90"/>
      <c r="D57" s="1"/>
      <c r="E57" s="15" t="s">
        <v>92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71"/>
      <c r="AT57" s="75"/>
    </row>
    <row r="58" spans="1:46" s="35" customFormat="1" ht="25.5" customHeight="1">
      <c r="A58" s="112" t="s">
        <v>51</v>
      </c>
      <c r="B58" s="103" t="s">
        <v>93</v>
      </c>
      <c r="C58" s="104"/>
      <c r="D58" s="105"/>
      <c r="E58" s="14" t="s">
        <v>20</v>
      </c>
      <c r="F58" s="9">
        <f aca="true" t="shared" si="37" ref="F58:G60">I58+L58+O58+R58+U58+X58+AA58+AD58+AG58+AJ58+AM58+AP58</f>
        <v>234975.8</v>
      </c>
      <c r="G58" s="9">
        <f t="shared" si="37"/>
        <v>159998.7</v>
      </c>
      <c r="H58" s="34">
        <f>G58/F58*100</f>
        <v>68.09156517394558</v>
      </c>
      <c r="I58" s="37">
        <f aca="true" t="shared" si="38" ref="I58:J61">I63+I68+I73</f>
        <v>4412.2</v>
      </c>
      <c r="J58" s="37">
        <f t="shared" si="38"/>
        <v>4412.2</v>
      </c>
      <c r="K58" s="34">
        <f>J58/I58*100</f>
        <v>100</v>
      </c>
      <c r="L58" s="37">
        <f aca="true" t="shared" si="39" ref="L58:M61">L63+L68+L73</f>
        <v>17408.899999999998</v>
      </c>
      <c r="M58" s="37">
        <f t="shared" si="39"/>
        <v>17408.9</v>
      </c>
      <c r="N58" s="34">
        <f>M58/L58*100</f>
        <v>100.00000000000003</v>
      </c>
      <c r="O58" s="37">
        <f aca="true" t="shared" si="40" ref="O58:P61">O63+O68+O73</f>
        <v>17290.2</v>
      </c>
      <c r="P58" s="37">
        <f t="shared" si="40"/>
        <v>17290.2</v>
      </c>
      <c r="Q58" s="34">
        <f>P58/O58*100</f>
        <v>100</v>
      </c>
      <c r="R58" s="66">
        <f aca="true" t="shared" si="41" ref="R58:S61">R63+R68+R73</f>
        <v>39689.6</v>
      </c>
      <c r="S58" s="37">
        <f t="shared" si="41"/>
        <v>39689.600000000006</v>
      </c>
      <c r="T58" s="4">
        <f>S58/R58*100</f>
        <v>100.00000000000003</v>
      </c>
      <c r="U58" s="37">
        <f aca="true" t="shared" si="42" ref="U58:V61">U63+U68+U73</f>
        <v>11940.7</v>
      </c>
      <c r="V58" s="37">
        <f t="shared" si="42"/>
        <v>11940.7</v>
      </c>
      <c r="W58" s="4">
        <f>V58/U58*100</f>
        <v>100</v>
      </c>
      <c r="X58" s="37">
        <f aca="true" t="shared" si="43" ref="X58:Y61">X63+X68+X73</f>
        <v>28529.5</v>
      </c>
      <c r="Y58" s="37">
        <f t="shared" si="43"/>
        <v>28529.5</v>
      </c>
      <c r="Z58" s="4">
        <f>Y58/X58*100</f>
        <v>100</v>
      </c>
      <c r="AA58" s="37">
        <f aca="true" t="shared" si="44" ref="AA58:AB61">AA63+AA68+AA73</f>
        <v>20908.1</v>
      </c>
      <c r="AB58" s="37">
        <f t="shared" si="44"/>
        <v>19364.699999999997</v>
      </c>
      <c r="AC58" s="4">
        <f>AB58/AA58*100</f>
        <v>92.61817190466853</v>
      </c>
      <c r="AD58" s="37">
        <f aca="true" t="shared" si="45" ref="AD58:AE61">AD63+AD68+AD73</f>
        <v>10293.5</v>
      </c>
      <c r="AE58" s="37">
        <f t="shared" si="45"/>
        <v>9302.7</v>
      </c>
      <c r="AF58" s="4">
        <f>AE58/AD58*100</f>
        <v>90.3745081847768</v>
      </c>
      <c r="AG58" s="37">
        <f aca="true" t="shared" si="46" ref="AG58:AH61">AG63+AG68+AG73</f>
        <v>13296.899999999998</v>
      </c>
      <c r="AH58" s="37">
        <f t="shared" si="46"/>
        <v>12060.2</v>
      </c>
      <c r="AI58" s="4">
        <f>AH58/AG58*100</f>
        <v>90.69933593544361</v>
      </c>
      <c r="AJ58" s="37">
        <f aca="true" t="shared" si="47" ref="AJ58:AP61">AJ63+AJ68+AJ73</f>
        <v>20124.8</v>
      </c>
      <c r="AK58" s="37">
        <f t="shared" si="47"/>
        <v>0</v>
      </c>
      <c r="AL58" s="37">
        <f t="shared" si="47"/>
        <v>0</v>
      </c>
      <c r="AM58" s="37">
        <f t="shared" si="47"/>
        <v>14927.1</v>
      </c>
      <c r="AN58" s="37">
        <f t="shared" si="47"/>
        <v>0</v>
      </c>
      <c r="AO58" s="37">
        <f t="shared" si="47"/>
        <v>0</v>
      </c>
      <c r="AP58" s="37">
        <f t="shared" si="47"/>
        <v>36154.3</v>
      </c>
      <c r="AQ58" s="37"/>
      <c r="AR58" s="37"/>
      <c r="AS58" s="38"/>
      <c r="AT58" s="38"/>
    </row>
    <row r="59" spans="1:46" s="35" customFormat="1" ht="25.5" customHeight="1">
      <c r="A59" s="113"/>
      <c r="B59" s="106"/>
      <c r="C59" s="107"/>
      <c r="D59" s="108"/>
      <c r="E59" s="36" t="s">
        <v>21</v>
      </c>
      <c r="F59" s="9">
        <f t="shared" si="37"/>
        <v>0</v>
      </c>
      <c r="G59" s="9">
        <f t="shared" si="37"/>
        <v>0</v>
      </c>
      <c r="H59" s="34">
        <v>0</v>
      </c>
      <c r="I59" s="37">
        <f t="shared" si="38"/>
        <v>0</v>
      </c>
      <c r="J59" s="37">
        <f t="shared" si="38"/>
        <v>0</v>
      </c>
      <c r="K59" s="37">
        <v>0</v>
      </c>
      <c r="L59" s="37">
        <f t="shared" si="39"/>
        <v>0</v>
      </c>
      <c r="M59" s="37">
        <f t="shared" si="39"/>
        <v>0</v>
      </c>
      <c r="N59" s="37">
        <v>0</v>
      </c>
      <c r="O59" s="37">
        <f t="shared" si="40"/>
        <v>0</v>
      </c>
      <c r="P59" s="37">
        <f t="shared" si="40"/>
        <v>0</v>
      </c>
      <c r="Q59" s="37">
        <v>0</v>
      </c>
      <c r="R59" s="66">
        <f t="shared" si="41"/>
        <v>0</v>
      </c>
      <c r="S59" s="37">
        <f t="shared" si="41"/>
        <v>0</v>
      </c>
      <c r="T59" s="37">
        <v>0</v>
      </c>
      <c r="U59" s="37">
        <f t="shared" si="42"/>
        <v>0</v>
      </c>
      <c r="V59" s="37">
        <f t="shared" si="42"/>
        <v>0</v>
      </c>
      <c r="W59" s="37">
        <v>0</v>
      </c>
      <c r="X59" s="37">
        <f t="shared" si="43"/>
        <v>0</v>
      </c>
      <c r="Y59" s="37">
        <f t="shared" si="43"/>
        <v>0</v>
      </c>
      <c r="Z59" s="37">
        <v>0</v>
      </c>
      <c r="AA59" s="37">
        <f t="shared" si="44"/>
        <v>0</v>
      </c>
      <c r="AB59" s="37">
        <f t="shared" si="44"/>
        <v>0</v>
      </c>
      <c r="AC59" s="37">
        <v>0</v>
      </c>
      <c r="AD59" s="37">
        <f t="shared" si="45"/>
        <v>0</v>
      </c>
      <c r="AE59" s="37">
        <f t="shared" si="45"/>
        <v>0</v>
      </c>
      <c r="AF59" s="37">
        <v>0</v>
      </c>
      <c r="AG59" s="37">
        <f t="shared" si="46"/>
        <v>0</v>
      </c>
      <c r="AH59" s="37">
        <f t="shared" si="46"/>
        <v>0</v>
      </c>
      <c r="AI59" s="37">
        <v>0</v>
      </c>
      <c r="AJ59" s="37">
        <f t="shared" si="47"/>
        <v>0</v>
      </c>
      <c r="AK59" s="37">
        <f t="shared" si="47"/>
        <v>0</v>
      </c>
      <c r="AL59" s="37">
        <f t="shared" si="47"/>
        <v>0</v>
      </c>
      <c r="AM59" s="37">
        <f t="shared" si="47"/>
        <v>0</v>
      </c>
      <c r="AN59" s="37">
        <f t="shared" si="47"/>
        <v>0</v>
      </c>
      <c r="AO59" s="37">
        <f t="shared" si="47"/>
        <v>0</v>
      </c>
      <c r="AP59" s="37">
        <f t="shared" si="47"/>
        <v>0</v>
      </c>
      <c r="AQ59" s="37"/>
      <c r="AR59" s="37"/>
      <c r="AS59" s="38"/>
      <c r="AT59" s="38"/>
    </row>
    <row r="60" spans="1:46" s="35" customFormat="1" ht="25.5" customHeight="1">
      <c r="A60" s="113"/>
      <c r="B60" s="106"/>
      <c r="C60" s="107"/>
      <c r="D60" s="108"/>
      <c r="E60" s="36" t="s">
        <v>22</v>
      </c>
      <c r="F60" s="9">
        <f t="shared" si="37"/>
        <v>0</v>
      </c>
      <c r="G60" s="9">
        <f t="shared" si="37"/>
        <v>0</v>
      </c>
      <c r="H60" s="34">
        <v>0</v>
      </c>
      <c r="I60" s="37">
        <f t="shared" si="38"/>
        <v>0</v>
      </c>
      <c r="J60" s="37">
        <f t="shared" si="38"/>
        <v>0</v>
      </c>
      <c r="K60" s="37">
        <v>0</v>
      </c>
      <c r="L60" s="37">
        <f t="shared" si="39"/>
        <v>0</v>
      </c>
      <c r="M60" s="37">
        <f t="shared" si="39"/>
        <v>0</v>
      </c>
      <c r="N60" s="37">
        <v>0</v>
      </c>
      <c r="O60" s="37">
        <f t="shared" si="40"/>
        <v>0</v>
      </c>
      <c r="P60" s="37">
        <f t="shared" si="40"/>
        <v>0</v>
      </c>
      <c r="Q60" s="37">
        <v>0</v>
      </c>
      <c r="R60" s="66">
        <f t="shared" si="41"/>
        <v>0</v>
      </c>
      <c r="S60" s="37">
        <f t="shared" si="41"/>
        <v>0</v>
      </c>
      <c r="T60" s="37">
        <v>0</v>
      </c>
      <c r="U60" s="37">
        <f t="shared" si="42"/>
        <v>0</v>
      </c>
      <c r="V60" s="37">
        <f t="shared" si="42"/>
        <v>0</v>
      </c>
      <c r="W60" s="37">
        <v>0</v>
      </c>
      <c r="X60" s="37">
        <f t="shared" si="43"/>
        <v>0</v>
      </c>
      <c r="Y60" s="37">
        <f t="shared" si="43"/>
        <v>0</v>
      </c>
      <c r="Z60" s="37">
        <v>0</v>
      </c>
      <c r="AA60" s="37">
        <f t="shared" si="44"/>
        <v>0</v>
      </c>
      <c r="AB60" s="37">
        <f t="shared" si="44"/>
        <v>0</v>
      </c>
      <c r="AC60" s="37">
        <v>0</v>
      </c>
      <c r="AD60" s="37">
        <f t="shared" si="45"/>
        <v>0</v>
      </c>
      <c r="AE60" s="37">
        <f t="shared" si="45"/>
        <v>0</v>
      </c>
      <c r="AF60" s="37">
        <v>0</v>
      </c>
      <c r="AG60" s="37">
        <f t="shared" si="46"/>
        <v>0</v>
      </c>
      <c r="AH60" s="37">
        <f t="shared" si="46"/>
        <v>0</v>
      </c>
      <c r="AI60" s="37">
        <v>0</v>
      </c>
      <c r="AJ60" s="37">
        <f t="shared" si="47"/>
        <v>0</v>
      </c>
      <c r="AK60" s="37">
        <f t="shared" si="47"/>
        <v>0</v>
      </c>
      <c r="AL60" s="37">
        <f t="shared" si="47"/>
        <v>0</v>
      </c>
      <c r="AM60" s="37">
        <f t="shared" si="47"/>
        <v>0</v>
      </c>
      <c r="AN60" s="37">
        <f t="shared" si="47"/>
        <v>0</v>
      </c>
      <c r="AO60" s="37">
        <f t="shared" si="47"/>
        <v>0</v>
      </c>
      <c r="AP60" s="37">
        <f t="shared" si="47"/>
        <v>0</v>
      </c>
      <c r="AQ60" s="37"/>
      <c r="AR60" s="37"/>
      <c r="AS60" s="38"/>
      <c r="AT60" s="38"/>
    </row>
    <row r="61" spans="1:46" s="35" customFormat="1" ht="25.5" customHeight="1">
      <c r="A61" s="113"/>
      <c r="B61" s="106"/>
      <c r="C61" s="107"/>
      <c r="D61" s="108"/>
      <c r="E61" s="36" t="s">
        <v>23</v>
      </c>
      <c r="F61" s="9">
        <f aca="true" t="shared" si="48" ref="F61:G66">I61+L61+O61+R61+U61+X61+AA61+AD61+AG61+AJ61+AM61+AP61</f>
        <v>234975.8</v>
      </c>
      <c r="G61" s="9">
        <f t="shared" si="48"/>
        <v>159998.7</v>
      </c>
      <c r="H61" s="34">
        <f>G61/F61*100</f>
        <v>68.09156517394558</v>
      </c>
      <c r="I61" s="37">
        <f t="shared" si="38"/>
        <v>4412.2</v>
      </c>
      <c r="J61" s="37">
        <f t="shared" si="38"/>
        <v>4412.2</v>
      </c>
      <c r="K61" s="34">
        <f>J61/I61*100</f>
        <v>100</v>
      </c>
      <c r="L61" s="37">
        <f t="shared" si="39"/>
        <v>17408.899999999998</v>
      </c>
      <c r="M61" s="37">
        <f t="shared" si="39"/>
        <v>17408.9</v>
      </c>
      <c r="N61" s="34">
        <f>M61/L61*100</f>
        <v>100.00000000000003</v>
      </c>
      <c r="O61" s="37">
        <f t="shared" si="40"/>
        <v>17290.2</v>
      </c>
      <c r="P61" s="37">
        <f t="shared" si="40"/>
        <v>17290.2</v>
      </c>
      <c r="Q61" s="34">
        <f>P61/O61*100</f>
        <v>100</v>
      </c>
      <c r="R61" s="66">
        <f t="shared" si="41"/>
        <v>39689.6</v>
      </c>
      <c r="S61" s="37">
        <f t="shared" si="41"/>
        <v>39689.600000000006</v>
      </c>
      <c r="T61" s="4">
        <f>S61/R61*100</f>
        <v>100.00000000000003</v>
      </c>
      <c r="U61" s="37">
        <f t="shared" si="42"/>
        <v>11940.7</v>
      </c>
      <c r="V61" s="37">
        <f t="shared" si="42"/>
        <v>11940.7</v>
      </c>
      <c r="W61" s="4">
        <f>V61/U61*100</f>
        <v>100</v>
      </c>
      <c r="X61" s="37">
        <f t="shared" si="43"/>
        <v>28529.5</v>
      </c>
      <c r="Y61" s="37">
        <f t="shared" si="43"/>
        <v>28529.5</v>
      </c>
      <c r="Z61" s="4">
        <f>Y61/X61*100</f>
        <v>100</v>
      </c>
      <c r="AA61" s="37">
        <f t="shared" si="44"/>
        <v>20908.1</v>
      </c>
      <c r="AB61" s="37">
        <f t="shared" si="44"/>
        <v>19364.699999999997</v>
      </c>
      <c r="AC61" s="4">
        <f>AB61/AA61*100</f>
        <v>92.61817190466853</v>
      </c>
      <c r="AD61" s="37">
        <f t="shared" si="45"/>
        <v>10293.5</v>
      </c>
      <c r="AE61" s="37">
        <f t="shared" si="45"/>
        <v>9302.7</v>
      </c>
      <c r="AF61" s="4">
        <f>AE61/AD61*100</f>
        <v>90.3745081847768</v>
      </c>
      <c r="AG61" s="37">
        <f t="shared" si="46"/>
        <v>13296.899999999998</v>
      </c>
      <c r="AH61" s="37">
        <f t="shared" si="46"/>
        <v>12060.2</v>
      </c>
      <c r="AI61" s="4">
        <f>AH61/AG61*100</f>
        <v>90.69933593544361</v>
      </c>
      <c r="AJ61" s="37">
        <f t="shared" si="47"/>
        <v>20124.8</v>
      </c>
      <c r="AK61" s="37">
        <f t="shared" si="47"/>
        <v>0</v>
      </c>
      <c r="AL61" s="37">
        <f t="shared" si="47"/>
        <v>0</v>
      </c>
      <c r="AM61" s="37">
        <f t="shared" si="47"/>
        <v>14927.1</v>
      </c>
      <c r="AN61" s="37">
        <f t="shared" si="47"/>
        <v>0</v>
      </c>
      <c r="AO61" s="37">
        <f t="shared" si="47"/>
        <v>0</v>
      </c>
      <c r="AP61" s="37">
        <f t="shared" si="47"/>
        <v>36154.3</v>
      </c>
      <c r="AQ61" s="37"/>
      <c r="AR61" s="37"/>
      <c r="AS61" s="38"/>
      <c r="AT61" s="38"/>
    </row>
    <row r="62" spans="1:46" s="35" customFormat="1" ht="36.75" customHeight="1">
      <c r="A62" s="114"/>
      <c r="B62" s="109"/>
      <c r="C62" s="110"/>
      <c r="D62" s="111"/>
      <c r="E62" s="36" t="s">
        <v>92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79"/>
      <c r="AT62" s="79"/>
    </row>
    <row r="63" spans="1:46" s="12" customFormat="1" ht="54" customHeight="1">
      <c r="A63" s="87" t="s">
        <v>52</v>
      </c>
      <c r="B63" s="84" t="s">
        <v>76</v>
      </c>
      <c r="C63" s="100" t="s">
        <v>40</v>
      </c>
      <c r="D63" s="90">
        <v>4</v>
      </c>
      <c r="E63" s="14" t="s">
        <v>20</v>
      </c>
      <c r="F63" s="9">
        <f t="shared" si="48"/>
        <v>162571.7</v>
      </c>
      <c r="G63" s="9">
        <f aca="true" t="shared" si="49" ref="G63:G71">J63+M63+P63+S63+V63+Y63+AB63+AE63+AH63+AK63+AN63+AQ63</f>
        <v>113921.6</v>
      </c>
      <c r="H63" s="6">
        <f>G63/F63*100</f>
        <v>70.07468089464525</v>
      </c>
      <c r="I63" s="4">
        <f>I64+I65+I66</f>
        <v>3471.2</v>
      </c>
      <c r="J63" s="4">
        <f aca="true" t="shared" si="50" ref="J63:AP63">J64+J65+J66</f>
        <v>3471.2</v>
      </c>
      <c r="K63" s="4">
        <f>J63/I63*100</f>
        <v>100</v>
      </c>
      <c r="L63" s="4">
        <f t="shared" si="50"/>
        <v>11916.3</v>
      </c>
      <c r="M63" s="4">
        <f t="shared" si="50"/>
        <v>11916.3</v>
      </c>
      <c r="N63" s="4">
        <f>M63/L63*100</f>
        <v>100</v>
      </c>
      <c r="O63" s="4">
        <f t="shared" si="50"/>
        <v>11915.1</v>
      </c>
      <c r="P63" s="4">
        <f t="shared" si="50"/>
        <v>11915.1</v>
      </c>
      <c r="Q63" s="4">
        <f>P63/O63*100</f>
        <v>100</v>
      </c>
      <c r="R63" s="64">
        <f t="shared" si="50"/>
        <v>30496.899999999998</v>
      </c>
      <c r="S63" s="4">
        <f t="shared" si="50"/>
        <v>30496.9</v>
      </c>
      <c r="T63" s="4">
        <f>S63/R63*100</f>
        <v>100.00000000000003</v>
      </c>
      <c r="U63" s="4">
        <f t="shared" si="50"/>
        <v>2369</v>
      </c>
      <c r="V63" s="4">
        <f t="shared" si="50"/>
        <v>2369</v>
      </c>
      <c r="W63" s="4">
        <f>V63/U63*100</f>
        <v>100</v>
      </c>
      <c r="X63" s="4">
        <f t="shared" si="50"/>
        <v>20217.6</v>
      </c>
      <c r="Y63" s="4">
        <f t="shared" si="50"/>
        <v>20217.6</v>
      </c>
      <c r="Z63" s="4">
        <f>Y63/X63*100</f>
        <v>100</v>
      </c>
      <c r="AA63" s="4">
        <f t="shared" si="50"/>
        <v>17411.1</v>
      </c>
      <c r="AB63" s="4">
        <f t="shared" si="50"/>
        <v>17411.1</v>
      </c>
      <c r="AC63" s="4">
        <f>AB63/AA63*100</f>
        <v>100</v>
      </c>
      <c r="AD63" s="4">
        <f t="shared" si="50"/>
        <v>7702.7</v>
      </c>
      <c r="AE63" s="4">
        <f t="shared" si="50"/>
        <v>7702.7</v>
      </c>
      <c r="AF63" s="4">
        <f>AE63/AD63*100</f>
        <v>100</v>
      </c>
      <c r="AG63" s="4">
        <f t="shared" si="50"/>
        <v>8421.699999999999</v>
      </c>
      <c r="AH63" s="4">
        <f t="shared" si="50"/>
        <v>8421.7</v>
      </c>
      <c r="AI63" s="4">
        <f>AH63/AG63*100</f>
        <v>100.00000000000003</v>
      </c>
      <c r="AJ63" s="4">
        <f>AJ64+AJ65+AJ66</f>
        <v>14277.8</v>
      </c>
      <c r="AK63" s="4">
        <f>AK64+AK65+AK66</f>
        <v>0</v>
      </c>
      <c r="AL63" s="4">
        <f>AL64+AL65+AL66</f>
        <v>0</v>
      </c>
      <c r="AM63" s="4">
        <f>AM64+AM65+AM66</f>
        <v>9737.5</v>
      </c>
      <c r="AN63" s="4">
        <f t="shared" si="50"/>
        <v>0</v>
      </c>
      <c r="AO63" s="4">
        <f t="shared" si="50"/>
        <v>0</v>
      </c>
      <c r="AP63" s="4">
        <f t="shared" si="50"/>
        <v>24634.8</v>
      </c>
      <c r="AQ63" s="4"/>
      <c r="AR63" s="4"/>
      <c r="AS63" s="100" t="s">
        <v>86</v>
      </c>
      <c r="AT63" s="124" t="s">
        <v>95</v>
      </c>
    </row>
    <row r="64" spans="1:46" s="12" customFormat="1" ht="30.75" customHeight="1">
      <c r="A64" s="88"/>
      <c r="B64" s="85"/>
      <c r="C64" s="101"/>
      <c r="D64" s="90"/>
      <c r="E64" s="15" t="s">
        <v>21</v>
      </c>
      <c r="F64" s="9">
        <f t="shared" si="48"/>
        <v>0</v>
      </c>
      <c r="G64" s="9">
        <f t="shared" si="49"/>
        <v>0</v>
      </c>
      <c r="H64" s="6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4">
        <v>0</v>
      </c>
      <c r="AQ64" s="4"/>
      <c r="AR64" s="4"/>
      <c r="AS64" s="101"/>
      <c r="AT64" s="125"/>
    </row>
    <row r="65" spans="1:46" s="13" customFormat="1" ht="39.75" customHeight="1">
      <c r="A65" s="88"/>
      <c r="B65" s="85"/>
      <c r="C65" s="101"/>
      <c r="D65" s="90"/>
      <c r="E65" s="15" t="s">
        <v>22</v>
      </c>
      <c r="F65" s="9">
        <f t="shared" si="48"/>
        <v>0</v>
      </c>
      <c r="G65" s="9">
        <f t="shared" si="49"/>
        <v>0</v>
      </c>
      <c r="H65" s="6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/>
      <c r="AR65" s="5"/>
      <c r="AS65" s="101"/>
      <c r="AT65" s="125"/>
    </row>
    <row r="66" spans="1:46" s="13" customFormat="1" ht="42.75" customHeight="1">
      <c r="A66" s="88"/>
      <c r="B66" s="85"/>
      <c r="C66" s="101"/>
      <c r="D66" s="90"/>
      <c r="E66" s="15" t="s">
        <v>23</v>
      </c>
      <c r="F66" s="9">
        <f t="shared" si="48"/>
        <v>162571.7</v>
      </c>
      <c r="G66" s="9">
        <f t="shared" si="49"/>
        <v>113921.6</v>
      </c>
      <c r="H66" s="6">
        <f>G66/F66*100</f>
        <v>70.07468089464525</v>
      </c>
      <c r="I66" s="5">
        <v>3471.2</v>
      </c>
      <c r="J66" s="5">
        <v>3471.2</v>
      </c>
      <c r="K66" s="5">
        <f>J66/I66*100</f>
        <v>100</v>
      </c>
      <c r="L66" s="5">
        <v>11916.3</v>
      </c>
      <c r="M66" s="5">
        <v>11916.3</v>
      </c>
      <c r="N66" s="5">
        <f>M66/L66*100</f>
        <v>100</v>
      </c>
      <c r="O66" s="5">
        <v>11915.1</v>
      </c>
      <c r="P66" s="5">
        <v>11915.1</v>
      </c>
      <c r="Q66" s="5">
        <f>P66/O66*100</f>
        <v>100</v>
      </c>
      <c r="R66" s="5">
        <f>20125.1+10371.8</f>
        <v>30496.899999999998</v>
      </c>
      <c r="S66" s="5">
        <v>30496.9</v>
      </c>
      <c r="T66" s="5">
        <f>S66/R66*100</f>
        <v>100.00000000000003</v>
      </c>
      <c r="U66" s="5">
        <f>12740.8-10371.8</f>
        <v>2369</v>
      </c>
      <c r="V66" s="5">
        <v>2369</v>
      </c>
      <c r="W66" s="5">
        <f>V66/U66*100</f>
        <v>100</v>
      </c>
      <c r="X66" s="5">
        <v>20217.6</v>
      </c>
      <c r="Y66" s="5">
        <v>20217.6</v>
      </c>
      <c r="Z66" s="5">
        <f>Y66/X66*100</f>
        <v>100</v>
      </c>
      <c r="AA66" s="7">
        <v>17411.1</v>
      </c>
      <c r="AB66" s="5">
        <v>17411.1</v>
      </c>
      <c r="AC66" s="5">
        <f>AB66/AA66*100</f>
        <v>100</v>
      </c>
      <c r="AD66" s="7">
        <v>7702.7</v>
      </c>
      <c r="AE66" s="5">
        <v>7702.7</v>
      </c>
      <c r="AF66" s="5">
        <f>AE66/AD66*100</f>
        <v>100</v>
      </c>
      <c r="AG66" s="7">
        <f>8368.9+52.8</f>
        <v>8421.699999999999</v>
      </c>
      <c r="AH66" s="5">
        <v>8421.7</v>
      </c>
      <c r="AI66" s="5">
        <f>AH66/AG66*100</f>
        <v>100.00000000000003</v>
      </c>
      <c r="AJ66" s="7">
        <v>14277.8</v>
      </c>
      <c r="AK66" s="5"/>
      <c r="AL66" s="5"/>
      <c r="AM66" s="7">
        <v>9737.5</v>
      </c>
      <c r="AN66" s="5"/>
      <c r="AO66" s="5"/>
      <c r="AP66" s="7">
        <f>24634.8+2000-2000</f>
        <v>24634.8</v>
      </c>
      <c r="AQ66" s="5"/>
      <c r="AR66" s="5"/>
      <c r="AS66" s="102"/>
      <c r="AT66" s="126"/>
    </row>
    <row r="67" spans="1:46" s="13" customFormat="1" ht="42.75" customHeight="1">
      <c r="A67" s="89"/>
      <c r="B67" s="86"/>
      <c r="C67" s="102"/>
      <c r="D67" s="1"/>
      <c r="E67" s="15" t="s">
        <v>92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70"/>
      <c r="AT67" s="74"/>
    </row>
    <row r="68" spans="1:46" s="12" customFormat="1" ht="66" customHeight="1">
      <c r="A68" s="87" t="s">
        <v>53</v>
      </c>
      <c r="B68" s="84" t="s">
        <v>77</v>
      </c>
      <c r="C68" s="100" t="s">
        <v>40</v>
      </c>
      <c r="D68" s="90">
        <v>4</v>
      </c>
      <c r="E68" s="14" t="s">
        <v>20</v>
      </c>
      <c r="F68" s="9">
        <f aca="true" t="shared" si="51" ref="F68:F76">I68+L68+O68+R68+U68+X68+AA68+AD68+AG68+AJ68+AM68+AP68</f>
        <v>72404.1</v>
      </c>
      <c r="G68" s="9">
        <f t="shared" si="49"/>
        <v>46077.1</v>
      </c>
      <c r="H68" s="9">
        <f>G68/F68*100</f>
        <v>63.63879946025155</v>
      </c>
      <c r="I68" s="4">
        <f>I69+I70+I71</f>
        <v>941</v>
      </c>
      <c r="J68" s="4">
        <f aca="true" t="shared" si="52" ref="J68:AP68">J69+J70+J71</f>
        <v>941</v>
      </c>
      <c r="K68" s="4">
        <f>J68/I68*100</f>
        <v>100</v>
      </c>
      <c r="L68" s="4">
        <f t="shared" si="52"/>
        <v>5492.599999999999</v>
      </c>
      <c r="M68" s="4">
        <f t="shared" si="52"/>
        <v>5492.6</v>
      </c>
      <c r="N68" s="4">
        <f>M68/L68*100</f>
        <v>100.00000000000003</v>
      </c>
      <c r="O68" s="4">
        <f t="shared" si="52"/>
        <v>5375.1</v>
      </c>
      <c r="P68" s="4">
        <f t="shared" si="52"/>
        <v>5375.1</v>
      </c>
      <c r="Q68" s="4">
        <f>P68/O68*100</f>
        <v>100</v>
      </c>
      <c r="R68" s="64">
        <f t="shared" si="52"/>
        <v>9192.7</v>
      </c>
      <c r="S68" s="4">
        <f t="shared" si="52"/>
        <v>9192.7</v>
      </c>
      <c r="T68" s="4">
        <f>S68/R68*100</f>
        <v>100</v>
      </c>
      <c r="U68" s="4">
        <f t="shared" si="52"/>
        <v>9571.7</v>
      </c>
      <c r="V68" s="4">
        <f t="shared" si="52"/>
        <v>9571.7</v>
      </c>
      <c r="W68" s="4">
        <f>V68/U68*100</f>
        <v>100</v>
      </c>
      <c r="X68" s="4">
        <f t="shared" si="52"/>
        <v>8311.9</v>
      </c>
      <c r="Y68" s="4">
        <f t="shared" si="52"/>
        <v>8311.9</v>
      </c>
      <c r="Z68" s="4">
        <f>Y68/X68*100</f>
        <v>100</v>
      </c>
      <c r="AA68" s="4">
        <f t="shared" si="52"/>
        <v>3497</v>
      </c>
      <c r="AB68" s="4">
        <f t="shared" si="52"/>
        <v>1953.6</v>
      </c>
      <c r="AC68" s="4">
        <f>AB68/AA68*100</f>
        <v>55.8650271661424</v>
      </c>
      <c r="AD68" s="4">
        <f t="shared" si="52"/>
        <v>2590.8</v>
      </c>
      <c r="AE68" s="4">
        <f t="shared" si="52"/>
        <v>1600</v>
      </c>
      <c r="AF68" s="4">
        <f>AE68/AD68*100</f>
        <v>61.75698625907056</v>
      </c>
      <c r="AG68" s="4">
        <f t="shared" si="52"/>
        <v>4875.2</v>
      </c>
      <c r="AH68" s="4">
        <f t="shared" si="52"/>
        <v>3638.5</v>
      </c>
      <c r="AI68" s="4">
        <f>AH68/AG68*100</f>
        <v>74.63283557597637</v>
      </c>
      <c r="AJ68" s="4">
        <f t="shared" si="52"/>
        <v>5847</v>
      </c>
      <c r="AK68" s="4">
        <f t="shared" si="52"/>
        <v>0</v>
      </c>
      <c r="AL68" s="4">
        <f t="shared" si="52"/>
        <v>0</v>
      </c>
      <c r="AM68" s="4">
        <f t="shared" si="52"/>
        <v>5189.6</v>
      </c>
      <c r="AN68" s="4">
        <f t="shared" si="52"/>
        <v>0</v>
      </c>
      <c r="AO68" s="4">
        <f t="shared" si="52"/>
        <v>0</v>
      </c>
      <c r="AP68" s="4">
        <f t="shared" si="52"/>
        <v>11519.5</v>
      </c>
      <c r="AQ68" s="4"/>
      <c r="AR68" s="4"/>
      <c r="AS68" s="133" t="s">
        <v>87</v>
      </c>
      <c r="AT68" s="124" t="s">
        <v>96</v>
      </c>
    </row>
    <row r="69" spans="1:46" s="12" customFormat="1" ht="40.5" customHeight="1">
      <c r="A69" s="88"/>
      <c r="B69" s="85"/>
      <c r="C69" s="101"/>
      <c r="D69" s="90"/>
      <c r="E69" s="15" t="s">
        <v>21</v>
      </c>
      <c r="F69" s="9">
        <f t="shared" si="51"/>
        <v>0</v>
      </c>
      <c r="G69" s="9">
        <f t="shared" si="49"/>
        <v>0</v>
      </c>
      <c r="H69" s="9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4"/>
      <c r="AR69" s="4"/>
      <c r="AS69" s="134"/>
      <c r="AT69" s="125"/>
    </row>
    <row r="70" spans="1:46" s="13" customFormat="1" ht="36" customHeight="1">
      <c r="A70" s="88"/>
      <c r="B70" s="85"/>
      <c r="C70" s="101"/>
      <c r="D70" s="90"/>
      <c r="E70" s="15" t="s">
        <v>22</v>
      </c>
      <c r="F70" s="9">
        <f t="shared" si="51"/>
        <v>0</v>
      </c>
      <c r="G70" s="9">
        <f t="shared" si="49"/>
        <v>0</v>
      </c>
      <c r="H70" s="9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/>
      <c r="AR70" s="5"/>
      <c r="AS70" s="134"/>
      <c r="AT70" s="125"/>
    </row>
    <row r="71" spans="1:46" s="13" customFormat="1" ht="25.5" customHeight="1">
      <c r="A71" s="88"/>
      <c r="B71" s="85"/>
      <c r="C71" s="101"/>
      <c r="D71" s="90"/>
      <c r="E71" s="15" t="s">
        <v>23</v>
      </c>
      <c r="F71" s="9">
        <f t="shared" si="51"/>
        <v>72404.1</v>
      </c>
      <c r="G71" s="9">
        <f t="shared" si="49"/>
        <v>46077.1</v>
      </c>
      <c r="H71" s="9">
        <f>G71/F71*100</f>
        <v>63.63879946025155</v>
      </c>
      <c r="I71" s="5">
        <f>941</f>
        <v>941</v>
      </c>
      <c r="J71" s="5">
        <v>941</v>
      </c>
      <c r="K71" s="5">
        <f>J71/I71*100</f>
        <v>100</v>
      </c>
      <c r="L71" s="5">
        <f>5948.4-455.8</f>
        <v>5492.599999999999</v>
      </c>
      <c r="M71" s="5">
        <v>5492.6</v>
      </c>
      <c r="N71" s="5">
        <f>M71/L71*100</f>
        <v>100.00000000000003</v>
      </c>
      <c r="O71" s="5">
        <f>5110.5+264.6</f>
        <v>5375.1</v>
      </c>
      <c r="P71" s="5">
        <v>5375.1</v>
      </c>
      <c r="Q71" s="5">
        <f>P71/O71*100</f>
        <v>100</v>
      </c>
      <c r="R71" s="65">
        <f>6155.6-119.1+3156.2</f>
        <v>9192.7</v>
      </c>
      <c r="S71" s="5">
        <v>9192.7</v>
      </c>
      <c r="T71" s="5">
        <f>S71/R71*100</f>
        <v>100</v>
      </c>
      <c r="U71" s="5">
        <f>12728-3156.3</f>
        <v>9571.7</v>
      </c>
      <c r="V71" s="5">
        <v>9571.7</v>
      </c>
      <c r="W71" s="5">
        <f>V71/U71*100</f>
        <v>100</v>
      </c>
      <c r="X71" s="5">
        <v>8311.9</v>
      </c>
      <c r="Y71" s="5">
        <v>8311.9</v>
      </c>
      <c r="Z71" s="5">
        <f>Y71/X71*100</f>
        <v>100</v>
      </c>
      <c r="AA71" s="5">
        <v>3497</v>
      </c>
      <c r="AB71" s="5">
        <v>1953.6</v>
      </c>
      <c r="AC71" s="5">
        <f>AB71/AA71*100</f>
        <v>55.8650271661424</v>
      </c>
      <c r="AD71" s="5">
        <v>2590.8</v>
      </c>
      <c r="AE71" s="5">
        <v>1600</v>
      </c>
      <c r="AF71" s="5">
        <f>AE71/AD71*100</f>
        <v>61.75698625907056</v>
      </c>
      <c r="AG71" s="5">
        <f>4850.2+10.8-10.8+25</f>
        <v>4875.2</v>
      </c>
      <c r="AH71" s="5">
        <v>3638.5</v>
      </c>
      <c r="AI71" s="5">
        <f>AH71/AG71*100</f>
        <v>74.63283557597637</v>
      </c>
      <c r="AJ71" s="5">
        <v>5847</v>
      </c>
      <c r="AK71" s="5"/>
      <c r="AL71" s="5"/>
      <c r="AM71" s="5">
        <v>5189.6</v>
      </c>
      <c r="AN71" s="5"/>
      <c r="AO71" s="5"/>
      <c r="AP71" s="5">
        <f>10206.1+1313.4</f>
        <v>11519.5</v>
      </c>
      <c r="AQ71" s="5"/>
      <c r="AR71" s="5"/>
      <c r="AS71" s="135"/>
      <c r="AT71" s="126"/>
    </row>
    <row r="72" spans="1:46" s="13" customFormat="1" ht="40.5" customHeight="1">
      <c r="A72" s="89"/>
      <c r="B72" s="86"/>
      <c r="C72" s="102"/>
      <c r="D72" s="69"/>
      <c r="E72" s="15" t="s">
        <v>92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5"/>
      <c r="AR72" s="5"/>
      <c r="AS72" s="76"/>
      <c r="AT72" s="74"/>
    </row>
    <row r="73" spans="1:46" s="12" customFormat="1" ht="25.5" customHeight="1">
      <c r="A73" s="83" t="s">
        <v>54</v>
      </c>
      <c r="B73" s="82" t="s">
        <v>89</v>
      </c>
      <c r="C73" s="90" t="s">
        <v>40</v>
      </c>
      <c r="D73" s="127">
        <v>5</v>
      </c>
      <c r="E73" s="14" t="s">
        <v>20</v>
      </c>
      <c r="F73" s="9">
        <f t="shared" si="51"/>
        <v>0</v>
      </c>
      <c r="G73" s="9">
        <f>J73+M73+P73+S73+V73+Y73+AB73+AE73+AH73+AK73+AN73+AQ73</f>
        <v>0</v>
      </c>
      <c r="H73" s="9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100" t="s">
        <v>84</v>
      </c>
      <c r="AT73" s="130"/>
    </row>
    <row r="74" spans="1:46" s="12" customFormat="1" ht="25.5" customHeight="1">
      <c r="A74" s="83"/>
      <c r="B74" s="82"/>
      <c r="C74" s="90"/>
      <c r="D74" s="128"/>
      <c r="E74" s="15" t="s">
        <v>21</v>
      </c>
      <c r="F74" s="9">
        <f t="shared" si="51"/>
        <v>0</v>
      </c>
      <c r="G74" s="9">
        <f>J74+M74+P74+S74+V74+Y74+AB74+AE74+AH74+AK74+AN74+AQ74</f>
        <v>0</v>
      </c>
      <c r="H74" s="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101"/>
      <c r="AT74" s="131"/>
    </row>
    <row r="75" spans="1:46" s="13" customFormat="1" ht="25.5" customHeight="1">
      <c r="A75" s="83"/>
      <c r="B75" s="82"/>
      <c r="C75" s="90"/>
      <c r="D75" s="128"/>
      <c r="E75" s="15" t="s">
        <v>22</v>
      </c>
      <c r="F75" s="9">
        <f t="shared" si="51"/>
        <v>0</v>
      </c>
      <c r="G75" s="9">
        <f>J75+M75+P75+S75+V75+Y75+AB75+AE75+AH75+AK75+AN75+AQ75</f>
        <v>0</v>
      </c>
      <c r="H75" s="9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101"/>
      <c r="AT75" s="131"/>
    </row>
    <row r="76" spans="1:46" s="13" customFormat="1" ht="25.5" customHeight="1">
      <c r="A76" s="83"/>
      <c r="B76" s="82"/>
      <c r="C76" s="90"/>
      <c r="D76" s="129"/>
      <c r="E76" s="15" t="s">
        <v>23</v>
      </c>
      <c r="F76" s="9">
        <f t="shared" si="51"/>
        <v>0</v>
      </c>
      <c r="G76" s="9">
        <f>J76+M76+P76+S76+V76+Y76+AB76+AE76+AH76+AK76+AN76+AQ76</f>
        <v>0</v>
      </c>
      <c r="H76" s="9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102"/>
      <c r="AT76" s="132"/>
    </row>
    <row r="77" spans="1:46" s="13" customFormat="1" ht="39.75" customHeight="1">
      <c r="A77" s="83"/>
      <c r="B77" s="82"/>
      <c r="C77" s="90"/>
      <c r="D77" s="80"/>
      <c r="E77" s="15" t="s">
        <v>92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5"/>
      <c r="AR77" s="5"/>
      <c r="AS77" s="71"/>
      <c r="AT77" s="73"/>
    </row>
    <row r="78" spans="1:46" s="12" customFormat="1" ht="25.5" customHeight="1">
      <c r="A78" s="83" t="s">
        <v>98</v>
      </c>
      <c r="B78" s="82" t="s">
        <v>99</v>
      </c>
      <c r="C78" s="90" t="s">
        <v>40</v>
      </c>
      <c r="D78" s="127">
        <v>5</v>
      </c>
      <c r="E78" s="139" t="s">
        <v>100</v>
      </c>
      <c r="F78" s="9">
        <v>0</v>
      </c>
      <c r="G78" s="9">
        <f aca="true" t="shared" si="53" ref="G78:K81">J78+M78+P78+S78+V78+Y78+AB78+AE78+AH78+AK78+AN78+AQ78</f>
        <v>0</v>
      </c>
      <c r="H78" s="9">
        <f t="shared" si="53"/>
        <v>0</v>
      </c>
      <c r="I78" s="9" t="e">
        <f t="shared" si="53"/>
        <v>#VALUE!</v>
      </c>
      <c r="J78" s="9">
        <f t="shared" si="53"/>
        <v>0</v>
      </c>
      <c r="K78" s="9">
        <f t="shared" si="53"/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4">
        <v>0</v>
      </c>
      <c r="AR78" s="4">
        <v>0</v>
      </c>
      <c r="AS78" s="100" t="s">
        <v>105</v>
      </c>
      <c r="AT78" s="130"/>
    </row>
    <row r="79" spans="1:46" s="12" customFormat="1" ht="25.5" customHeight="1">
      <c r="A79" s="83"/>
      <c r="B79" s="82"/>
      <c r="C79" s="90"/>
      <c r="D79" s="128"/>
      <c r="E79" s="140"/>
      <c r="F79" s="9">
        <f>I79+L79+O79+R79+U79+X79+AA79+AD79+AG79+AJ79+AM79+AP79</f>
        <v>0</v>
      </c>
      <c r="G79" s="9">
        <f t="shared" si="53"/>
        <v>0</v>
      </c>
      <c r="H79" s="9">
        <f t="shared" si="53"/>
        <v>0</v>
      </c>
      <c r="I79" s="9">
        <f t="shared" si="53"/>
        <v>0</v>
      </c>
      <c r="J79" s="9">
        <f t="shared" si="53"/>
        <v>0</v>
      </c>
      <c r="K79" s="9">
        <f t="shared" si="53"/>
        <v>0</v>
      </c>
      <c r="L79" s="9">
        <f aca="true" t="shared" si="54" ref="L79:U81">O79+R79+U79+X79+AA79+AD79+AG79+AJ79+AM79+AP79+AS79+AV79</f>
        <v>0</v>
      </c>
      <c r="M79" s="9">
        <f t="shared" si="54"/>
        <v>0</v>
      </c>
      <c r="N79" s="9">
        <f t="shared" si="54"/>
        <v>0</v>
      </c>
      <c r="O79" s="9">
        <f t="shared" si="54"/>
        <v>0</v>
      </c>
      <c r="P79" s="9">
        <f t="shared" si="54"/>
        <v>0</v>
      </c>
      <c r="Q79" s="9">
        <f t="shared" si="54"/>
        <v>0</v>
      </c>
      <c r="R79" s="9">
        <f t="shared" si="54"/>
        <v>0</v>
      </c>
      <c r="S79" s="9">
        <f t="shared" si="54"/>
        <v>0</v>
      </c>
      <c r="T79" s="9">
        <f t="shared" si="54"/>
        <v>0</v>
      </c>
      <c r="U79" s="9">
        <f t="shared" si="54"/>
        <v>0</v>
      </c>
      <c r="V79" s="9">
        <f aca="true" t="shared" si="55" ref="V79:AE81">Y79+AB79+AE79+AH79+AK79+AN79+AQ79+AT79+AW79+AZ79+BC79+BF79</f>
        <v>0</v>
      </c>
      <c r="W79" s="9">
        <f t="shared" si="55"/>
        <v>0</v>
      </c>
      <c r="X79" s="9">
        <f t="shared" si="55"/>
        <v>0</v>
      </c>
      <c r="Y79" s="9">
        <f t="shared" si="55"/>
        <v>0</v>
      </c>
      <c r="Z79" s="9">
        <f t="shared" si="55"/>
        <v>0</v>
      </c>
      <c r="AA79" s="9">
        <f t="shared" si="55"/>
        <v>0</v>
      </c>
      <c r="AB79" s="9">
        <f t="shared" si="55"/>
        <v>0</v>
      </c>
      <c r="AC79" s="9">
        <f t="shared" si="55"/>
        <v>0</v>
      </c>
      <c r="AD79" s="9">
        <f t="shared" si="55"/>
        <v>0</v>
      </c>
      <c r="AE79" s="9">
        <f t="shared" si="55"/>
        <v>0</v>
      </c>
      <c r="AF79" s="9">
        <f aca="true" t="shared" si="56" ref="AF79:AO81">AI79+AL79+AO79+AR79+AU79+AX79+BA79+BD79+BG79+BJ79+BM79+BP79</f>
        <v>0</v>
      </c>
      <c r="AG79" s="9">
        <f t="shared" si="56"/>
        <v>0</v>
      </c>
      <c r="AH79" s="9">
        <f t="shared" si="56"/>
        <v>0</v>
      </c>
      <c r="AI79" s="9">
        <f t="shared" si="56"/>
        <v>0</v>
      </c>
      <c r="AJ79" s="9">
        <f t="shared" si="56"/>
        <v>0</v>
      </c>
      <c r="AK79" s="9">
        <f t="shared" si="56"/>
        <v>0</v>
      </c>
      <c r="AL79" s="9">
        <f t="shared" si="56"/>
        <v>0</v>
      </c>
      <c r="AM79" s="9">
        <f t="shared" si="56"/>
        <v>0</v>
      </c>
      <c r="AN79" s="9">
        <f t="shared" si="56"/>
        <v>0</v>
      </c>
      <c r="AO79" s="9">
        <f t="shared" si="56"/>
        <v>0</v>
      </c>
      <c r="AP79" s="9">
        <f>AS79+AV79+AY79+BB79+BE79+BH79+BK79+BN79+BQ79+BT79+BW79+BZ79</f>
        <v>0</v>
      </c>
      <c r="AQ79" s="5">
        <v>0</v>
      </c>
      <c r="AR79" s="5">
        <v>0</v>
      </c>
      <c r="AS79" s="101"/>
      <c r="AT79" s="131"/>
    </row>
    <row r="80" spans="1:46" s="13" customFormat="1" ht="25.5" customHeight="1">
      <c r="A80" s="83"/>
      <c r="B80" s="82"/>
      <c r="C80" s="90"/>
      <c r="D80" s="128"/>
      <c r="E80" s="140"/>
      <c r="F80" s="9">
        <f>I80+L80+O80+R80+U80+X80+AA80+AD80+AG80+AJ80+AM80+AP80</f>
        <v>0</v>
      </c>
      <c r="G80" s="9">
        <f t="shared" si="53"/>
        <v>0</v>
      </c>
      <c r="H80" s="9">
        <f t="shared" si="53"/>
        <v>0</v>
      </c>
      <c r="I80" s="9">
        <f t="shared" si="53"/>
        <v>0</v>
      </c>
      <c r="J80" s="9">
        <f t="shared" si="53"/>
        <v>0</v>
      </c>
      <c r="K80" s="9">
        <f t="shared" si="53"/>
        <v>0</v>
      </c>
      <c r="L80" s="9">
        <f t="shared" si="54"/>
        <v>0</v>
      </c>
      <c r="M80" s="9">
        <f t="shared" si="54"/>
        <v>0</v>
      </c>
      <c r="N80" s="9">
        <f t="shared" si="54"/>
        <v>0</v>
      </c>
      <c r="O80" s="9">
        <f t="shared" si="54"/>
        <v>0</v>
      </c>
      <c r="P80" s="9">
        <f t="shared" si="54"/>
        <v>0</v>
      </c>
      <c r="Q80" s="9">
        <f t="shared" si="54"/>
        <v>0</v>
      </c>
      <c r="R80" s="9">
        <f t="shared" si="54"/>
        <v>0</v>
      </c>
      <c r="S80" s="9">
        <f t="shared" si="54"/>
        <v>0</v>
      </c>
      <c r="T80" s="9">
        <f t="shared" si="54"/>
        <v>0</v>
      </c>
      <c r="U80" s="9">
        <f t="shared" si="54"/>
        <v>0</v>
      </c>
      <c r="V80" s="9">
        <f t="shared" si="55"/>
        <v>0</v>
      </c>
      <c r="W80" s="9">
        <f t="shared" si="55"/>
        <v>0</v>
      </c>
      <c r="X80" s="9">
        <f t="shared" si="55"/>
        <v>0</v>
      </c>
      <c r="Y80" s="9">
        <f t="shared" si="55"/>
        <v>0</v>
      </c>
      <c r="Z80" s="9">
        <f t="shared" si="55"/>
        <v>0</v>
      </c>
      <c r="AA80" s="9">
        <f t="shared" si="55"/>
        <v>0</v>
      </c>
      <c r="AB80" s="9">
        <f t="shared" si="55"/>
        <v>0</v>
      </c>
      <c r="AC80" s="9">
        <f t="shared" si="55"/>
        <v>0</v>
      </c>
      <c r="AD80" s="9">
        <f t="shared" si="55"/>
        <v>0</v>
      </c>
      <c r="AE80" s="9">
        <f t="shared" si="55"/>
        <v>0</v>
      </c>
      <c r="AF80" s="9">
        <f t="shared" si="56"/>
        <v>0</v>
      </c>
      <c r="AG80" s="9">
        <f t="shared" si="56"/>
        <v>0</v>
      </c>
      <c r="AH80" s="9">
        <f t="shared" si="56"/>
        <v>0</v>
      </c>
      <c r="AI80" s="9">
        <f t="shared" si="56"/>
        <v>0</v>
      </c>
      <c r="AJ80" s="9">
        <f t="shared" si="56"/>
        <v>0</v>
      </c>
      <c r="AK80" s="9">
        <f t="shared" si="56"/>
        <v>0</v>
      </c>
      <c r="AL80" s="9">
        <f t="shared" si="56"/>
        <v>0</v>
      </c>
      <c r="AM80" s="9">
        <f t="shared" si="56"/>
        <v>0</v>
      </c>
      <c r="AN80" s="9">
        <f t="shared" si="56"/>
        <v>0</v>
      </c>
      <c r="AO80" s="9">
        <f t="shared" si="56"/>
        <v>0</v>
      </c>
      <c r="AP80" s="9">
        <f>AS80+AV80+AY80+BB80+BE80+BH80+BK80+BN80+BQ80+BT80+BW80+BZ80</f>
        <v>0</v>
      </c>
      <c r="AQ80" s="5">
        <v>0</v>
      </c>
      <c r="AR80" s="5">
        <v>0</v>
      </c>
      <c r="AS80" s="101"/>
      <c r="AT80" s="131"/>
    </row>
    <row r="81" spans="1:46" s="13" customFormat="1" ht="25.5" customHeight="1">
      <c r="A81" s="83"/>
      <c r="B81" s="82"/>
      <c r="C81" s="90"/>
      <c r="D81" s="129"/>
      <c r="E81" s="140"/>
      <c r="F81" s="9">
        <f>I81+L81+O81+R81+U81+X81+AA81+AD81+AG81+AJ81+AM81+AP81</f>
        <v>0</v>
      </c>
      <c r="G81" s="9">
        <f t="shared" si="53"/>
        <v>0</v>
      </c>
      <c r="H81" s="9">
        <f t="shared" si="53"/>
        <v>0</v>
      </c>
      <c r="I81" s="9">
        <f t="shared" si="53"/>
        <v>0</v>
      </c>
      <c r="J81" s="9">
        <f t="shared" si="53"/>
        <v>0</v>
      </c>
      <c r="K81" s="9">
        <f t="shared" si="53"/>
        <v>0</v>
      </c>
      <c r="L81" s="9">
        <f t="shared" si="54"/>
        <v>0</v>
      </c>
      <c r="M81" s="9">
        <f t="shared" si="54"/>
        <v>0</v>
      </c>
      <c r="N81" s="9">
        <f t="shared" si="54"/>
        <v>0</v>
      </c>
      <c r="O81" s="9">
        <f t="shared" si="54"/>
        <v>0</v>
      </c>
      <c r="P81" s="9">
        <f t="shared" si="54"/>
        <v>0</v>
      </c>
      <c r="Q81" s="9">
        <f t="shared" si="54"/>
        <v>0</v>
      </c>
      <c r="R81" s="9">
        <f t="shared" si="54"/>
        <v>0</v>
      </c>
      <c r="S81" s="9">
        <f t="shared" si="54"/>
        <v>0</v>
      </c>
      <c r="T81" s="9">
        <f t="shared" si="54"/>
        <v>0</v>
      </c>
      <c r="U81" s="9">
        <f t="shared" si="54"/>
        <v>0</v>
      </c>
      <c r="V81" s="9">
        <f t="shared" si="55"/>
        <v>0</v>
      </c>
      <c r="W81" s="9">
        <f t="shared" si="55"/>
        <v>0</v>
      </c>
      <c r="X81" s="9">
        <f t="shared" si="55"/>
        <v>0</v>
      </c>
      <c r="Y81" s="9">
        <f t="shared" si="55"/>
        <v>0</v>
      </c>
      <c r="Z81" s="9">
        <f t="shared" si="55"/>
        <v>0</v>
      </c>
      <c r="AA81" s="9">
        <f t="shared" si="55"/>
        <v>0</v>
      </c>
      <c r="AB81" s="9">
        <f t="shared" si="55"/>
        <v>0</v>
      </c>
      <c r="AC81" s="9">
        <f t="shared" si="55"/>
        <v>0</v>
      </c>
      <c r="AD81" s="9">
        <f t="shared" si="55"/>
        <v>0</v>
      </c>
      <c r="AE81" s="9">
        <f t="shared" si="55"/>
        <v>0</v>
      </c>
      <c r="AF81" s="9">
        <f t="shared" si="56"/>
        <v>0</v>
      </c>
      <c r="AG81" s="9">
        <f t="shared" si="56"/>
        <v>0</v>
      </c>
      <c r="AH81" s="9">
        <f t="shared" si="56"/>
        <v>0</v>
      </c>
      <c r="AI81" s="9">
        <f t="shared" si="56"/>
        <v>0</v>
      </c>
      <c r="AJ81" s="9">
        <f t="shared" si="56"/>
        <v>0</v>
      </c>
      <c r="AK81" s="9">
        <f t="shared" si="56"/>
        <v>0</v>
      </c>
      <c r="AL81" s="9">
        <f t="shared" si="56"/>
        <v>0</v>
      </c>
      <c r="AM81" s="9">
        <f t="shared" si="56"/>
        <v>0</v>
      </c>
      <c r="AN81" s="9">
        <f t="shared" si="56"/>
        <v>0</v>
      </c>
      <c r="AO81" s="9">
        <f t="shared" si="56"/>
        <v>0</v>
      </c>
      <c r="AP81" s="9">
        <f>AS81+AV81+AY81+BB81+BE81+BH81+BK81+BN81+BQ81+BT81+BW81+BZ81</f>
        <v>0</v>
      </c>
      <c r="AQ81" s="5">
        <v>0</v>
      </c>
      <c r="AR81" s="5">
        <v>0</v>
      </c>
      <c r="AS81" s="101"/>
      <c r="AT81" s="131"/>
    </row>
    <row r="82" spans="1:46" s="13" customFormat="1" ht="39.75" customHeight="1">
      <c r="A82" s="83"/>
      <c r="B82" s="82"/>
      <c r="C82" s="90"/>
      <c r="D82" s="80"/>
      <c r="E82" s="141"/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5"/>
      <c r="AR82" s="5"/>
      <c r="AS82" s="102"/>
      <c r="AT82" s="132"/>
    </row>
    <row r="83" spans="1:46" s="39" customFormat="1" ht="30" customHeight="1">
      <c r="A83" s="91" t="s">
        <v>24</v>
      </c>
      <c r="B83" s="92"/>
      <c r="C83" s="92"/>
      <c r="D83" s="93"/>
      <c r="E83" s="14" t="s">
        <v>20</v>
      </c>
      <c r="F83" s="34">
        <f aca="true" t="shared" si="57" ref="F83:G87">F8+F43+F58</f>
        <v>259902.8</v>
      </c>
      <c r="G83" s="34">
        <f>G8+G43+G58</f>
        <v>180485.2</v>
      </c>
      <c r="H83" s="34">
        <f>G83/F83*100</f>
        <v>69.44334574310089</v>
      </c>
      <c r="I83" s="34">
        <f>I8+I43+I58</f>
        <v>4412.2</v>
      </c>
      <c r="J83" s="34">
        <f aca="true" t="shared" si="58" ref="I83:J87">J8+J43+J58</f>
        <v>4412.2</v>
      </c>
      <c r="K83" s="34">
        <f>J83/I83*100</f>
        <v>100</v>
      </c>
      <c r="L83" s="34">
        <f aca="true" t="shared" si="59" ref="L83:M87">L8+L43+L58</f>
        <v>17665.6</v>
      </c>
      <c r="M83" s="34">
        <f t="shared" si="59"/>
        <v>17526.2</v>
      </c>
      <c r="N83" s="34">
        <f>M83/L83*100</f>
        <v>99.21089575219636</v>
      </c>
      <c r="O83" s="34">
        <f>O8+O43+O58</f>
        <v>22423.7</v>
      </c>
      <c r="P83" s="34">
        <f aca="true" t="shared" si="60" ref="O83:P87">P8+P43+P58</f>
        <v>18368.2</v>
      </c>
      <c r="Q83" s="34">
        <f>P83/O83*100</f>
        <v>81.91422468192137</v>
      </c>
      <c r="R83" s="59">
        <f aca="true" t="shared" si="61" ref="R83:S87">R8+R43+R58</f>
        <v>40510.799999999996</v>
      </c>
      <c r="S83" s="34">
        <f t="shared" si="61"/>
        <v>40572.8</v>
      </c>
      <c r="T83" s="34">
        <f>S83/R83*100</f>
        <v>100.15304560759108</v>
      </c>
      <c r="U83" s="34">
        <f aca="true" t="shared" si="62" ref="U83:V87">U8+U43+U58</f>
        <v>13686.1</v>
      </c>
      <c r="V83" s="34">
        <f t="shared" si="62"/>
        <v>17779.1</v>
      </c>
      <c r="W83" s="34">
        <f>V83/U83*100</f>
        <v>129.9062552516787</v>
      </c>
      <c r="X83" s="34">
        <f aca="true" t="shared" si="63" ref="X83:Y87">X8+X43+X58</f>
        <v>29242.3</v>
      </c>
      <c r="Y83" s="34">
        <f t="shared" si="63"/>
        <v>29242.3</v>
      </c>
      <c r="Z83" s="34">
        <f>Y83/X83*100</f>
        <v>100</v>
      </c>
      <c r="AA83" s="34">
        <f aca="true" t="shared" si="64" ref="AA83:AP83">AA8+AA43+AA58</f>
        <v>27055.199999999997</v>
      </c>
      <c r="AB83" s="34">
        <f t="shared" si="64"/>
        <v>25540.899999999998</v>
      </c>
      <c r="AC83" s="34">
        <f>AB83/AA83*100</f>
        <v>94.40292439161418</v>
      </c>
      <c r="AD83" s="34">
        <f t="shared" si="64"/>
        <v>15324.900000000001</v>
      </c>
      <c r="AE83" s="34">
        <f t="shared" si="64"/>
        <v>14143.400000000001</v>
      </c>
      <c r="AF83" s="34">
        <f>AE83/AD83*100</f>
        <v>92.29032489608416</v>
      </c>
      <c r="AG83" s="34">
        <f t="shared" si="64"/>
        <v>14128.199999999997</v>
      </c>
      <c r="AH83" s="34">
        <f t="shared" si="64"/>
        <v>12900.1</v>
      </c>
      <c r="AI83" s="34">
        <f>AH83/AG83*100</f>
        <v>91.3074560099659</v>
      </c>
      <c r="AJ83" s="34">
        <f t="shared" si="64"/>
        <v>24091.8</v>
      </c>
      <c r="AK83" s="34">
        <f t="shared" si="64"/>
        <v>0</v>
      </c>
      <c r="AL83" s="34">
        <f t="shared" si="64"/>
        <v>0</v>
      </c>
      <c r="AM83" s="34">
        <f t="shared" si="64"/>
        <v>14935.6</v>
      </c>
      <c r="AN83" s="34">
        <f t="shared" si="64"/>
        <v>0</v>
      </c>
      <c r="AO83" s="34">
        <f t="shared" si="64"/>
        <v>0</v>
      </c>
      <c r="AP83" s="34">
        <f t="shared" si="64"/>
        <v>36426.4</v>
      </c>
      <c r="AQ83" s="37"/>
      <c r="AR83" s="37"/>
      <c r="AS83" s="38"/>
      <c r="AT83" s="38"/>
    </row>
    <row r="84" spans="1:46" s="39" customFormat="1" ht="30" customHeight="1">
      <c r="A84" s="94"/>
      <c r="B84" s="95"/>
      <c r="C84" s="95"/>
      <c r="D84" s="96"/>
      <c r="E84" s="36" t="s">
        <v>21</v>
      </c>
      <c r="F84" s="34">
        <f t="shared" si="57"/>
        <v>6518.9</v>
      </c>
      <c r="G84" s="34">
        <f t="shared" si="57"/>
        <v>6518.9</v>
      </c>
      <c r="H84" s="34">
        <v>0</v>
      </c>
      <c r="I84" s="34">
        <f t="shared" si="58"/>
        <v>0</v>
      </c>
      <c r="J84" s="34">
        <f t="shared" si="58"/>
        <v>0</v>
      </c>
      <c r="K84" s="34">
        <v>0</v>
      </c>
      <c r="L84" s="34">
        <f t="shared" si="59"/>
        <v>29.6</v>
      </c>
      <c r="M84" s="34">
        <f t="shared" si="59"/>
        <v>0</v>
      </c>
      <c r="N84" s="34">
        <v>0</v>
      </c>
      <c r="O84" s="34">
        <f>O9+O44+O59</f>
        <v>1925.7</v>
      </c>
      <c r="P84" s="34">
        <f t="shared" si="60"/>
        <v>375.7</v>
      </c>
      <c r="Q84" s="34">
        <v>0</v>
      </c>
      <c r="R84" s="59">
        <f t="shared" si="61"/>
        <v>0</v>
      </c>
      <c r="S84" s="34">
        <f t="shared" si="61"/>
        <v>0</v>
      </c>
      <c r="T84" s="34">
        <v>0</v>
      </c>
      <c r="U84" s="34">
        <f t="shared" si="62"/>
        <v>509.9999999999999</v>
      </c>
      <c r="V84" s="34">
        <f t="shared" si="62"/>
        <v>2089.6</v>
      </c>
      <c r="W84" s="34">
        <f>V84/U84*100</f>
        <v>409.72549019607845</v>
      </c>
      <c r="X84" s="34">
        <f t="shared" si="63"/>
        <v>122.30000000000018</v>
      </c>
      <c r="Y84" s="34">
        <f t="shared" si="63"/>
        <v>122.3</v>
      </c>
      <c r="Z84" s="34">
        <f>Y84/X84*100</f>
        <v>99.99999999999984</v>
      </c>
      <c r="AA84" s="34">
        <f aca="true" t="shared" si="65" ref="AA84:AP84">AA9+AA44+AA59</f>
        <v>2265.9</v>
      </c>
      <c r="AB84" s="34">
        <f t="shared" si="65"/>
        <v>2265.9</v>
      </c>
      <c r="AC84" s="34">
        <f>AB84/AA84*100</f>
        <v>100</v>
      </c>
      <c r="AD84" s="34">
        <f t="shared" si="65"/>
        <v>1665.4</v>
      </c>
      <c r="AE84" s="34">
        <f t="shared" si="65"/>
        <v>1665.4</v>
      </c>
      <c r="AF84" s="34">
        <f>AE84/AD84*100</f>
        <v>100</v>
      </c>
      <c r="AG84" s="34">
        <f t="shared" si="65"/>
        <v>0</v>
      </c>
      <c r="AH84" s="34">
        <f t="shared" si="65"/>
        <v>0</v>
      </c>
      <c r="AI84" s="34">
        <v>0</v>
      </c>
      <c r="AJ84" s="34">
        <f t="shared" si="65"/>
        <v>0</v>
      </c>
      <c r="AK84" s="34">
        <f t="shared" si="65"/>
        <v>0</v>
      </c>
      <c r="AL84" s="34">
        <f t="shared" si="65"/>
        <v>0</v>
      </c>
      <c r="AM84" s="34">
        <f t="shared" si="65"/>
        <v>0</v>
      </c>
      <c r="AN84" s="34">
        <f t="shared" si="65"/>
        <v>0</v>
      </c>
      <c r="AO84" s="34">
        <f t="shared" si="65"/>
        <v>0</v>
      </c>
      <c r="AP84" s="34">
        <f t="shared" si="65"/>
        <v>0</v>
      </c>
      <c r="AQ84" s="37"/>
      <c r="AR84" s="37"/>
      <c r="AS84" s="38"/>
      <c r="AT84" s="38"/>
    </row>
    <row r="85" spans="1:46" s="39" customFormat="1" ht="30" customHeight="1">
      <c r="A85" s="94"/>
      <c r="B85" s="95"/>
      <c r="C85" s="95"/>
      <c r="D85" s="96"/>
      <c r="E85" s="36" t="s">
        <v>25</v>
      </c>
      <c r="F85" s="34">
        <f t="shared" si="57"/>
        <v>10775.700000000003</v>
      </c>
      <c r="G85" s="34">
        <f t="shared" si="57"/>
        <v>10729.2</v>
      </c>
      <c r="H85" s="34">
        <f>G85/F85*100</f>
        <v>99.56847350984157</v>
      </c>
      <c r="I85" s="34">
        <f t="shared" si="58"/>
        <v>0</v>
      </c>
      <c r="J85" s="34">
        <f t="shared" si="58"/>
        <v>0</v>
      </c>
      <c r="K85" s="34">
        <v>0</v>
      </c>
      <c r="L85" s="34">
        <f t="shared" si="59"/>
        <v>140.1</v>
      </c>
      <c r="M85" s="34">
        <f t="shared" si="59"/>
        <v>31.8</v>
      </c>
      <c r="N85" s="34">
        <v>0</v>
      </c>
      <c r="O85" s="34">
        <f>O10+O45+O60</f>
        <v>3019.2</v>
      </c>
      <c r="P85" s="34">
        <f t="shared" si="60"/>
        <v>594.8000000000001</v>
      </c>
      <c r="Q85" s="34">
        <f>P85/O85*100</f>
        <v>19.700582935877055</v>
      </c>
      <c r="R85" s="59">
        <f t="shared" si="61"/>
        <v>7.2</v>
      </c>
      <c r="S85" s="34">
        <f t="shared" si="61"/>
        <v>69.2</v>
      </c>
      <c r="T85" s="34">
        <f>S85/R85*100</f>
        <v>961.1111111111111</v>
      </c>
      <c r="U85" s="34">
        <f t="shared" si="62"/>
        <v>804.8000000000001</v>
      </c>
      <c r="V85" s="34">
        <f t="shared" si="62"/>
        <v>3275.5</v>
      </c>
      <c r="W85" s="34">
        <f>V85/U85*100</f>
        <v>406.99552683896616</v>
      </c>
      <c r="X85" s="34">
        <f t="shared" si="63"/>
        <v>253.50000000000017</v>
      </c>
      <c r="Y85" s="34">
        <f t="shared" si="63"/>
        <v>253.5</v>
      </c>
      <c r="Z85" s="34">
        <f>Y85/X85*100</f>
        <v>99.99999999999993</v>
      </c>
      <c r="AA85" s="34">
        <f aca="true" t="shared" si="66" ref="AA85:AP85">AA10+AA45+AA60</f>
        <v>3551.3</v>
      </c>
      <c r="AB85" s="34">
        <f t="shared" si="66"/>
        <v>3551.7999999999997</v>
      </c>
      <c r="AC85" s="34">
        <f>AB85/AA85*100</f>
        <v>100.01407935122349</v>
      </c>
      <c r="AD85" s="34">
        <f t="shared" si="66"/>
        <v>2774.2000000000003</v>
      </c>
      <c r="AE85" s="34">
        <f t="shared" si="66"/>
        <v>2612</v>
      </c>
      <c r="AF85" s="34">
        <f>AE85/AD85*100</f>
        <v>94.15326941100136</v>
      </c>
      <c r="AG85" s="34">
        <f t="shared" si="66"/>
        <v>189.10000000000002</v>
      </c>
      <c r="AH85" s="34">
        <f t="shared" si="66"/>
        <v>340.6</v>
      </c>
      <c r="AI85" s="34">
        <f>AH85/AG85*100</f>
        <v>180.11634056054996</v>
      </c>
      <c r="AJ85" s="34">
        <f t="shared" si="66"/>
        <v>7.2</v>
      </c>
      <c r="AK85" s="34">
        <f t="shared" si="66"/>
        <v>0</v>
      </c>
      <c r="AL85" s="34">
        <f t="shared" si="66"/>
        <v>0</v>
      </c>
      <c r="AM85" s="34">
        <f t="shared" si="66"/>
        <v>7.2</v>
      </c>
      <c r="AN85" s="34">
        <f t="shared" si="66"/>
        <v>0</v>
      </c>
      <c r="AO85" s="34">
        <f t="shared" si="66"/>
        <v>0</v>
      </c>
      <c r="AP85" s="34">
        <f t="shared" si="66"/>
        <v>21.9</v>
      </c>
      <c r="AQ85" s="37"/>
      <c r="AR85" s="37"/>
      <c r="AS85" s="38"/>
      <c r="AT85" s="38"/>
    </row>
    <row r="86" spans="1:46" s="39" customFormat="1" ht="30" customHeight="1">
      <c r="A86" s="94"/>
      <c r="B86" s="95"/>
      <c r="C86" s="95"/>
      <c r="D86" s="96"/>
      <c r="E86" s="36" t="s">
        <v>23</v>
      </c>
      <c r="F86" s="34">
        <f>F11+F46+F61</f>
        <v>237538.19999999998</v>
      </c>
      <c r="G86" s="34">
        <f t="shared" si="57"/>
        <v>162063.30000000002</v>
      </c>
      <c r="H86" s="34">
        <f>G86/F86*100</f>
        <v>68.22620530087372</v>
      </c>
      <c r="I86" s="34">
        <f t="shared" si="58"/>
        <v>4412.2</v>
      </c>
      <c r="J86" s="34">
        <f t="shared" si="58"/>
        <v>4412.2</v>
      </c>
      <c r="K86" s="34">
        <f>J86/I86*100</f>
        <v>100</v>
      </c>
      <c r="L86" s="34">
        <f t="shared" si="59"/>
        <v>17495.899999999998</v>
      </c>
      <c r="M86" s="34">
        <f t="shared" si="59"/>
        <v>17494.4</v>
      </c>
      <c r="N86" s="34">
        <f>M86/L86*100</f>
        <v>99.99142656279473</v>
      </c>
      <c r="O86" s="34">
        <f t="shared" si="60"/>
        <v>17478.8</v>
      </c>
      <c r="P86" s="34">
        <f t="shared" si="60"/>
        <v>17397.7</v>
      </c>
      <c r="Q86" s="34">
        <f>P86/O86*100</f>
        <v>99.53600933702543</v>
      </c>
      <c r="R86" s="59">
        <f t="shared" si="61"/>
        <v>40503.6</v>
      </c>
      <c r="S86" s="34">
        <f t="shared" si="61"/>
        <v>40503.600000000006</v>
      </c>
      <c r="T86" s="34">
        <f>S86/R86*100</f>
        <v>100.00000000000003</v>
      </c>
      <c r="U86" s="34">
        <f t="shared" si="62"/>
        <v>12371.300000000001</v>
      </c>
      <c r="V86" s="34">
        <f t="shared" si="62"/>
        <v>12414</v>
      </c>
      <c r="W86" s="34">
        <f>V86/U86*100</f>
        <v>100.34515370252115</v>
      </c>
      <c r="X86" s="34">
        <f t="shared" si="63"/>
        <v>28866.5</v>
      </c>
      <c r="Y86" s="34">
        <f t="shared" si="63"/>
        <v>28866.5</v>
      </c>
      <c r="Z86" s="34">
        <f>Y86/X86*100</f>
        <v>100</v>
      </c>
      <c r="AA86" s="34">
        <f aca="true" t="shared" si="67" ref="AA86:AP87">AA11+AA46+AA61</f>
        <v>21028</v>
      </c>
      <c r="AB86" s="34">
        <f t="shared" si="67"/>
        <v>19513.199999999997</v>
      </c>
      <c r="AC86" s="34">
        <f>AB86/AA86*100</f>
        <v>92.79627163781623</v>
      </c>
      <c r="AD86" s="34">
        <f t="shared" si="67"/>
        <v>10411.5</v>
      </c>
      <c r="AE86" s="34">
        <f t="shared" si="67"/>
        <v>9392.2</v>
      </c>
      <c r="AF86" s="34">
        <f>AE86/AD86*100</f>
        <v>90.20986409258992</v>
      </c>
      <c r="AG86" s="34">
        <f t="shared" si="67"/>
        <v>13449.099999999999</v>
      </c>
      <c r="AH86" s="34">
        <f t="shared" si="67"/>
        <v>12069.5</v>
      </c>
      <c r="AI86" s="34">
        <f>AH86/AG86*100</f>
        <v>89.74206452476375</v>
      </c>
      <c r="AJ86" s="34">
        <f t="shared" si="67"/>
        <v>20188.399999999998</v>
      </c>
      <c r="AK86" s="34">
        <f t="shared" si="67"/>
        <v>0</v>
      </c>
      <c r="AL86" s="34">
        <f t="shared" si="67"/>
        <v>0</v>
      </c>
      <c r="AM86" s="34">
        <f t="shared" si="67"/>
        <v>14928.4</v>
      </c>
      <c r="AN86" s="34">
        <f t="shared" si="67"/>
        <v>0</v>
      </c>
      <c r="AO86" s="34">
        <f t="shared" si="67"/>
        <v>0</v>
      </c>
      <c r="AP86" s="34">
        <f t="shared" si="67"/>
        <v>36404.5</v>
      </c>
      <c r="AQ86" s="37"/>
      <c r="AR86" s="37"/>
      <c r="AS86" s="38"/>
      <c r="AT86" s="38"/>
    </row>
    <row r="87" spans="1:46" s="39" customFormat="1" ht="41.25" customHeight="1">
      <c r="A87" s="97"/>
      <c r="B87" s="98"/>
      <c r="C87" s="98"/>
      <c r="D87" s="99"/>
      <c r="E87" s="36" t="s">
        <v>92</v>
      </c>
      <c r="F87" s="34">
        <f>F12+F47+F62</f>
        <v>5070</v>
      </c>
      <c r="G87" s="34">
        <f t="shared" si="57"/>
        <v>1173.8</v>
      </c>
      <c r="H87" s="34">
        <f>G87/F87*100</f>
        <v>23.151873767258383</v>
      </c>
      <c r="I87" s="34">
        <f t="shared" si="58"/>
        <v>0</v>
      </c>
      <c r="J87" s="34">
        <f t="shared" si="58"/>
        <v>0</v>
      </c>
      <c r="K87" s="34"/>
      <c r="L87" s="34">
        <f t="shared" si="59"/>
        <v>0</v>
      </c>
      <c r="M87" s="34">
        <f t="shared" si="59"/>
        <v>0</v>
      </c>
      <c r="N87" s="34"/>
      <c r="O87" s="34">
        <f>O12+O47+O62</f>
        <v>0</v>
      </c>
      <c r="P87" s="34">
        <f t="shared" si="60"/>
        <v>0</v>
      </c>
      <c r="Q87" s="34"/>
      <c r="R87" s="59">
        <f t="shared" si="61"/>
        <v>0</v>
      </c>
      <c r="S87" s="34">
        <f t="shared" si="61"/>
        <v>0</v>
      </c>
      <c r="T87" s="34"/>
      <c r="U87" s="34">
        <f t="shared" si="62"/>
        <v>0</v>
      </c>
      <c r="V87" s="34">
        <f t="shared" si="62"/>
        <v>0</v>
      </c>
      <c r="W87" s="34">
        <v>0</v>
      </c>
      <c r="X87" s="34">
        <f t="shared" si="63"/>
        <v>0</v>
      </c>
      <c r="Y87" s="34">
        <f t="shared" si="63"/>
        <v>0</v>
      </c>
      <c r="Z87" s="34">
        <v>0</v>
      </c>
      <c r="AA87" s="34">
        <f t="shared" si="67"/>
        <v>210</v>
      </c>
      <c r="AB87" s="34">
        <f t="shared" si="67"/>
        <v>210</v>
      </c>
      <c r="AC87" s="34">
        <f>AB87/AA87*100</f>
        <v>100</v>
      </c>
      <c r="AD87" s="34">
        <f t="shared" si="67"/>
        <v>473.8</v>
      </c>
      <c r="AE87" s="34">
        <f t="shared" si="67"/>
        <v>473.8</v>
      </c>
      <c r="AF87" s="34">
        <f>AE87/AD87*100</f>
        <v>100</v>
      </c>
      <c r="AG87" s="34">
        <f t="shared" si="67"/>
        <v>490</v>
      </c>
      <c r="AH87" s="34">
        <f t="shared" si="67"/>
        <v>490</v>
      </c>
      <c r="AI87" s="34">
        <f>AH87/AG87*100</f>
        <v>100</v>
      </c>
      <c r="AJ87" s="34">
        <f t="shared" si="67"/>
        <v>3896.2</v>
      </c>
      <c r="AK87" s="34"/>
      <c r="AL87" s="34"/>
      <c r="AM87" s="34">
        <f t="shared" si="67"/>
        <v>0</v>
      </c>
      <c r="AN87" s="34"/>
      <c r="AO87" s="34"/>
      <c r="AP87" s="34">
        <f t="shared" si="67"/>
        <v>0</v>
      </c>
      <c r="AQ87" s="37"/>
      <c r="AR87" s="37"/>
      <c r="AS87" s="38"/>
      <c r="AT87" s="38"/>
    </row>
    <row r="88" spans="1:46" s="25" customFormat="1" ht="138" customHeight="1" hidden="1">
      <c r="A88" s="20"/>
      <c r="B88" s="21" t="s">
        <v>58</v>
      </c>
      <c r="C88" s="21" t="s">
        <v>40</v>
      </c>
      <c r="D88" s="22">
        <v>1</v>
      </c>
      <c r="E88" s="21" t="s">
        <v>59</v>
      </c>
      <c r="F88" s="9">
        <f>I88+L88+O88+R88+U88+X88+AA88+AD88+AG88+AJ88+AM88+AP88</f>
        <v>0</v>
      </c>
      <c r="G88" s="9">
        <f>J88+M88+P88+S88+V88+Y88+AB88+AE88+AH88+AK88+AN88+AQ88</f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62"/>
      <c r="S88" s="9"/>
      <c r="T88" s="9"/>
      <c r="U88" s="7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7"/>
      <c r="AO88" s="9"/>
      <c r="AP88" s="9"/>
      <c r="AQ88" s="4"/>
      <c r="AR88" s="4"/>
      <c r="AS88" s="23"/>
      <c r="AT88" s="24"/>
    </row>
    <row r="89" spans="1:46" s="27" customFormat="1" ht="169.5" customHeight="1">
      <c r="A89" s="19"/>
      <c r="B89" s="21" t="s">
        <v>78</v>
      </c>
      <c r="C89" s="21" t="s">
        <v>40</v>
      </c>
      <c r="D89" s="22">
        <v>1</v>
      </c>
      <c r="E89" s="21" t="s">
        <v>82</v>
      </c>
      <c r="F89" s="9">
        <f>I89+L89+O89+R89+U89+X89+AA89+AD89+AG89+AJ89+AM89+AP89</f>
        <v>949.8</v>
      </c>
      <c r="G89" s="9">
        <f>J89+M89+P89+S89+V89+Y89+AB89+AE89+AH89+AK89+AN89+AQ89</f>
        <v>949.8</v>
      </c>
      <c r="H89" s="34">
        <f>G89/F89*100</f>
        <v>100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63">
        <v>949.8</v>
      </c>
      <c r="S89" s="7">
        <v>949.8</v>
      </c>
      <c r="T89" s="7">
        <f>S89/R89*100</f>
        <v>100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/>
      <c r="AL89" s="7"/>
      <c r="AM89" s="7">
        <v>0</v>
      </c>
      <c r="AN89" s="7"/>
      <c r="AO89" s="7"/>
      <c r="AP89" s="7">
        <v>0</v>
      </c>
      <c r="AQ89" s="5"/>
      <c r="AR89" s="5"/>
      <c r="AS89" s="1"/>
      <c r="AT89" s="57"/>
    </row>
    <row r="90" spans="1:46" s="27" customFormat="1" ht="28.5" customHeight="1">
      <c r="A90" s="115"/>
      <c r="B90" s="118" t="s">
        <v>60</v>
      </c>
      <c r="C90" s="21"/>
      <c r="D90" s="22"/>
      <c r="E90" s="14" t="s">
        <v>20</v>
      </c>
      <c r="F90" s="9">
        <v>0</v>
      </c>
      <c r="G90" s="9">
        <v>0</v>
      </c>
      <c r="H90" s="9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5"/>
      <c r="AR90" s="5"/>
      <c r="AS90" s="16"/>
      <c r="AT90" s="26"/>
    </row>
    <row r="91" spans="1:46" s="27" customFormat="1" ht="28.5" customHeight="1">
      <c r="A91" s="116"/>
      <c r="B91" s="119"/>
      <c r="C91" s="21"/>
      <c r="D91" s="22"/>
      <c r="E91" s="15" t="s">
        <v>21</v>
      </c>
      <c r="F91" s="9">
        <v>0</v>
      </c>
      <c r="G91" s="9">
        <v>0</v>
      </c>
      <c r="H91" s="9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5"/>
      <c r="AR91" s="5"/>
      <c r="AS91" s="16"/>
      <c r="AT91" s="26"/>
    </row>
    <row r="92" spans="1:46" s="27" customFormat="1" ht="28.5" customHeight="1">
      <c r="A92" s="116"/>
      <c r="B92" s="119"/>
      <c r="C92" s="21"/>
      <c r="D92" s="22"/>
      <c r="E92" s="15" t="s">
        <v>22</v>
      </c>
      <c r="F92" s="9">
        <v>0</v>
      </c>
      <c r="G92" s="9">
        <v>0</v>
      </c>
      <c r="H92" s="9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5"/>
      <c r="AR92" s="5"/>
      <c r="AS92" s="16"/>
      <c r="AT92" s="26"/>
    </row>
    <row r="93" spans="1:46" s="27" customFormat="1" ht="28.5" customHeight="1">
      <c r="A93" s="117"/>
      <c r="B93" s="120"/>
      <c r="C93" s="21"/>
      <c r="D93" s="22"/>
      <c r="E93" s="15" t="s">
        <v>23</v>
      </c>
      <c r="F93" s="9">
        <v>0</v>
      </c>
      <c r="G93" s="9">
        <v>0</v>
      </c>
      <c r="H93" s="9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5"/>
      <c r="AR93" s="5"/>
      <c r="AS93" s="16"/>
      <c r="AT93" s="26"/>
    </row>
    <row r="94" spans="1:46" s="27" customFormat="1" ht="28.5" customHeight="1">
      <c r="A94" s="115"/>
      <c r="B94" s="118" t="s">
        <v>61</v>
      </c>
      <c r="C94" s="21"/>
      <c r="D94" s="22"/>
      <c r="E94" s="14" t="s">
        <v>20</v>
      </c>
      <c r="F94" s="9">
        <f aca="true" t="shared" si="68" ref="F94:AR94">F83</f>
        <v>259902.8</v>
      </c>
      <c r="G94" s="9">
        <f t="shared" si="68"/>
        <v>180485.2</v>
      </c>
      <c r="H94" s="9">
        <f t="shared" si="68"/>
        <v>69.44334574310089</v>
      </c>
      <c r="I94" s="9">
        <f t="shared" si="68"/>
        <v>4412.2</v>
      </c>
      <c r="J94" s="9">
        <f t="shared" si="68"/>
        <v>4412.2</v>
      </c>
      <c r="K94" s="9">
        <f t="shared" si="68"/>
        <v>100</v>
      </c>
      <c r="L94" s="9">
        <f t="shared" si="68"/>
        <v>17665.6</v>
      </c>
      <c r="M94" s="9">
        <f t="shared" si="68"/>
        <v>17526.2</v>
      </c>
      <c r="N94" s="9">
        <f t="shared" si="68"/>
        <v>99.21089575219636</v>
      </c>
      <c r="O94" s="9">
        <f t="shared" si="68"/>
        <v>22423.7</v>
      </c>
      <c r="P94" s="9">
        <f t="shared" si="68"/>
        <v>18368.2</v>
      </c>
      <c r="Q94" s="9">
        <f t="shared" si="68"/>
        <v>81.91422468192137</v>
      </c>
      <c r="R94" s="62">
        <f t="shared" si="68"/>
        <v>40510.799999999996</v>
      </c>
      <c r="S94" s="9">
        <f t="shared" si="68"/>
        <v>40572.8</v>
      </c>
      <c r="T94" s="9">
        <f t="shared" si="68"/>
        <v>100.15304560759108</v>
      </c>
      <c r="U94" s="9">
        <f t="shared" si="68"/>
        <v>13686.1</v>
      </c>
      <c r="V94" s="9">
        <f t="shared" si="68"/>
        <v>17779.1</v>
      </c>
      <c r="W94" s="9">
        <f t="shared" si="68"/>
        <v>129.9062552516787</v>
      </c>
      <c r="X94" s="9">
        <f t="shared" si="68"/>
        <v>29242.3</v>
      </c>
      <c r="Y94" s="9">
        <f t="shared" si="68"/>
        <v>29242.3</v>
      </c>
      <c r="Z94" s="9">
        <f t="shared" si="68"/>
        <v>100</v>
      </c>
      <c r="AA94" s="9">
        <f t="shared" si="68"/>
        <v>27055.199999999997</v>
      </c>
      <c r="AB94" s="9">
        <f t="shared" si="68"/>
        <v>25540.899999999998</v>
      </c>
      <c r="AC94" s="9">
        <f t="shared" si="68"/>
        <v>94.40292439161418</v>
      </c>
      <c r="AD94" s="9">
        <f t="shared" si="68"/>
        <v>15324.900000000001</v>
      </c>
      <c r="AE94" s="9">
        <f t="shared" si="68"/>
        <v>14143.400000000001</v>
      </c>
      <c r="AF94" s="9">
        <f t="shared" si="68"/>
        <v>92.29032489608416</v>
      </c>
      <c r="AG94" s="9">
        <f t="shared" si="68"/>
        <v>14128.199999999997</v>
      </c>
      <c r="AH94" s="9">
        <f t="shared" si="68"/>
        <v>12900.1</v>
      </c>
      <c r="AI94" s="9">
        <f t="shared" si="68"/>
        <v>91.3074560099659</v>
      </c>
      <c r="AJ94" s="9">
        <f t="shared" si="68"/>
        <v>24091.8</v>
      </c>
      <c r="AK94" s="9">
        <f t="shared" si="68"/>
        <v>0</v>
      </c>
      <c r="AL94" s="9">
        <f t="shared" si="68"/>
        <v>0</v>
      </c>
      <c r="AM94" s="9">
        <f t="shared" si="68"/>
        <v>14935.6</v>
      </c>
      <c r="AN94" s="9">
        <f t="shared" si="68"/>
        <v>0</v>
      </c>
      <c r="AO94" s="9">
        <f t="shared" si="68"/>
        <v>0</v>
      </c>
      <c r="AP94" s="9">
        <f t="shared" si="68"/>
        <v>36426.4</v>
      </c>
      <c r="AQ94" s="9">
        <f t="shared" si="68"/>
        <v>0</v>
      </c>
      <c r="AR94" s="9">
        <f t="shared" si="68"/>
        <v>0</v>
      </c>
      <c r="AS94" s="16"/>
      <c r="AT94" s="26"/>
    </row>
    <row r="95" spans="1:46" s="27" customFormat="1" ht="28.5" customHeight="1">
      <c r="A95" s="116"/>
      <c r="B95" s="119"/>
      <c r="C95" s="21"/>
      <c r="D95" s="22"/>
      <c r="E95" s="15" t="s">
        <v>21</v>
      </c>
      <c r="F95" s="9">
        <f aca="true" t="shared" si="69" ref="F95:AR95">F84</f>
        <v>6518.9</v>
      </c>
      <c r="G95" s="9">
        <f t="shared" si="69"/>
        <v>6518.9</v>
      </c>
      <c r="H95" s="9">
        <f t="shared" si="69"/>
        <v>0</v>
      </c>
      <c r="I95" s="9">
        <f t="shared" si="69"/>
        <v>0</v>
      </c>
      <c r="J95" s="9">
        <f t="shared" si="69"/>
        <v>0</v>
      </c>
      <c r="K95" s="9">
        <f t="shared" si="69"/>
        <v>0</v>
      </c>
      <c r="L95" s="9">
        <f t="shared" si="69"/>
        <v>29.6</v>
      </c>
      <c r="M95" s="9">
        <f t="shared" si="69"/>
        <v>0</v>
      </c>
      <c r="N95" s="9">
        <f t="shared" si="69"/>
        <v>0</v>
      </c>
      <c r="O95" s="9">
        <f t="shared" si="69"/>
        <v>1925.7</v>
      </c>
      <c r="P95" s="9">
        <f t="shared" si="69"/>
        <v>375.7</v>
      </c>
      <c r="Q95" s="9">
        <f t="shared" si="69"/>
        <v>0</v>
      </c>
      <c r="R95" s="62">
        <f t="shared" si="69"/>
        <v>0</v>
      </c>
      <c r="S95" s="9">
        <f t="shared" si="69"/>
        <v>0</v>
      </c>
      <c r="T95" s="9">
        <f t="shared" si="69"/>
        <v>0</v>
      </c>
      <c r="U95" s="9">
        <f t="shared" si="69"/>
        <v>509.9999999999999</v>
      </c>
      <c r="V95" s="9">
        <f t="shared" si="69"/>
        <v>2089.6</v>
      </c>
      <c r="W95" s="9">
        <f t="shared" si="69"/>
        <v>409.72549019607845</v>
      </c>
      <c r="X95" s="9">
        <f t="shared" si="69"/>
        <v>122.30000000000018</v>
      </c>
      <c r="Y95" s="9">
        <f t="shared" si="69"/>
        <v>122.3</v>
      </c>
      <c r="Z95" s="9">
        <f>Y95/X95*100</f>
        <v>99.99999999999984</v>
      </c>
      <c r="AA95" s="9">
        <f t="shared" si="69"/>
        <v>2265.9</v>
      </c>
      <c r="AB95" s="9">
        <f t="shared" si="69"/>
        <v>2265.9</v>
      </c>
      <c r="AC95" s="9">
        <f t="shared" si="69"/>
        <v>100</v>
      </c>
      <c r="AD95" s="9">
        <f t="shared" si="69"/>
        <v>1665.4</v>
      </c>
      <c r="AE95" s="9">
        <f t="shared" si="69"/>
        <v>1665.4</v>
      </c>
      <c r="AF95" s="9">
        <f t="shared" si="69"/>
        <v>100</v>
      </c>
      <c r="AG95" s="9">
        <f t="shared" si="69"/>
        <v>0</v>
      </c>
      <c r="AH95" s="9">
        <f t="shared" si="69"/>
        <v>0</v>
      </c>
      <c r="AI95" s="9">
        <f t="shared" si="69"/>
        <v>0</v>
      </c>
      <c r="AJ95" s="9">
        <f t="shared" si="69"/>
        <v>0</v>
      </c>
      <c r="AK95" s="9">
        <f t="shared" si="69"/>
        <v>0</v>
      </c>
      <c r="AL95" s="9">
        <f t="shared" si="69"/>
        <v>0</v>
      </c>
      <c r="AM95" s="9">
        <f t="shared" si="69"/>
        <v>0</v>
      </c>
      <c r="AN95" s="9">
        <f t="shared" si="69"/>
        <v>0</v>
      </c>
      <c r="AO95" s="9">
        <f t="shared" si="69"/>
        <v>0</v>
      </c>
      <c r="AP95" s="9">
        <f t="shared" si="69"/>
        <v>0</v>
      </c>
      <c r="AQ95" s="9">
        <f t="shared" si="69"/>
        <v>0</v>
      </c>
      <c r="AR95" s="9">
        <f t="shared" si="69"/>
        <v>0</v>
      </c>
      <c r="AS95" s="16"/>
      <c r="AT95" s="26"/>
    </row>
    <row r="96" spans="1:46" s="27" customFormat="1" ht="28.5" customHeight="1">
      <c r="A96" s="116"/>
      <c r="B96" s="119"/>
      <c r="C96" s="21"/>
      <c r="D96" s="22"/>
      <c r="E96" s="15" t="s">
        <v>22</v>
      </c>
      <c r="F96" s="9">
        <f aca="true" t="shared" si="70" ref="F96:AR96">F85</f>
        <v>10775.700000000003</v>
      </c>
      <c r="G96" s="9">
        <f t="shared" si="70"/>
        <v>10729.2</v>
      </c>
      <c r="H96" s="9">
        <f t="shared" si="70"/>
        <v>99.56847350984157</v>
      </c>
      <c r="I96" s="9">
        <f t="shared" si="70"/>
        <v>0</v>
      </c>
      <c r="J96" s="9">
        <f t="shared" si="70"/>
        <v>0</v>
      </c>
      <c r="K96" s="9">
        <f t="shared" si="70"/>
        <v>0</v>
      </c>
      <c r="L96" s="9">
        <f t="shared" si="70"/>
        <v>140.1</v>
      </c>
      <c r="M96" s="9">
        <f t="shared" si="70"/>
        <v>31.8</v>
      </c>
      <c r="N96" s="9">
        <f t="shared" si="70"/>
        <v>0</v>
      </c>
      <c r="O96" s="9">
        <f t="shared" si="70"/>
        <v>3019.2</v>
      </c>
      <c r="P96" s="9">
        <f t="shared" si="70"/>
        <v>594.8000000000001</v>
      </c>
      <c r="Q96" s="9">
        <f t="shared" si="70"/>
        <v>19.700582935877055</v>
      </c>
      <c r="R96" s="62">
        <f t="shared" si="70"/>
        <v>7.2</v>
      </c>
      <c r="S96" s="9">
        <f t="shared" si="70"/>
        <v>69.2</v>
      </c>
      <c r="T96" s="9">
        <f t="shared" si="70"/>
        <v>961.1111111111111</v>
      </c>
      <c r="U96" s="9">
        <f t="shared" si="70"/>
        <v>804.8000000000001</v>
      </c>
      <c r="V96" s="9">
        <f t="shared" si="70"/>
        <v>3275.5</v>
      </c>
      <c r="W96" s="9">
        <f t="shared" si="70"/>
        <v>406.99552683896616</v>
      </c>
      <c r="X96" s="9">
        <f t="shared" si="70"/>
        <v>253.50000000000017</v>
      </c>
      <c r="Y96" s="9">
        <f t="shared" si="70"/>
        <v>253.5</v>
      </c>
      <c r="Z96" s="9">
        <f t="shared" si="70"/>
        <v>99.99999999999993</v>
      </c>
      <c r="AA96" s="9">
        <f t="shared" si="70"/>
        <v>3551.3</v>
      </c>
      <c r="AB96" s="9">
        <f t="shared" si="70"/>
        <v>3551.7999999999997</v>
      </c>
      <c r="AC96" s="9">
        <f t="shared" si="70"/>
        <v>100.01407935122349</v>
      </c>
      <c r="AD96" s="9">
        <f t="shared" si="70"/>
        <v>2774.2000000000003</v>
      </c>
      <c r="AE96" s="9">
        <f t="shared" si="70"/>
        <v>2612</v>
      </c>
      <c r="AF96" s="9">
        <f t="shared" si="70"/>
        <v>94.15326941100136</v>
      </c>
      <c r="AG96" s="9">
        <f t="shared" si="70"/>
        <v>189.10000000000002</v>
      </c>
      <c r="AH96" s="9">
        <f t="shared" si="70"/>
        <v>340.6</v>
      </c>
      <c r="AI96" s="9">
        <f t="shared" si="70"/>
        <v>180.11634056054996</v>
      </c>
      <c r="AJ96" s="9">
        <f t="shared" si="70"/>
        <v>7.2</v>
      </c>
      <c r="AK96" s="9">
        <f t="shared" si="70"/>
        <v>0</v>
      </c>
      <c r="AL96" s="9">
        <f t="shared" si="70"/>
        <v>0</v>
      </c>
      <c r="AM96" s="9">
        <f t="shared" si="70"/>
        <v>7.2</v>
      </c>
      <c r="AN96" s="9">
        <f t="shared" si="70"/>
        <v>0</v>
      </c>
      <c r="AO96" s="9">
        <f t="shared" si="70"/>
        <v>0</v>
      </c>
      <c r="AP96" s="9">
        <f t="shared" si="70"/>
        <v>21.9</v>
      </c>
      <c r="AQ96" s="9">
        <f t="shared" si="70"/>
        <v>0</v>
      </c>
      <c r="AR96" s="9">
        <f t="shared" si="70"/>
        <v>0</v>
      </c>
      <c r="AS96" s="16"/>
      <c r="AT96" s="26"/>
    </row>
    <row r="97" spans="1:46" s="27" customFormat="1" ht="28.5" customHeight="1">
      <c r="A97" s="116"/>
      <c r="B97" s="119"/>
      <c r="C97" s="21"/>
      <c r="D97" s="22"/>
      <c r="E97" s="15" t="s">
        <v>23</v>
      </c>
      <c r="F97" s="9">
        <f>F86</f>
        <v>237538.19999999998</v>
      </c>
      <c r="G97" s="9">
        <f aca="true" t="shared" si="71" ref="G97:AR98">G86</f>
        <v>162063.30000000002</v>
      </c>
      <c r="H97" s="9">
        <f t="shared" si="71"/>
        <v>68.22620530087372</v>
      </c>
      <c r="I97" s="9">
        <f t="shared" si="71"/>
        <v>4412.2</v>
      </c>
      <c r="J97" s="9">
        <f t="shared" si="71"/>
        <v>4412.2</v>
      </c>
      <c r="K97" s="9">
        <f t="shared" si="71"/>
        <v>100</v>
      </c>
      <c r="L97" s="9">
        <f t="shared" si="71"/>
        <v>17495.899999999998</v>
      </c>
      <c r="M97" s="9">
        <f t="shared" si="71"/>
        <v>17494.4</v>
      </c>
      <c r="N97" s="9">
        <f t="shared" si="71"/>
        <v>99.99142656279473</v>
      </c>
      <c r="O97" s="9">
        <f t="shared" si="71"/>
        <v>17478.8</v>
      </c>
      <c r="P97" s="9">
        <f t="shared" si="71"/>
        <v>17397.7</v>
      </c>
      <c r="Q97" s="9">
        <f t="shared" si="71"/>
        <v>99.53600933702543</v>
      </c>
      <c r="R97" s="62">
        <f t="shared" si="71"/>
        <v>40503.6</v>
      </c>
      <c r="S97" s="9">
        <f t="shared" si="71"/>
        <v>40503.600000000006</v>
      </c>
      <c r="T97" s="9">
        <f t="shared" si="71"/>
        <v>100.00000000000003</v>
      </c>
      <c r="U97" s="9">
        <f t="shared" si="71"/>
        <v>12371.300000000001</v>
      </c>
      <c r="V97" s="9">
        <f t="shared" si="71"/>
        <v>12414</v>
      </c>
      <c r="W97" s="9">
        <f t="shared" si="71"/>
        <v>100.34515370252115</v>
      </c>
      <c r="X97" s="9">
        <f t="shared" si="71"/>
        <v>28866.5</v>
      </c>
      <c r="Y97" s="9">
        <f t="shared" si="71"/>
        <v>28866.5</v>
      </c>
      <c r="Z97" s="9">
        <f t="shared" si="71"/>
        <v>100</v>
      </c>
      <c r="AA97" s="9">
        <f t="shared" si="71"/>
        <v>21028</v>
      </c>
      <c r="AB97" s="9">
        <f t="shared" si="71"/>
        <v>19513.199999999997</v>
      </c>
      <c r="AC97" s="9">
        <f t="shared" si="71"/>
        <v>92.79627163781623</v>
      </c>
      <c r="AD97" s="9">
        <f t="shared" si="71"/>
        <v>10411.5</v>
      </c>
      <c r="AE97" s="9">
        <f t="shared" si="71"/>
        <v>9392.2</v>
      </c>
      <c r="AF97" s="9">
        <f t="shared" si="71"/>
        <v>90.20986409258992</v>
      </c>
      <c r="AG97" s="9">
        <f t="shared" si="71"/>
        <v>13449.099999999999</v>
      </c>
      <c r="AH97" s="9">
        <f t="shared" si="71"/>
        <v>12069.5</v>
      </c>
      <c r="AI97" s="9">
        <f t="shared" si="71"/>
        <v>89.74206452476375</v>
      </c>
      <c r="AJ97" s="9">
        <f t="shared" si="71"/>
        <v>20188.399999999998</v>
      </c>
      <c r="AK97" s="9">
        <f t="shared" si="71"/>
        <v>0</v>
      </c>
      <c r="AL97" s="9">
        <f t="shared" si="71"/>
        <v>0</v>
      </c>
      <c r="AM97" s="9">
        <f t="shared" si="71"/>
        <v>14928.4</v>
      </c>
      <c r="AN97" s="9">
        <f t="shared" si="71"/>
        <v>0</v>
      </c>
      <c r="AO97" s="9">
        <f t="shared" si="71"/>
        <v>0</v>
      </c>
      <c r="AP97" s="9">
        <f t="shared" si="71"/>
        <v>36404.5</v>
      </c>
      <c r="AQ97" s="9">
        <f t="shared" si="71"/>
        <v>0</v>
      </c>
      <c r="AR97" s="9">
        <f t="shared" si="71"/>
        <v>0</v>
      </c>
      <c r="AS97" s="16"/>
      <c r="AT97" s="26"/>
    </row>
    <row r="98" spans="1:46" s="27" customFormat="1" ht="42" customHeight="1">
      <c r="A98" s="117"/>
      <c r="B98" s="120"/>
      <c r="C98" s="21"/>
      <c r="D98" s="22"/>
      <c r="E98" s="15" t="s">
        <v>92</v>
      </c>
      <c r="F98" s="9">
        <f>F87</f>
        <v>5070</v>
      </c>
      <c r="G98" s="9">
        <f t="shared" si="71"/>
        <v>1173.8</v>
      </c>
      <c r="H98" s="9">
        <f t="shared" si="71"/>
        <v>23.151873767258383</v>
      </c>
      <c r="I98" s="9">
        <f t="shared" si="71"/>
        <v>0</v>
      </c>
      <c r="J98" s="9">
        <f t="shared" si="71"/>
        <v>0</v>
      </c>
      <c r="K98" s="9">
        <v>0</v>
      </c>
      <c r="L98" s="9">
        <f t="shared" si="71"/>
        <v>0</v>
      </c>
      <c r="M98" s="9">
        <f t="shared" si="71"/>
        <v>0</v>
      </c>
      <c r="N98" s="9">
        <v>0</v>
      </c>
      <c r="O98" s="9">
        <f t="shared" si="71"/>
        <v>0</v>
      </c>
      <c r="P98" s="9">
        <f t="shared" si="71"/>
        <v>0</v>
      </c>
      <c r="Q98" s="9">
        <v>0</v>
      </c>
      <c r="R98" s="62">
        <f t="shared" si="71"/>
        <v>0</v>
      </c>
      <c r="S98" s="9">
        <f t="shared" si="71"/>
        <v>0</v>
      </c>
      <c r="T98" s="9">
        <v>0</v>
      </c>
      <c r="U98" s="9">
        <f t="shared" si="71"/>
        <v>0</v>
      </c>
      <c r="V98" s="9">
        <f t="shared" si="71"/>
        <v>0</v>
      </c>
      <c r="W98" s="9">
        <v>0</v>
      </c>
      <c r="X98" s="9">
        <f t="shared" si="71"/>
        <v>0</v>
      </c>
      <c r="Y98" s="9">
        <f t="shared" si="71"/>
        <v>0</v>
      </c>
      <c r="Z98" s="9">
        <v>0</v>
      </c>
      <c r="AA98" s="9">
        <f t="shared" si="71"/>
        <v>210</v>
      </c>
      <c r="AB98" s="9">
        <f t="shared" si="71"/>
        <v>210</v>
      </c>
      <c r="AC98" s="9">
        <f t="shared" si="71"/>
        <v>100</v>
      </c>
      <c r="AD98" s="9">
        <f t="shared" si="71"/>
        <v>473.8</v>
      </c>
      <c r="AE98" s="9">
        <f t="shared" si="71"/>
        <v>473.8</v>
      </c>
      <c r="AF98" s="9">
        <f t="shared" si="71"/>
        <v>100</v>
      </c>
      <c r="AG98" s="9">
        <f t="shared" si="71"/>
        <v>490</v>
      </c>
      <c r="AH98" s="9">
        <f t="shared" si="71"/>
        <v>490</v>
      </c>
      <c r="AI98" s="9">
        <f t="shared" si="71"/>
        <v>100</v>
      </c>
      <c r="AJ98" s="9">
        <f t="shared" si="71"/>
        <v>3896.2</v>
      </c>
      <c r="AK98" s="9">
        <f t="shared" si="71"/>
        <v>0</v>
      </c>
      <c r="AL98" s="9">
        <f t="shared" si="71"/>
        <v>0</v>
      </c>
      <c r="AM98" s="9">
        <f t="shared" si="71"/>
        <v>0</v>
      </c>
      <c r="AN98" s="9">
        <f t="shared" si="71"/>
        <v>0</v>
      </c>
      <c r="AO98" s="9">
        <f t="shared" si="71"/>
        <v>0</v>
      </c>
      <c r="AP98" s="9">
        <f t="shared" si="71"/>
        <v>0</v>
      </c>
      <c r="AQ98" s="9"/>
      <c r="AR98" s="9"/>
      <c r="AS98" s="16"/>
      <c r="AT98" s="26"/>
    </row>
    <row r="99" spans="1:46" s="27" customFormat="1" ht="28.5" customHeight="1">
      <c r="A99" s="19"/>
      <c r="B99" s="21" t="s">
        <v>62</v>
      </c>
      <c r="C99" s="21"/>
      <c r="D99" s="22"/>
      <c r="E99" s="21"/>
      <c r="F99" s="9"/>
      <c r="G99" s="9"/>
      <c r="H99" s="9"/>
      <c r="I99" s="7"/>
      <c r="J99" s="7"/>
      <c r="K99" s="7"/>
      <c r="L99" s="7"/>
      <c r="M99" s="7"/>
      <c r="N99" s="7"/>
      <c r="O99" s="7"/>
      <c r="P99" s="7"/>
      <c r="Q99" s="7"/>
      <c r="R99" s="63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5"/>
      <c r="AR99" s="5"/>
      <c r="AS99" s="16"/>
      <c r="AT99" s="26"/>
    </row>
    <row r="100" spans="1:46" s="27" customFormat="1" ht="29.25" customHeight="1">
      <c r="A100" s="115"/>
      <c r="B100" s="118" t="s">
        <v>63</v>
      </c>
      <c r="C100" s="21"/>
      <c r="D100" s="22"/>
      <c r="E100" s="14" t="s">
        <v>20</v>
      </c>
      <c r="F100" s="9">
        <f aca="true" t="shared" si="72" ref="F100:AR100">F83</f>
        <v>259902.8</v>
      </c>
      <c r="G100" s="9">
        <f t="shared" si="72"/>
        <v>180485.2</v>
      </c>
      <c r="H100" s="9">
        <f t="shared" si="72"/>
        <v>69.44334574310089</v>
      </c>
      <c r="I100" s="9">
        <f t="shared" si="72"/>
        <v>4412.2</v>
      </c>
      <c r="J100" s="9">
        <f t="shared" si="72"/>
        <v>4412.2</v>
      </c>
      <c r="K100" s="9">
        <f t="shared" si="72"/>
        <v>100</v>
      </c>
      <c r="L100" s="9">
        <f t="shared" si="72"/>
        <v>17665.6</v>
      </c>
      <c r="M100" s="9">
        <f t="shared" si="72"/>
        <v>17526.2</v>
      </c>
      <c r="N100" s="9">
        <f t="shared" si="72"/>
        <v>99.21089575219636</v>
      </c>
      <c r="O100" s="9">
        <f t="shared" si="72"/>
        <v>22423.7</v>
      </c>
      <c r="P100" s="9">
        <f t="shared" si="72"/>
        <v>18368.2</v>
      </c>
      <c r="Q100" s="9">
        <f t="shared" si="72"/>
        <v>81.91422468192137</v>
      </c>
      <c r="R100" s="62">
        <f t="shared" si="72"/>
        <v>40510.799999999996</v>
      </c>
      <c r="S100" s="9">
        <f t="shared" si="72"/>
        <v>40572.8</v>
      </c>
      <c r="T100" s="9">
        <f t="shared" si="72"/>
        <v>100.15304560759108</v>
      </c>
      <c r="U100" s="9">
        <f t="shared" si="72"/>
        <v>13686.1</v>
      </c>
      <c r="V100" s="9">
        <f t="shared" si="72"/>
        <v>17779.1</v>
      </c>
      <c r="W100" s="9">
        <f t="shared" si="72"/>
        <v>129.9062552516787</v>
      </c>
      <c r="X100" s="9">
        <f t="shared" si="72"/>
        <v>29242.3</v>
      </c>
      <c r="Y100" s="9">
        <f t="shared" si="72"/>
        <v>29242.3</v>
      </c>
      <c r="Z100" s="9">
        <f t="shared" si="72"/>
        <v>100</v>
      </c>
      <c r="AA100" s="9">
        <f t="shared" si="72"/>
        <v>27055.199999999997</v>
      </c>
      <c r="AB100" s="9">
        <f t="shared" si="72"/>
        <v>25540.899999999998</v>
      </c>
      <c r="AC100" s="9">
        <f t="shared" si="72"/>
        <v>94.40292439161418</v>
      </c>
      <c r="AD100" s="9">
        <f t="shared" si="72"/>
        <v>15324.900000000001</v>
      </c>
      <c r="AE100" s="9">
        <f t="shared" si="72"/>
        <v>14143.400000000001</v>
      </c>
      <c r="AF100" s="9">
        <f t="shared" si="72"/>
        <v>92.29032489608416</v>
      </c>
      <c r="AG100" s="9">
        <f t="shared" si="72"/>
        <v>14128.199999999997</v>
      </c>
      <c r="AH100" s="9">
        <f t="shared" si="72"/>
        <v>12900.1</v>
      </c>
      <c r="AI100" s="9">
        <f t="shared" si="72"/>
        <v>91.3074560099659</v>
      </c>
      <c r="AJ100" s="9">
        <f t="shared" si="72"/>
        <v>24091.8</v>
      </c>
      <c r="AK100" s="9">
        <f t="shared" si="72"/>
        <v>0</v>
      </c>
      <c r="AL100" s="9">
        <f t="shared" si="72"/>
        <v>0</v>
      </c>
      <c r="AM100" s="9">
        <f t="shared" si="72"/>
        <v>14935.6</v>
      </c>
      <c r="AN100" s="9">
        <f t="shared" si="72"/>
        <v>0</v>
      </c>
      <c r="AO100" s="9">
        <f t="shared" si="72"/>
        <v>0</v>
      </c>
      <c r="AP100" s="9">
        <f t="shared" si="72"/>
        <v>36426.4</v>
      </c>
      <c r="AQ100" s="9">
        <f t="shared" si="72"/>
        <v>0</v>
      </c>
      <c r="AR100" s="9">
        <f t="shared" si="72"/>
        <v>0</v>
      </c>
      <c r="AS100" s="16"/>
      <c r="AT100" s="26"/>
    </row>
    <row r="101" spans="1:46" s="27" customFormat="1" ht="29.25" customHeight="1">
      <c r="A101" s="116"/>
      <c r="B101" s="119"/>
      <c r="C101" s="21"/>
      <c r="D101" s="22"/>
      <c r="E101" s="15" t="s">
        <v>21</v>
      </c>
      <c r="F101" s="9">
        <f aca="true" t="shared" si="73" ref="F101:AR101">F84</f>
        <v>6518.9</v>
      </c>
      <c r="G101" s="9">
        <f t="shared" si="73"/>
        <v>6518.9</v>
      </c>
      <c r="H101" s="9">
        <f t="shared" si="73"/>
        <v>0</v>
      </c>
      <c r="I101" s="9">
        <f t="shared" si="73"/>
        <v>0</v>
      </c>
      <c r="J101" s="9">
        <f t="shared" si="73"/>
        <v>0</v>
      </c>
      <c r="K101" s="9">
        <f t="shared" si="73"/>
        <v>0</v>
      </c>
      <c r="L101" s="9">
        <f t="shared" si="73"/>
        <v>29.6</v>
      </c>
      <c r="M101" s="9">
        <f t="shared" si="73"/>
        <v>0</v>
      </c>
      <c r="N101" s="9">
        <f t="shared" si="73"/>
        <v>0</v>
      </c>
      <c r="O101" s="9">
        <f t="shared" si="73"/>
        <v>1925.7</v>
      </c>
      <c r="P101" s="9">
        <f t="shared" si="73"/>
        <v>375.7</v>
      </c>
      <c r="Q101" s="9">
        <f t="shared" si="73"/>
        <v>0</v>
      </c>
      <c r="R101" s="62">
        <f t="shared" si="73"/>
        <v>0</v>
      </c>
      <c r="S101" s="9">
        <f t="shared" si="73"/>
        <v>0</v>
      </c>
      <c r="T101" s="9">
        <f t="shared" si="73"/>
        <v>0</v>
      </c>
      <c r="U101" s="9">
        <f t="shared" si="73"/>
        <v>509.9999999999999</v>
      </c>
      <c r="V101" s="9">
        <f t="shared" si="73"/>
        <v>2089.6</v>
      </c>
      <c r="W101" s="9">
        <f t="shared" si="73"/>
        <v>409.72549019607845</v>
      </c>
      <c r="X101" s="9">
        <f t="shared" si="73"/>
        <v>122.30000000000018</v>
      </c>
      <c r="Y101" s="9">
        <f t="shared" si="73"/>
        <v>122.3</v>
      </c>
      <c r="Z101" s="9">
        <f t="shared" si="73"/>
        <v>99.99999999999984</v>
      </c>
      <c r="AA101" s="9">
        <f t="shared" si="73"/>
        <v>2265.9</v>
      </c>
      <c r="AB101" s="9">
        <f t="shared" si="73"/>
        <v>2265.9</v>
      </c>
      <c r="AC101" s="9">
        <f t="shared" si="73"/>
        <v>100</v>
      </c>
      <c r="AD101" s="9">
        <f t="shared" si="73"/>
        <v>1665.4</v>
      </c>
      <c r="AE101" s="9">
        <f t="shared" si="73"/>
        <v>1665.4</v>
      </c>
      <c r="AF101" s="9">
        <f t="shared" si="73"/>
        <v>100</v>
      </c>
      <c r="AG101" s="9">
        <f t="shared" si="73"/>
        <v>0</v>
      </c>
      <c r="AH101" s="9">
        <f t="shared" si="73"/>
        <v>0</v>
      </c>
      <c r="AI101" s="9">
        <f t="shared" si="73"/>
        <v>0</v>
      </c>
      <c r="AJ101" s="9">
        <f t="shared" si="73"/>
        <v>0</v>
      </c>
      <c r="AK101" s="9">
        <f t="shared" si="73"/>
        <v>0</v>
      </c>
      <c r="AL101" s="9">
        <f t="shared" si="73"/>
        <v>0</v>
      </c>
      <c r="AM101" s="9">
        <f t="shared" si="73"/>
        <v>0</v>
      </c>
      <c r="AN101" s="9">
        <f t="shared" si="73"/>
        <v>0</v>
      </c>
      <c r="AO101" s="9">
        <f t="shared" si="73"/>
        <v>0</v>
      </c>
      <c r="AP101" s="9">
        <f t="shared" si="73"/>
        <v>0</v>
      </c>
      <c r="AQ101" s="9">
        <f t="shared" si="73"/>
        <v>0</v>
      </c>
      <c r="AR101" s="9">
        <f t="shared" si="73"/>
        <v>0</v>
      </c>
      <c r="AS101" s="16"/>
      <c r="AT101" s="26"/>
    </row>
    <row r="102" spans="1:46" s="27" customFormat="1" ht="29.25" customHeight="1">
      <c r="A102" s="116"/>
      <c r="B102" s="119"/>
      <c r="C102" s="21"/>
      <c r="D102" s="22"/>
      <c r="E102" s="15" t="s">
        <v>22</v>
      </c>
      <c r="F102" s="9">
        <f aca="true" t="shared" si="74" ref="F102:AR102">F85</f>
        <v>10775.700000000003</v>
      </c>
      <c r="G102" s="9">
        <f t="shared" si="74"/>
        <v>10729.2</v>
      </c>
      <c r="H102" s="9">
        <f t="shared" si="74"/>
        <v>99.56847350984157</v>
      </c>
      <c r="I102" s="9">
        <f t="shared" si="74"/>
        <v>0</v>
      </c>
      <c r="J102" s="9">
        <f t="shared" si="74"/>
        <v>0</v>
      </c>
      <c r="K102" s="9">
        <f t="shared" si="74"/>
        <v>0</v>
      </c>
      <c r="L102" s="9">
        <f t="shared" si="74"/>
        <v>140.1</v>
      </c>
      <c r="M102" s="9">
        <f t="shared" si="74"/>
        <v>31.8</v>
      </c>
      <c r="N102" s="9">
        <f t="shared" si="74"/>
        <v>0</v>
      </c>
      <c r="O102" s="9">
        <f t="shared" si="74"/>
        <v>3019.2</v>
      </c>
      <c r="P102" s="9">
        <f t="shared" si="74"/>
        <v>594.8000000000001</v>
      </c>
      <c r="Q102" s="9">
        <f t="shared" si="74"/>
        <v>19.700582935877055</v>
      </c>
      <c r="R102" s="62">
        <f t="shared" si="74"/>
        <v>7.2</v>
      </c>
      <c r="S102" s="9">
        <f t="shared" si="74"/>
        <v>69.2</v>
      </c>
      <c r="T102" s="9">
        <f t="shared" si="74"/>
        <v>961.1111111111111</v>
      </c>
      <c r="U102" s="9">
        <f t="shared" si="74"/>
        <v>804.8000000000001</v>
      </c>
      <c r="V102" s="9">
        <f t="shared" si="74"/>
        <v>3275.5</v>
      </c>
      <c r="W102" s="9">
        <f t="shared" si="74"/>
        <v>406.99552683896616</v>
      </c>
      <c r="X102" s="9">
        <f t="shared" si="74"/>
        <v>253.50000000000017</v>
      </c>
      <c r="Y102" s="9">
        <f t="shared" si="74"/>
        <v>253.5</v>
      </c>
      <c r="Z102" s="9">
        <f t="shared" si="74"/>
        <v>99.99999999999993</v>
      </c>
      <c r="AA102" s="9">
        <f t="shared" si="74"/>
        <v>3551.3</v>
      </c>
      <c r="AB102" s="9">
        <f t="shared" si="74"/>
        <v>3551.7999999999997</v>
      </c>
      <c r="AC102" s="9">
        <f t="shared" si="74"/>
        <v>100.01407935122349</v>
      </c>
      <c r="AD102" s="9">
        <f t="shared" si="74"/>
        <v>2774.2000000000003</v>
      </c>
      <c r="AE102" s="9">
        <f t="shared" si="74"/>
        <v>2612</v>
      </c>
      <c r="AF102" s="9">
        <f t="shared" si="74"/>
        <v>94.15326941100136</v>
      </c>
      <c r="AG102" s="9">
        <f t="shared" si="74"/>
        <v>189.10000000000002</v>
      </c>
      <c r="AH102" s="9">
        <f t="shared" si="74"/>
        <v>340.6</v>
      </c>
      <c r="AI102" s="9">
        <f t="shared" si="74"/>
        <v>180.11634056054996</v>
      </c>
      <c r="AJ102" s="9">
        <f t="shared" si="74"/>
        <v>7.2</v>
      </c>
      <c r="AK102" s="9">
        <f t="shared" si="74"/>
        <v>0</v>
      </c>
      <c r="AL102" s="9">
        <f t="shared" si="74"/>
        <v>0</v>
      </c>
      <c r="AM102" s="9">
        <f t="shared" si="74"/>
        <v>7.2</v>
      </c>
      <c r="AN102" s="9">
        <f t="shared" si="74"/>
        <v>0</v>
      </c>
      <c r="AO102" s="9">
        <f t="shared" si="74"/>
        <v>0</v>
      </c>
      <c r="AP102" s="9">
        <f t="shared" si="74"/>
        <v>21.9</v>
      </c>
      <c r="AQ102" s="9">
        <f t="shared" si="74"/>
        <v>0</v>
      </c>
      <c r="AR102" s="9">
        <f t="shared" si="74"/>
        <v>0</v>
      </c>
      <c r="AS102" s="16"/>
      <c r="AT102" s="26"/>
    </row>
    <row r="103" spans="1:46" s="27" customFormat="1" ht="29.25" customHeight="1">
      <c r="A103" s="117"/>
      <c r="B103" s="119"/>
      <c r="C103" s="21"/>
      <c r="D103" s="22"/>
      <c r="E103" s="15" t="s">
        <v>23</v>
      </c>
      <c r="F103" s="9">
        <f>F86</f>
        <v>237538.19999999998</v>
      </c>
      <c r="G103" s="9">
        <f aca="true" t="shared" si="75" ref="G103:AR104">G86</f>
        <v>162063.30000000002</v>
      </c>
      <c r="H103" s="9">
        <f t="shared" si="75"/>
        <v>68.22620530087372</v>
      </c>
      <c r="I103" s="9">
        <f t="shared" si="75"/>
        <v>4412.2</v>
      </c>
      <c r="J103" s="9">
        <f t="shared" si="75"/>
        <v>4412.2</v>
      </c>
      <c r="K103" s="9">
        <f t="shared" si="75"/>
        <v>100</v>
      </c>
      <c r="L103" s="9">
        <f t="shared" si="75"/>
        <v>17495.899999999998</v>
      </c>
      <c r="M103" s="9">
        <f t="shared" si="75"/>
        <v>17494.4</v>
      </c>
      <c r="N103" s="9">
        <f t="shared" si="75"/>
        <v>99.99142656279473</v>
      </c>
      <c r="O103" s="9">
        <f t="shared" si="75"/>
        <v>17478.8</v>
      </c>
      <c r="P103" s="9">
        <f t="shared" si="75"/>
        <v>17397.7</v>
      </c>
      <c r="Q103" s="9">
        <f t="shared" si="75"/>
        <v>99.53600933702543</v>
      </c>
      <c r="R103" s="62">
        <f t="shared" si="75"/>
        <v>40503.6</v>
      </c>
      <c r="S103" s="9">
        <f t="shared" si="75"/>
        <v>40503.600000000006</v>
      </c>
      <c r="T103" s="9">
        <f t="shared" si="75"/>
        <v>100.00000000000003</v>
      </c>
      <c r="U103" s="9">
        <f t="shared" si="75"/>
        <v>12371.300000000001</v>
      </c>
      <c r="V103" s="9">
        <f t="shared" si="75"/>
        <v>12414</v>
      </c>
      <c r="W103" s="9">
        <f t="shared" si="75"/>
        <v>100.34515370252115</v>
      </c>
      <c r="X103" s="9">
        <f t="shared" si="75"/>
        <v>28866.5</v>
      </c>
      <c r="Y103" s="9">
        <f t="shared" si="75"/>
        <v>28866.5</v>
      </c>
      <c r="Z103" s="9">
        <f t="shared" si="75"/>
        <v>100</v>
      </c>
      <c r="AA103" s="9">
        <f t="shared" si="75"/>
        <v>21028</v>
      </c>
      <c r="AB103" s="9">
        <f t="shared" si="75"/>
        <v>19513.199999999997</v>
      </c>
      <c r="AC103" s="9">
        <f t="shared" si="75"/>
        <v>92.79627163781623</v>
      </c>
      <c r="AD103" s="9">
        <f t="shared" si="75"/>
        <v>10411.5</v>
      </c>
      <c r="AE103" s="9">
        <f t="shared" si="75"/>
        <v>9392.2</v>
      </c>
      <c r="AF103" s="9">
        <f t="shared" si="75"/>
        <v>90.20986409258992</v>
      </c>
      <c r="AG103" s="9">
        <f t="shared" si="75"/>
        <v>13449.099999999999</v>
      </c>
      <c r="AH103" s="9">
        <f t="shared" si="75"/>
        <v>12069.5</v>
      </c>
      <c r="AI103" s="9">
        <f t="shared" si="75"/>
        <v>89.74206452476375</v>
      </c>
      <c r="AJ103" s="9">
        <f t="shared" si="75"/>
        <v>20188.399999999998</v>
      </c>
      <c r="AK103" s="9">
        <f t="shared" si="75"/>
        <v>0</v>
      </c>
      <c r="AL103" s="9">
        <f t="shared" si="75"/>
        <v>0</v>
      </c>
      <c r="AM103" s="9">
        <f t="shared" si="75"/>
        <v>14928.4</v>
      </c>
      <c r="AN103" s="9">
        <f t="shared" si="75"/>
        <v>0</v>
      </c>
      <c r="AO103" s="9">
        <f t="shared" si="75"/>
        <v>0</v>
      </c>
      <c r="AP103" s="9">
        <f t="shared" si="75"/>
        <v>36404.5</v>
      </c>
      <c r="AQ103" s="9">
        <f t="shared" si="75"/>
        <v>0</v>
      </c>
      <c r="AR103" s="9">
        <f t="shared" si="75"/>
        <v>0</v>
      </c>
      <c r="AS103" s="16"/>
      <c r="AT103" s="26"/>
    </row>
    <row r="104" spans="1:46" s="27" customFormat="1" ht="39.75" customHeight="1">
      <c r="A104" s="67"/>
      <c r="B104" s="120"/>
      <c r="C104" s="21"/>
      <c r="D104" s="22"/>
      <c r="E104" s="15" t="s">
        <v>92</v>
      </c>
      <c r="F104" s="9">
        <f>F87</f>
        <v>5070</v>
      </c>
      <c r="G104" s="9">
        <f t="shared" si="75"/>
        <v>1173.8</v>
      </c>
      <c r="H104" s="9">
        <f t="shared" si="75"/>
        <v>23.151873767258383</v>
      </c>
      <c r="I104" s="9">
        <f t="shared" si="75"/>
        <v>0</v>
      </c>
      <c r="J104" s="9">
        <f t="shared" si="75"/>
        <v>0</v>
      </c>
      <c r="K104" s="9">
        <f t="shared" si="75"/>
        <v>0</v>
      </c>
      <c r="L104" s="9">
        <f t="shared" si="75"/>
        <v>0</v>
      </c>
      <c r="M104" s="9">
        <f t="shared" si="75"/>
        <v>0</v>
      </c>
      <c r="N104" s="9">
        <f t="shared" si="75"/>
        <v>0</v>
      </c>
      <c r="O104" s="9">
        <f t="shared" si="75"/>
        <v>0</v>
      </c>
      <c r="P104" s="9">
        <f t="shared" si="75"/>
        <v>0</v>
      </c>
      <c r="Q104" s="9">
        <f t="shared" si="75"/>
        <v>0</v>
      </c>
      <c r="R104" s="62">
        <f t="shared" si="75"/>
        <v>0</v>
      </c>
      <c r="S104" s="9">
        <f t="shared" si="75"/>
        <v>0</v>
      </c>
      <c r="T104" s="9">
        <f t="shared" si="75"/>
        <v>0</v>
      </c>
      <c r="U104" s="9">
        <f t="shared" si="75"/>
        <v>0</v>
      </c>
      <c r="V104" s="9">
        <f t="shared" si="75"/>
        <v>0</v>
      </c>
      <c r="W104" s="9">
        <f t="shared" si="75"/>
        <v>0</v>
      </c>
      <c r="X104" s="9">
        <f t="shared" si="75"/>
        <v>0</v>
      </c>
      <c r="Y104" s="9">
        <f t="shared" si="75"/>
        <v>0</v>
      </c>
      <c r="Z104" s="9">
        <f t="shared" si="75"/>
        <v>0</v>
      </c>
      <c r="AA104" s="9">
        <f t="shared" si="75"/>
        <v>210</v>
      </c>
      <c r="AB104" s="9">
        <f t="shared" si="75"/>
        <v>210</v>
      </c>
      <c r="AC104" s="9">
        <f t="shared" si="75"/>
        <v>100</v>
      </c>
      <c r="AD104" s="9">
        <f t="shared" si="75"/>
        <v>473.8</v>
      </c>
      <c r="AE104" s="9">
        <f t="shared" si="75"/>
        <v>473.8</v>
      </c>
      <c r="AF104" s="9">
        <f t="shared" si="75"/>
        <v>100</v>
      </c>
      <c r="AG104" s="9">
        <f t="shared" si="75"/>
        <v>490</v>
      </c>
      <c r="AH104" s="9">
        <f t="shared" si="75"/>
        <v>490</v>
      </c>
      <c r="AI104" s="9">
        <f t="shared" si="75"/>
        <v>100</v>
      </c>
      <c r="AJ104" s="9">
        <f t="shared" si="75"/>
        <v>3896.2</v>
      </c>
      <c r="AK104" s="9">
        <f t="shared" si="75"/>
        <v>0</v>
      </c>
      <c r="AL104" s="9">
        <f t="shared" si="75"/>
        <v>0</v>
      </c>
      <c r="AM104" s="9">
        <f t="shared" si="75"/>
        <v>0</v>
      </c>
      <c r="AN104" s="9">
        <f t="shared" si="75"/>
        <v>0</v>
      </c>
      <c r="AO104" s="9">
        <f t="shared" si="75"/>
        <v>0</v>
      </c>
      <c r="AP104" s="9">
        <f t="shared" si="75"/>
        <v>0</v>
      </c>
      <c r="AQ104" s="9"/>
      <c r="AR104" s="9"/>
      <c r="AS104" s="16"/>
      <c r="AT104" s="26"/>
    </row>
    <row r="105" spans="1:46" s="27" customFormat="1" ht="29.25" customHeight="1">
      <c r="A105" s="115"/>
      <c r="B105" s="118" t="s">
        <v>64</v>
      </c>
      <c r="C105" s="21"/>
      <c r="D105" s="22"/>
      <c r="E105" s="14" t="s">
        <v>20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/>
      <c r="AR105" s="9"/>
      <c r="AS105" s="16"/>
      <c r="AT105" s="26"/>
    </row>
    <row r="106" spans="1:46" s="27" customFormat="1" ht="29.25" customHeight="1">
      <c r="A106" s="116"/>
      <c r="B106" s="119"/>
      <c r="C106" s="21"/>
      <c r="D106" s="22"/>
      <c r="E106" s="15" t="s">
        <v>21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/>
      <c r="AR106" s="9"/>
      <c r="AS106" s="16"/>
      <c r="AT106" s="26"/>
    </row>
    <row r="107" spans="1:46" s="27" customFormat="1" ht="29.25" customHeight="1">
      <c r="A107" s="116"/>
      <c r="B107" s="119"/>
      <c r="C107" s="21"/>
      <c r="D107" s="22"/>
      <c r="E107" s="15" t="s">
        <v>22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/>
      <c r="AR107" s="9"/>
      <c r="AS107" s="16"/>
      <c r="AT107" s="26"/>
    </row>
    <row r="108" spans="1:46" s="27" customFormat="1" ht="43.5" customHeight="1">
      <c r="A108" s="117"/>
      <c r="B108" s="120"/>
      <c r="C108" s="21"/>
      <c r="D108" s="22"/>
      <c r="E108" s="15" t="s">
        <v>23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5"/>
      <c r="AR108" s="5"/>
      <c r="AS108" s="16"/>
      <c r="AT108" s="26"/>
    </row>
    <row r="110" spans="1:4" s="13" customFormat="1" ht="12.75">
      <c r="A110" s="40"/>
      <c r="B110" s="41"/>
      <c r="C110" s="41"/>
      <c r="D110" s="41"/>
    </row>
    <row r="111" spans="1:46" s="13" customFormat="1" ht="15.75">
      <c r="A111" s="42" t="s">
        <v>26</v>
      </c>
      <c r="B111" s="43"/>
      <c r="C111" s="43"/>
      <c r="D111" s="43"/>
      <c r="E111" s="44" t="s">
        <v>36</v>
      </c>
      <c r="F111" s="44"/>
      <c r="G111" s="44"/>
      <c r="H111" s="44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s="13" customFormat="1" ht="15.75">
      <c r="A112" s="42" t="s">
        <v>27</v>
      </c>
      <c r="B112" s="43"/>
      <c r="C112" s="43"/>
      <c r="D112" s="43"/>
      <c r="E112" s="121" t="s">
        <v>56</v>
      </c>
      <c r="F112" s="121"/>
      <c r="G112" s="121"/>
      <c r="H112" s="121"/>
      <c r="I112" s="45"/>
      <c r="J112" s="28"/>
      <c r="K112" s="28"/>
      <c r="L112" s="28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 s="13" customFormat="1" ht="29.25" customHeight="1">
      <c r="A113" s="122" t="s">
        <v>106</v>
      </c>
      <c r="B113" s="122"/>
      <c r="C113" s="122"/>
      <c r="D113" s="43"/>
      <c r="E113" s="121"/>
      <c r="F113" s="121"/>
      <c r="G113" s="121"/>
      <c r="H113" s="121"/>
      <c r="I113" s="45"/>
      <c r="J113" s="28"/>
      <c r="K113" s="28"/>
      <c r="L113" s="28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s="13" customFormat="1" ht="27.75" customHeight="1">
      <c r="A114" s="122"/>
      <c r="B114" s="122"/>
      <c r="C114" s="122"/>
      <c r="D114" s="43"/>
      <c r="E114" s="121"/>
      <c r="F114" s="121"/>
      <c r="G114" s="121"/>
      <c r="H114" s="121"/>
      <c r="I114" s="45"/>
      <c r="J114" s="28"/>
      <c r="K114" s="28"/>
      <c r="L114" s="28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2:46" s="13" customFormat="1" ht="15.75">
      <c r="B115" s="43"/>
      <c r="C115" s="43"/>
      <c r="D115" s="43"/>
      <c r="E115" s="28"/>
      <c r="F115" s="28"/>
      <c r="G115" s="28"/>
      <c r="H115" s="45"/>
      <c r="I115" s="45"/>
      <c r="J115" s="28"/>
      <c r="K115" s="28"/>
      <c r="L115" s="28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13" customFormat="1" ht="15.75">
      <c r="A116" s="46"/>
      <c r="B116" s="47"/>
      <c r="C116" s="81" t="s">
        <v>107</v>
      </c>
      <c r="D116" s="43"/>
      <c r="E116" s="123" t="s">
        <v>37</v>
      </c>
      <c r="F116" s="123"/>
      <c r="G116" s="123"/>
      <c r="H116" s="123"/>
      <c r="I116" s="45"/>
      <c r="J116" s="28"/>
      <c r="K116" s="28"/>
      <c r="L116" s="28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s="13" customFormat="1" ht="15.75">
      <c r="A117" s="42" t="s">
        <v>81</v>
      </c>
      <c r="B117" s="43"/>
      <c r="C117" s="43"/>
      <c r="D117" s="43"/>
      <c r="E117" s="44" t="s">
        <v>81</v>
      </c>
      <c r="F117" s="44"/>
      <c r="G117" s="44"/>
      <c r="H117" s="44"/>
      <c r="I117" s="48"/>
      <c r="J117" s="49"/>
      <c r="K117" s="48"/>
      <c r="L117" s="5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13" customFormat="1" ht="12.75">
      <c r="A118" s="51"/>
      <c r="B118" s="52"/>
      <c r="C118" s="52"/>
      <c r="D118" s="5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s="13" customFormat="1" ht="12.75">
      <c r="A119" s="51"/>
      <c r="B119" s="52"/>
      <c r="C119" s="52"/>
      <c r="D119" s="5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13" customFormat="1" ht="12.75">
      <c r="A120" s="53" t="s">
        <v>31</v>
      </c>
      <c r="B120" s="52"/>
      <c r="C120" s="52"/>
      <c r="D120" s="5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s="13" customFormat="1" ht="12.75">
      <c r="A121" s="54" t="s">
        <v>29</v>
      </c>
      <c r="B121" s="52"/>
      <c r="C121" s="52"/>
      <c r="D121" s="5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s="13" customFormat="1" ht="12.75">
      <c r="A122" s="54" t="s">
        <v>28</v>
      </c>
      <c r="B122" s="52"/>
      <c r="C122" s="52"/>
      <c r="D122" s="5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s="13" customFormat="1" ht="12.75">
      <c r="A123" s="54" t="s">
        <v>30</v>
      </c>
      <c r="B123" s="52"/>
      <c r="C123" s="52"/>
      <c r="D123" s="5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s="13" customFormat="1" ht="12.75">
      <c r="A124" s="54" t="s">
        <v>55</v>
      </c>
      <c r="B124" s="52"/>
      <c r="C124" s="52"/>
      <c r="D124" s="5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s="13" customFormat="1" ht="12.75">
      <c r="A125" s="54" t="s">
        <v>90</v>
      </c>
      <c r="B125" s="52"/>
      <c r="C125" s="52"/>
      <c r="D125" s="5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s="13" customFormat="1" ht="12.75">
      <c r="A126" s="54" t="s">
        <v>32</v>
      </c>
      <c r="B126" s="52"/>
      <c r="C126" s="52"/>
      <c r="D126" s="5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s="13" customFormat="1" ht="12.75">
      <c r="A127" s="54" t="s">
        <v>33</v>
      </c>
      <c r="B127" s="52"/>
      <c r="C127" s="52"/>
      <c r="D127" s="5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s="13" customFormat="1" ht="12.75">
      <c r="A128" s="54" t="s">
        <v>57</v>
      </c>
      <c r="B128" s="52"/>
      <c r="C128" s="52"/>
      <c r="D128" s="5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s="13" customFormat="1" ht="12.75">
      <c r="A129" s="51"/>
      <c r="B129" s="52"/>
      <c r="C129" s="52"/>
      <c r="D129" s="5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" s="13" customFormat="1" ht="12.75">
      <c r="A130" s="40"/>
      <c r="B130" s="41"/>
      <c r="C130" s="41"/>
      <c r="D130" s="41"/>
    </row>
    <row r="131" spans="1:4" s="13" customFormat="1" ht="12.75">
      <c r="A131" s="40"/>
      <c r="B131" s="41"/>
      <c r="C131" s="41"/>
      <c r="D131" s="41"/>
    </row>
    <row r="132" spans="1:4" s="13" customFormat="1" ht="12.75">
      <c r="A132" s="40"/>
      <c r="B132" s="41"/>
      <c r="C132" s="41"/>
      <c r="D132" s="41"/>
    </row>
    <row r="133" spans="1:4" s="13" customFormat="1" ht="12.75">
      <c r="A133" s="40"/>
      <c r="B133" s="41"/>
      <c r="C133" s="41"/>
      <c r="D133" s="41"/>
    </row>
    <row r="134" spans="1:4" s="13" customFormat="1" ht="12.75">
      <c r="A134" s="40"/>
      <c r="B134" s="41"/>
      <c r="C134" s="41"/>
      <c r="D134" s="41"/>
    </row>
    <row r="135" spans="1:4" s="13" customFormat="1" ht="12.75">
      <c r="A135" s="40"/>
      <c r="B135" s="41"/>
      <c r="C135" s="41"/>
      <c r="D135" s="41"/>
    </row>
    <row r="136" spans="1:4" s="13" customFormat="1" ht="12.75">
      <c r="A136" s="40"/>
      <c r="B136" s="41"/>
      <c r="C136" s="41"/>
      <c r="D136" s="41"/>
    </row>
  </sheetData>
  <sheetProtection/>
  <mergeCells count="113">
    <mergeCell ref="AS78:AS82"/>
    <mergeCell ref="AT78:AT82"/>
    <mergeCell ref="E78:E82"/>
    <mergeCell ref="A8:A12"/>
    <mergeCell ref="A1:L1"/>
    <mergeCell ref="E5:E7"/>
    <mergeCell ref="F5:H6"/>
    <mergeCell ref="AA6:AC6"/>
    <mergeCell ref="AD6:AF6"/>
    <mergeCell ref="A2:L2"/>
    <mergeCell ref="A3:L3"/>
    <mergeCell ref="X6:Z6"/>
    <mergeCell ref="A5:A7"/>
    <mergeCell ref="B5:B7"/>
    <mergeCell ref="C5:C7"/>
    <mergeCell ref="D5:D7"/>
    <mergeCell ref="L6:N6"/>
    <mergeCell ref="I5:AR5"/>
    <mergeCell ref="C18:C22"/>
    <mergeCell ref="AT13:AT16"/>
    <mergeCell ref="D18:D21"/>
    <mergeCell ref="AS18:AS21"/>
    <mergeCell ref="AT18:AT21"/>
    <mergeCell ref="U6:W6"/>
    <mergeCell ref="AM6:AO6"/>
    <mergeCell ref="AJ6:AL6"/>
    <mergeCell ref="O6:Q6"/>
    <mergeCell ref="AP6:AR6"/>
    <mergeCell ref="AG6:AI6"/>
    <mergeCell ref="B38:B42"/>
    <mergeCell ref="D13:D16"/>
    <mergeCell ref="D23:D26"/>
    <mergeCell ref="B8:D12"/>
    <mergeCell ref="C33:C37"/>
    <mergeCell ref="B33:B37"/>
    <mergeCell ref="I6:K6"/>
    <mergeCell ref="R6:T6"/>
    <mergeCell ref="A13:A17"/>
    <mergeCell ref="B13:B17"/>
    <mergeCell ref="C13:C17"/>
    <mergeCell ref="A18:A22"/>
    <mergeCell ref="AS33:AS36"/>
    <mergeCell ref="AS28:AS32"/>
    <mergeCell ref="AS13:AS16"/>
    <mergeCell ref="AS23:AS26"/>
    <mergeCell ref="A28:A32"/>
    <mergeCell ref="C68:C72"/>
    <mergeCell ref="AT38:AT41"/>
    <mergeCell ref="AT48:AT51"/>
    <mergeCell ref="AT53:AT56"/>
    <mergeCell ref="AS53:AS56"/>
    <mergeCell ref="AS48:AS51"/>
    <mergeCell ref="D38:D41"/>
    <mergeCell ref="AS38:AS41"/>
    <mergeCell ref="B48:B52"/>
    <mergeCell ref="A48:A52"/>
    <mergeCell ref="C53:C57"/>
    <mergeCell ref="D53:D56"/>
    <mergeCell ref="B53:B57"/>
    <mergeCell ref="B18:B22"/>
    <mergeCell ref="A53:A57"/>
    <mergeCell ref="D33:D36"/>
    <mergeCell ref="C48:C52"/>
    <mergeCell ref="B23:B27"/>
    <mergeCell ref="AT23:AT26"/>
    <mergeCell ref="B43:D47"/>
    <mergeCell ref="AT33:AT36"/>
    <mergeCell ref="D28:D31"/>
    <mergeCell ref="A23:A27"/>
    <mergeCell ref="C28:C32"/>
    <mergeCell ref="B28:B32"/>
    <mergeCell ref="A38:A42"/>
    <mergeCell ref="AT28:AT32"/>
    <mergeCell ref="E116:H116"/>
    <mergeCell ref="AT63:AT66"/>
    <mergeCell ref="AT68:AT71"/>
    <mergeCell ref="D73:D76"/>
    <mergeCell ref="AS73:AS76"/>
    <mergeCell ref="AT73:AT76"/>
    <mergeCell ref="AS68:AS71"/>
    <mergeCell ref="D63:D66"/>
    <mergeCell ref="AS63:AS66"/>
    <mergeCell ref="D78:D81"/>
    <mergeCell ref="A105:A108"/>
    <mergeCell ref="B105:B108"/>
    <mergeCell ref="A90:A93"/>
    <mergeCell ref="B90:B93"/>
    <mergeCell ref="A100:A103"/>
    <mergeCell ref="E112:H114"/>
    <mergeCell ref="A113:C114"/>
    <mergeCell ref="B94:B98"/>
    <mergeCell ref="A94:A98"/>
    <mergeCell ref="B100:B104"/>
    <mergeCell ref="A33:A37"/>
    <mergeCell ref="C23:C27"/>
    <mergeCell ref="C63:C67"/>
    <mergeCell ref="B63:B67"/>
    <mergeCell ref="A63:A67"/>
    <mergeCell ref="B58:D62"/>
    <mergeCell ref="A58:A62"/>
    <mergeCell ref="A43:A47"/>
    <mergeCell ref="C38:C42"/>
    <mergeCell ref="D48:D51"/>
    <mergeCell ref="B73:B77"/>
    <mergeCell ref="A73:A77"/>
    <mergeCell ref="B68:B72"/>
    <mergeCell ref="A68:A72"/>
    <mergeCell ref="D68:D71"/>
    <mergeCell ref="A83:D87"/>
    <mergeCell ref="C73:C77"/>
    <mergeCell ref="A78:A82"/>
    <mergeCell ref="B78:B82"/>
    <mergeCell ref="C78:C82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2021-10-18T11:38:27Z</dcterms:modified>
  <cp:category/>
  <cp:version/>
  <cp:contentType/>
  <cp:contentStatus/>
</cp:coreProperties>
</file>