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6" yWindow="48" windowWidth="16128" windowHeight="9768"/>
  </bookViews>
  <sheets>
    <sheet name="приложение 1" sheetId="14" r:id="rId1"/>
    <sheet name="приложение 2" sheetId="15" r:id="rId2"/>
  </sheets>
  <definedNames>
    <definedName name="_xlnm.Print_Area" localSheetId="0">'приложение 1'!$A$1:$AS$316</definedName>
  </definedNames>
  <calcPr calcId="144525"/>
</workbook>
</file>

<file path=xl/calcChain.xml><?xml version="1.0" encoding="utf-8"?>
<calcChain xmlns="http://schemas.openxmlformats.org/spreadsheetml/2006/main">
  <c r="F36" i="15" l="1"/>
  <c r="F35" i="15"/>
  <c r="F34" i="15"/>
  <c r="F33" i="15"/>
  <c r="F32" i="15"/>
  <c r="F31" i="15"/>
  <c r="F30" i="15"/>
  <c r="F28" i="15"/>
  <c r="F27" i="15"/>
  <c r="F26" i="15"/>
  <c r="F24" i="15"/>
  <c r="F23" i="15"/>
  <c r="F22" i="15"/>
  <c r="F21" i="15"/>
  <c r="F20" i="15"/>
  <c r="F19" i="15"/>
  <c r="F18" i="15"/>
  <c r="F16" i="15"/>
  <c r="F15" i="15"/>
  <c r="F14" i="15"/>
  <c r="F13" i="15"/>
  <c r="F12" i="15"/>
  <c r="F10" i="15"/>
  <c r="F8" i="15"/>
  <c r="F25" i="15" l="1"/>
  <c r="AP281" i="14" l="1"/>
  <c r="AO217" i="14" l="1"/>
  <c r="AO212" i="14" l="1"/>
  <c r="H287" i="14"/>
  <c r="I287" i="14"/>
  <c r="K287" i="14"/>
  <c r="L287" i="14"/>
  <c r="N287" i="14"/>
  <c r="O287" i="14"/>
  <c r="Q287" i="14"/>
  <c r="R287" i="14"/>
  <c r="T287" i="14"/>
  <c r="U287" i="14"/>
  <c r="W287" i="14"/>
  <c r="X287" i="14"/>
  <c r="Z287" i="14"/>
  <c r="AA287" i="14"/>
  <c r="AC287" i="14"/>
  <c r="AD287" i="14"/>
  <c r="AF287" i="14"/>
  <c r="AG287" i="14"/>
  <c r="AI287" i="14"/>
  <c r="AJ287" i="14"/>
  <c r="AL287" i="14"/>
  <c r="AM287" i="14"/>
  <c r="AO287" i="14"/>
  <c r="AP287" i="14"/>
  <c r="AP275" i="14" l="1"/>
  <c r="AQ275" i="14"/>
  <c r="O294" i="14"/>
  <c r="AP300" i="14"/>
  <c r="AQ300" i="14"/>
  <c r="W117" i="14" l="1"/>
  <c r="Z252" i="14" l="1"/>
  <c r="AL252" i="14"/>
  <c r="AO213" i="14"/>
  <c r="N252" i="14"/>
  <c r="N253" i="14"/>
  <c r="AP301" i="14"/>
  <c r="Z303" i="14"/>
  <c r="W303" i="14"/>
  <c r="AL304" i="14"/>
  <c r="Z304" i="14"/>
  <c r="W304" i="14"/>
  <c r="N304" i="14"/>
  <c r="AO117" i="14" l="1"/>
  <c r="AI92" i="14"/>
  <c r="AI69" i="14"/>
  <c r="AP266" i="14" l="1"/>
  <c r="AP265" i="14" s="1"/>
  <c r="AP267" i="14"/>
  <c r="AP268" i="14"/>
  <c r="AP269" i="14"/>
  <c r="AP271" i="14"/>
  <c r="AP274" i="14"/>
  <c r="W252" i="14"/>
  <c r="AL253" i="14"/>
  <c r="W253" i="14"/>
  <c r="Z253" i="14"/>
  <c r="AP244" i="14"/>
  <c r="AP245" i="14"/>
  <c r="AP243" i="14" s="1"/>
  <c r="AP246" i="14"/>
  <c r="AP247" i="14"/>
  <c r="AP227" i="14"/>
  <c r="AO218" i="14"/>
  <c r="AO219" i="14"/>
  <c r="AO214" i="14"/>
  <c r="AP222" i="14"/>
  <c r="AP223" i="14"/>
  <c r="AP224" i="14"/>
  <c r="AP216" i="14"/>
  <c r="AP211" i="14"/>
  <c r="AP186" i="14"/>
  <c r="AP187" i="14"/>
  <c r="AP185" i="14" s="1"/>
  <c r="AP188" i="14"/>
  <c r="AO177" i="14"/>
  <c r="AI178" i="14"/>
  <c r="AF178" i="14"/>
  <c r="Z178" i="14"/>
  <c r="T178" i="14"/>
  <c r="N178" i="14"/>
  <c r="AP175" i="14"/>
  <c r="AP170" i="14"/>
  <c r="AI168" i="14"/>
  <c r="AP165" i="14"/>
  <c r="AP150" i="14"/>
  <c r="AP151" i="14"/>
  <c r="AP152" i="14"/>
  <c r="AP290" i="14" l="1"/>
  <c r="AP283" i="14"/>
  <c r="AP221" i="14"/>
  <c r="AP149" i="14"/>
  <c r="W136" i="14" l="1"/>
  <c r="AT132" i="14"/>
  <c r="AO132" i="14"/>
  <c r="AP129" i="14"/>
  <c r="AO127" i="14"/>
  <c r="AP124" i="14"/>
  <c r="AO116" i="14"/>
  <c r="AO120" i="14"/>
  <c r="AP119" i="14"/>
  <c r="AO115" i="14"/>
  <c r="AP114" i="14" l="1"/>
  <c r="AP89" i="14"/>
  <c r="AP84" i="14"/>
  <c r="AP82" i="14"/>
  <c r="AT22" i="14"/>
  <c r="AT26" i="14"/>
  <c r="AT43" i="14"/>
  <c r="AT68" i="14"/>
  <c r="AT69" i="14"/>
  <c r="AT72" i="14"/>
  <c r="AT75" i="14"/>
  <c r="AT79" i="14"/>
  <c r="AT84" i="14"/>
  <c r="AT87" i="14"/>
  <c r="AT92" i="14"/>
  <c r="AT99" i="14"/>
  <c r="AT101" i="14"/>
  <c r="AT102" i="14"/>
  <c r="AT115" i="14"/>
  <c r="AT116" i="14"/>
  <c r="AT117" i="14"/>
  <c r="AT120" i="14"/>
  <c r="AT127" i="14"/>
  <c r="AT136" i="14"/>
  <c r="AT160" i="14"/>
  <c r="AT163" i="14"/>
  <c r="AT168" i="14"/>
  <c r="AT170" i="14"/>
  <c r="AT173" i="14"/>
  <c r="AT177" i="14"/>
  <c r="AT178" i="14"/>
  <c r="AT191" i="14"/>
  <c r="AT194" i="14"/>
  <c r="AT201" i="14"/>
  <c r="AT204" i="14"/>
  <c r="AT212" i="14"/>
  <c r="AT213" i="14"/>
  <c r="AT214" i="14"/>
  <c r="AT217" i="14"/>
  <c r="AT218" i="14"/>
  <c r="AT219" i="14"/>
  <c r="AT227" i="14"/>
  <c r="AT229" i="14"/>
  <c r="AT230" i="14"/>
  <c r="AT232" i="14"/>
  <c r="AT235" i="14"/>
  <c r="AT237" i="14"/>
  <c r="AT239" i="14"/>
  <c r="AT240" i="14"/>
  <c r="AT242" i="14"/>
  <c r="AT243" i="14"/>
  <c r="AT245" i="14"/>
  <c r="AT246" i="14"/>
  <c r="AT252" i="14"/>
  <c r="AT253" i="14"/>
  <c r="AT255" i="14"/>
  <c r="AT257" i="14"/>
  <c r="AT258" i="14"/>
  <c r="AT303" i="14"/>
  <c r="AT304" i="14"/>
  <c r="AP66" i="14"/>
  <c r="AO69" i="14"/>
  <c r="AL43" i="14"/>
  <c r="AP40" i="14"/>
  <c r="AT40" i="14" s="1"/>
  <c r="AP30" i="14"/>
  <c r="AP31" i="14"/>
  <c r="AP272" i="14" s="1"/>
  <c r="AP32" i="14"/>
  <c r="AP24" i="14"/>
  <c r="AT24" i="14" s="1"/>
  <c r="AP291" i="14" l="1"/>
  <c r="AP284" i="14"/>
  <c r="AT31" i="14"/>
  <c r="AP29" i="14"/>
  <c r="AT21" i="14"/>
  <c r="AP19" i="14" l="1"/>
  <c r="AQ219" i="14"/>
  <c r="AQ218" i="14"/>
  <c r="AQ217" i="14"/>
  <c r="AQ214" i="14"/>
  <c r="AQ213" i="14"/>
  <c r="AQ212" i="14"/>
  <c r="AQ188" i="14"/>
  <c r="AQ178" i="14"/>
  <c r="AQ177" i="14"/>
  <c r="AQ173" i="14"/>
  <c r="AQ170" i="14"/>
  <c r="AQ168" i="14"/>
  <c r="AQ165" i="14"/>
  <c r="AQ132" i="14"/>
  <c r="AQ127" i="14"/>
  <c r="AQ120" i="14"/>
  <c r="AQ117" i="14"/>
  <c r="AQ116" i="14"/>
  <c r="AQ115" i="14"/>
  <c r="AQ92" i="14"/>
  <c r="AQ87" i="14"/>
  <c r="AQ84" i="14"/>
  <c r="AQ69" i="14"/>
  <c r="AQ26" i="14"/>
  <c r="AQ24" i="14"/>
  <c r="AQ22" i="14"/>
  <c r="AQ21" i="14"/>
  <c r="W230" i="14" l="1"/>
  <c r="AI230" i="14"/>
  <c r="AI229" i="14" l="1"/>
  <c r="AL303" i="14" l="1"/>
  <c r="AM307" i="14" s="1"/>
  <c r="AM303" i="14"/>
  <c r="AO258" i="14"/>
  <c r="AF257" i="14"/>
  <c r="AO257" i="14"/>
  <c r="AM253" i="14"/>
  <c r="AO253" i="14"/>
  <c r="AM252" i="14"/>
  <c r="AO252" i="14"/>
  <c r="AF258" i="14"/>
  <c r="AL258" i="14"/>
  <c r="AO235" i="14"/>
  <c r="AI214" i="14"/>
  <c r="AO102" i="14"/>
  <c r="AI102" i="14"/>
  <c r="AF102" i="14"/>
  <c r="AO97" i="14"/>
  <c r="AL22" i="14"/>
  <c r="AN219" i="14" l="1"/>
  <c r="AN218" i="14"/>
  <c r="AN217" i="14"/>
  <c r="AN214" i="14"/>
  <c r="AN213" i="14"/>
  <c r="AN212" i="14"/>
  <c r="G101" i="14"/>
  <c r="AN69" i="14"/>
  <c r="AN26" i="14"/>
  <c r="AK230" i="14" l="1"/>
  <c r="AK229" i="14"/>
  <c r="AK168" i="14"/>
  <c r="AK101" i="14"/>
  <c r="AK92" i="14"/>
  <c r="AK87" i="14"/>
  <c r="AK84" i="14"/>
  <c r="AK26" i="14"/>
  <c r="AO26" i="14"/>
  <c r="Z136" i="14" l="1"/>
  <c r="AH257" i="14" l="1"/>
  <c r="AH258" i="14"/>
  <c r="AH283" i="14"/>
  <c r="AH240" i="14" l="1"/>
  <c r="AH237" i="14"/>
  <c r="AG240" i="14"/>
  <c r="AC229" i="14"/>
  <c r="AC230" i="14"/>
  <c r="N219" i="14"/>
  <c r="T214" i="14"/>
  <c r="N214" i="14"/>
  <c r="AH213" i="14"/>
  <c r="AG211" i="14"/>
  <c r="AO168" i="14"/>
  <c r="AG132" i="14"/>
  <c r="AH150" i="14"/>
  <c r="AE136" i="14"/>
  <c r="AE134" i="14"/>
  <c r="AB132" i="14"/>
  <c r="AB129" i="14"/>
  <c r="AN120" i="14" l="1"/>
  <c r="AK120" i="14"/>
  <c r="AH120" i="14"/>
  <c r="AE120" i="14"/>
  <c r="AH102" i="14"/>
  <c r="AH69" i="14"/>
  <c r="AL26" i="14"/>
  <c r="AH26" i="14"/>
  <c r="AE258" i="14" l="1"/>
  <c r="AE230" i="14"/>
  <c r="AE229" i="14"/>
  <c r="AC178" i="14"/>
  <c r="AD160" i="14"/>
  <c r="AE115" i="14"/>
  <c r="AF21" i="14"/>
  <c r="AE26" i="14"/>
  <c r="AE163" i="14" l="1"/>
  <c r="AE160" i="14"/>
  <c r="AB304" i="14" l="1"/>
  <c r="AB303" i="14"/>
  <c r="AB253" i="14"/>
  <c r="AI43" i="14"/>
  <c r="AB258" i="14" l="1"/>
  <c r="AB257" i="14"/>
  <c r="AB204" i="14" l="1"/>
  <c r="AB201" i="14"/>
  <c r="AI127" i="14"/>
  <c r="AB117" i="14" l="1"/>
  <c r="AB116" i="14"/>
  <c r="AB92" i="14"/>
  <c r="AB89" i="14"/>
  <c r="AB69" i="14" l="1"/>
  <c r="AB26" i="14"/>
  <c r="T258" i="14" l="1"/>
  <c r="Y214" i="14"/>
  <c r="Y222" i="14"/>
  <c r="Y223" i="14"/>
  <c r="Y224" i="14"/>
  <c r="Y102" i="14"/>
  <c r="Y99" i="14"/>
  <c r="T102" i="14"/>
  <c r="Y150" i="14"/>
  <c r="X117" i="14"/>
  <c r="Y87" i="14"/>
  <c r="Y84" i="14"/>
  <c r="AC258" i="14" l="1"/>
  <c r="W217" i="14"/>
  <c r="W212" i="14"/>
  <c r="AI173" i="14"/>
  <c r="AL173" i="14"/>
  <c r="W173" i="14"/>
  <c r="T257" i="14" l="1"/>
  <c r="W240" i="14"/>
  <c r="AF240" i="14"/>
  <c r="Q235" i="14" l="1"/>
  <c r="W229" i="14"/>
  <c r="Z173" i="14"/>
  <c r="AO173" i="14"/>
  <c r="T147" i="14"/>
  <c r="T168" i="14"/>
  <c r="V120" i="14"/>
  <c r="S120" i="14"/>
  <c r="Z120" i="14"/>
  <c r="Z115" i="14"/>
  <c r="AI116" i="14"/>
  <c r="Z116" i="14"/>
  <c r="W116" i="14"/>
  <c r="Z102" i="14"/>
  <c r="W97" i="14"/>
  <c r="W92" i="14"/>
  <c r="W26" i="14" l="1"/>
  <c r="Z21" i="14" l="1"/>
  <c r="W21" i="14"/>
  <c r="W22" i="14"/>
  <c r="W214" i="14" l="1"/>
  <c r="W219" i="14"/>
  <c r="Y304" i="14" l="1"/>
  <c r="Y303" i="14"/>
  <c r="Y253" i="14" l="1"/>
  <c r="Y252" i="14"/>
  <c r="Y258" i="14"/>
  <c r="Y257" i="14"/>
  <c r="Y239" i="14"/>
  <c r="Y240" i="14"/>
  <c r="Y230" i="14"/>
  <c r="Y219" i="14"/>
  <c r="Y218" i="14"/>
  <c r="Y217" i="14"/>
  <c r="Y213" i="14"/>
  <c r="Y212" i="14"/>
  <c r="Y120" i="14"/>
  <c r="Y115" i="14"/>
  <c r="Y116" i="14"/>
  <c r="X94" i="14"/>
  <c r="X84" i="14"/>
  <c r="Y69" i="14"/>
  <c r="Y26" i="14"/>
  <c r="V204" i="14" l="1"/>
  <c r="V201" i="14"/>
  <c r="U201" i="14"/>
  <c r="U165" i="14"/>
  <c r="U127" i="14"/>
  <c r="H80" i="14"/>
  <c r="I80" i="14"/>
  <c r="J80" i="14"/>
  <c r="K80" i="14"/>
  <c r="L80" i="14"/>
  <c r="N80" i="14"/>
  <c r="O80" i="14"/>
  <c r="Q80" i="14"/>
  <c r="R80" i="14"/>
  <c r="V92" i="14"/>
  <c r="V89" i="14"/>
  <c r="V68" i="14"/>
  <c r="V217" i="14" l="1"/>
  <c r="V218" i="14"/>
  <c r="V219" i="14"/>
  <c r="V214" i="14"/>
  <c r="V212" i="14"/>
  <c r="V168" i="14"/>
  <c r="V115" i="14"/>
  <c r="V102" i="14"/>
  <c r="V87" i="14"/>
  <c r="V26" i="14" l="1"/>
  <c r="T173" i="14"/>
  <c r="V75" i="14" l="1"/>
  <c r="AO75" i="14"/>
  <c r="Q178" i="14" l="1"/>
  <c r="Q117" i="14"/>
  <c r="T116" i="14"/>
  <c r="Q116" i="14"/>
  <c r="T22" i="14"/>
  <c r="Q22" i="14"/>
  <c r="T21" i="14"/>
  <c r="Q21" i="14"/>
  <c r="Q127" i="14"/>
  <c r="T127" i="14"/>
  <c r="R250" i="14" l="1"/>
  <c r="S258" i="14"/>
  <c r="H255" i="14"/>
  <c r="K255" i="14"/>
  <c r="N255" i="14"/>
  <c r="R237" i="14"/>
  <c r="S237" i="14" s="1"/>
  <c r="R227" i="14"/>
  <c r="S240" i="14"/>
  <c r="S230" i="14"/>
  <c r="S227" i="14"/>
  <c r="S217" i="14"/>
  <c r="S212" i="14"/>
  <c r="S213" i="14"/>
  <c r="S204" i="14"/>
  <c r="S201" i="14"/>
  <c r="R201" i="14"/>
  <c r="Q136" i="14"/>
  <c r="S115" i="14"/>
  <c r="S87" i="14"/>
  <c r="S84" i="14"/>
  <c r="S26" i="14"/>
  <c r="AO209" i="14" l="1"/>
  <c r="AL209" i="14"/>
  <c r="M283" i="14" l="1"/>
  <c r="P303" i="14" l="1"/>
  <c r="P283" i="14"/>
  <c r="P271" i="14"/>
  <c r="O275" i="14"/>
  <c r="P252" i="14"/>
  <c r="P217" i="14"/>
  <c r="P212" i="14"/>
  <c r="P150" i="14"/>
  <c r="P136" i="14"/>
  <c r="P134" i="14"/>
  <c r="P120" i="14"/>
  <c r="P115" i="14"/>
  <c r="O82" i="14"/>
  <c r="P26" i="14"/>
  <c r="N26" i="14"/>
  <c r="K26" i="14"/>
  <c r="M26" i="14" s="1"/>
  <c r="N136" i="14" l="1"/>
  <c r="W235" i="14" l="1"/>
  <c r="N235" i="14"/>
  <c r="N209" i="14" l="1"/>
  <c r="K209" i="14"/>
  <c r="N168" i="14"/>
  <c r="K132" i="14"/>
  <c r="N102" i="14"/>
  <c r="N92" i="14"/>
  <c r="H92" i="14"/>
  <c r="K75" i="14" l="1"/>
  <c r="M217" i="14" l="1"/>
  <c r="M212" i="14"/>
  <c r="M136" i="14"/>
  <c r="M134" i="14"/>
  <c r="J120" i="14"/>
  <c r="M120" i="14"/>
  <c r="M115" i="14"/>
  <c r="AL132" i="14" l="1"/>
  <c r="AI132" i="14"/>
  <c r="J75" i="14" l="1"/>
  <c r="J72" i="14"/>
  <c r="I72" i="14"/>
  <c r="I222" i="14" l="1"/>
  <c r="I221" i="14" s="1"/>
  <c r="I223" i="14"/>
  <c r="I224" i="14"/>
  <c r="I225" i="14"/>
  <c r="I211" i="14"/>
  <c r="J116" i="14"/>
  <c r="J117" i="14"/>
  <c r="AX220" i="14" l="1"/>
  <c r="AW220" i="14"/>
  <c r="AV220" i="14"/>
  <c r="AU220" i="14"/>
  <c r="F220" i="14"/>
  <c r="E220" i="14"/>
  <c r="AX219" i="14"/>
  <c r="AW219" i="14"/>
  <c r="AV219" i="14"/>
  <c r="AU219" i="14"/>
  <c r="AK219" i="14"/>
  <c r="S219" i="14"/>
  <c r="P219" i="14"/>
  <c r="M219" i="14"/>
  <c r="F219" i="14"/>
  <c r="E219" i="14"/>
  <c r="AX218" i="14"/>
  <c r="AW218" i="14"/>
  <c r="AV218" i="14"/>
  <c r="P218" i="14"/>
  <c r="M218" i="14"/>
  <c r="F218" i="14"/>
  <c r="AW217" i="14"/>
  <c r="AV217" i="14"/>
  <c r="AU217" i="14"/>
  <c r="E217" i="14"/>
  <c r="AK217" i="14"/>
  <c r="F217" i="14"/>
  <c r="AO216" i="14"/>
  <c r="AM216" i="14"/>
  <c r="AN216" i="14" s="1"/>
  <c r="AL216" i="14"/>
  <c r="AJ216" i="14"/>
  <c r="AI216" i="14"/>
  <c r="AF216" i="14"/>
  <c r="AD216" i="14"/>
  <c r="AC216" i="14"/>
  <c r="AA216" i="14"/>
  <c r="Z216" i="14"/>
  <c r="X216" i="14"/>
  <c r="W216" i="14"/>
  <c r="U216" i="14"/>
  <c r="T216" i="14"/>
  <c r="R216" i="14"/>
  <c r="Q216" i="14"/>
  <c r="O216" i="14"/>
  <c r="N216" i="14"/>
  <c r="L216" i="14"/>
  <c r="K216" i="14"/>
  <c r="H216" i="14"/>
  <c r="AX123" i="14"/>
  <c r="AW123" i="14"/>
  <c r="AV123" i="14"/>
  <c r="AU123" i="14"/>
  <c r="F123" i="14"/>
  <c r="E123" i="14"/>
  <c r="AX122" i="14"/>
  <c r="AW122" i="14"/>
  <c r="AV122" i="14"/>
  <c r="AU122" i="14"/>
  <c r="F122" i="14"/>
  <c r="E122" i="14"/>
  <c r="AX121" i="14"/>
  <c r="AW121" i="14"/>
  <c r="AV121" i="14"/>
  <c r="AU121" i="14"/>
  <c r="F121" i="14"/>
  <c r="E121" i="14"/>
  <c r="AX120" i="14"/>
  <c r="AW120" i="14"/>
  <c r="AV120" i="14"/>
  <c r="AU120" i="14"/>
  <c r="F120" i="14"/>
  <c r="E120" i="14"/>
  <c r="AO119" i="14"/>
  <c r="AM119" i="14"/>
  <c r="AL119" i="14"/>
  <c r="AJ119" i="14"/>
  <c r="AI119" i="14"/>
  <c r="AX119" i="14" s="1"/>
  <c r="AG119" i="14"/>
  <c r="AF119" i="14"/>
  <c r="AD119" i="14"/>
  <c r="AC119" i="14"/>
  <c r="AA119" i="14"/>
  <c r="Z119" i="14"/>
  <c r="AW119" i="14" s="1"/>
  <c r="X119" i="14"/>
  <c r="Y119" i="14" s="1"/>
  <c r="W119" i="14"/>
  <c r="U119" i="14"/>
  <c r="V119" i="14" s="1"/>
  <c r="T119" i="14"/>
  <c r="R119" i="14"/>
  <c r="Q119" i="14"/>
  <c r="AV119" i="14" s="1"/>
  <c r="O119" i="14"/>
  <c r="N119" i="14"/>
  <c r="L119" i="14"/>
  <c r="K119" i="14"/>
  <c r="M119" i="14" s="1"/>
  <c r="I119" i="14"/>
  <c r="H119" i="14"/>
  <c r="AT216" i="14" l="1"/>
  <c r="AQ216" i="14"/>
  <c r="AT119" i="14"/>
  <c r="AQ119" i="14"/>
  <c r="AW216" i="14"/>
  <c r="AH119" i="14"/>
  <c r="AK119" i="14"/>
  <c r="AN119" i="14"/>
  <c r="Y216" i="14"/>
  <c r="S119" i="14"/>
  <c r="AE119" i="14"/>
  <c r="F216" i="14"/>
  <c r="AU119" i="14"/>
  <c r="J119" i="14"/>
  <c r="E119" i="14"/>
  <c r="P119" i="14"/>
  <c r="AX216" i="14"/>
  <c r="AV216" i="14"/>
  <c r="M216" i="14"/>
  <c r="G219" i="14"/>
  <c r="AK216" i="14"/>
  <c r="V216" i="14"/>
  <c r="E216" i="14"/>
  <c r="P216" i="14"/>
  <c r="AU216" i="14"/>
  <c r="G216" i="14"/>
  <c r="G217" i="14"/>
  <c r="G120" i="14"/>
  <c r="S216" i="14"/>
  <c r="AX217" i="14"/>
  <c r="AU218" i="14"/>
  <c r="E218" i="14"/>
  <c r="G218" i="14" s="1"/>
  <c r="S218" i="14"/>
  <c r="AK218" i="14"/>
  <c r="F119" i="14"/>
  <c r="G119" i="14" s="1"/>
  <c r="AX305" i="14" l="1"/>
  <c r="AW305" i="14"/>
  <c r="AV305" i="14"/>
  <c r="AU305" i="14"/>
  <c r="F305" i="14"/>
  <c r="E305" i="14"/>
  <c r="AX304" i="14"/>
  <c r="AW304" i="14"/>
  <c r="AV304" i="14"/>
  <c r="AU304" i="14"/>
  <c r="AN304" i="14"/>
  <c r="P304" i="14"/>
  <c r="F304" i="14"/>
  <c r="E304" i="14"/>
  <c r="AX303" i="14"/>
  <c r="AW303" i="14"/>
  <c r="AV303" i="14"/>
  <c r="AU303" i="14"/>
  <c r="AN303" i="14"/>
  <c r="F303" i="14"/>
  <c r="E303" i="14"/>
  <c r="AX302" i="14"/>
  <c r="AW302" i="14"/>
  <c r="AV302" i="14"/>
  <c r="AU302" i="14"/>
  <c r="F302" i="14"/>
  <c r="E302" i="14"/>
  <c r="AO301" i="14"/>
  <c r="AM301" i="14"/>
  <c r="AL301" i="14"/>
  <c r="AJ301" i="14"/>
  <c r="AI301" i="14"/>
  <c r="AX301" i="14" s="1"/>
  <c r="AG301" i="14"/>
  <c r="AF301" i="14"/>
  <c r="AD301" i="14"/>
  <c r="AC301" i="14"/>
  <c r="AA301" i="14"/>
  <c r="Z301" i="14"/>
  <c r="AW301" i="14" s="1"/>
  <c r="X301" i="14"/>
  <c r="W301" i="14"/>
  <c r="U301" i="14"/>
  <c r="T301" i="14"/>
  <c r="R301" i="14"/>
  <c r="Q301" i="14"/>
  <c r="O301" i="14"/>
  <c r="N301" i="14"/>
  <c r="AT301" i="14" s="1"/>
  <c r="L301" i="14"/>
  <c r="K301" i="14"/>
  <c r="I301" i="14"/>
  <c r="H301" i="14"/>
  <c r="AU301" i="14" s="1"/>
  <c r="F301" i="14"/>
  <c r="AG300" i="14"/>
  <c r="R300" i="14"/>
  <c r="O300" i="14"/>
  <c r="F300" i="14" s="1"/>
  <c r="AX299" i="14"/>
  <c r="AW299" i="14"/>
  <c r="AV299" i="14"/>
  <c r="AU299" i="14"/>
  <c r="F299" i="14"/>
  <c r="E299" i="14"/>
  <c r="AP298" i="14"/>
  <c r="AO298" i="14"/>
  <c r="AM298" i="14"/>
  <c r="AL298" i="14"/>
  <c r="AL295" i="14" s="1"/>
  <c r="AJ298" i="14"/>
  <c r="AI298" i="14"/>
  <c r="AX298" i="14" s="1"/>
  <c r="AG298" i="14"/>
  <c r="AF298" i="14"/>
  <c r="AD298" i="14"/>
  <c r="AC298" i="14"/>
  <c r="AA298" i="14"/>
  <c r="Z298" i="14"/>
  <c r="AW298" i="14" s="1"/>
  <c r="X298" i="14"/>
  <c r="W298" i="14"/>
  <c r="U298" i="14"/>
  <c r="T298" i="14"/>
  <c r="R298" i="14"/>
  <c r="Q298" i="14"/>
  <c r="AV298" i="14" s="1"/>
  <c r="O298" i="14"/>
  <c r="N298" i="14"/>
  <c r="AU298" i="14" s="1"/>
  <c r="F298" i="14"/>
  <c r="AX297" i="14"/>
  <c r="AW297" i="14"/>
  <c r="AV297" i="14"/>
  <c r="AU297" i="14"/>
  <c r="F297" i="14"/>
  <c r="E297" i="14"/>
  <c r="AX296" i="14"/>
  <c r="AW296" i="14"/>
  <c r="AV296" i="14"/>
  <c r="AU296" i="14"/>
  <c r="F296" i="14"/>
  <c r="E296" i="14"/>
  <c r="AO295" i="14"/>
  <c r="AM295" i="14"/>
  <c r="AJ295" i="14"/>
  <c r="AI295" i="14"/>
  <c r="AG295" i="14"/>
  <c r="AF295" i="14"/>
  <c r="AD295" i="14"/>
  <c r="AC295" i="14"/>
  <c r="AA295" i="14"/>
  <c r="X295" i="14"/>
  <c r="W295" i="14"/>
  <c r="U295" i="14"/>
  <c r="T295" i="14"/>
  <c r="R295" i="14"/>
  <c r="Q295" i="14"/>
  <c r="AV295" i="14" s="1"/>
  <c r="O295" i="14"/>
  <c r="N295" i="14"/>
  <c r="L295" i="14"/>
  <c r="K295" i="14"/>
  <c r="I295" i="14"/>
  <c r="H295" i="14"/>
  <c r="AU295" i="14" s="1"/>
  <c r="AN293" i="14"/>
  <c r="AK293" i="14"/>
  <c r="AH293" i="14"/>
  <c r="AE293" i="14"/>
  <c r="AB293" i="14"/>
  <c r="Y293" i="14"/>
  <c r="V293" i="14"/>
  <c r="S293" i="14"/>
  <c r="P293" i="14"/>
  <c r="M293" i="14"/>
  <c r="J293" i="14"/>
  <c r="I293" i="14"/>
  <c r="AB290" i="14"/>
  <c r="P290" i="14"/>
  <c r="J290" i="14"/>
  <c r="I290" i="14"/>
  <c r="AX288" i="14"/>
  <c r="AW288" i="14"/>
  <c r="AV288" i="14"/>
  <c r="AU288" i="14"/>
  <c r="AG281" i="14"/>
  <c r="R281" i="14"/>
  <c r="O281" i="14"/>
  <c r="F281" i="14" s="1"/>
  <c r="AP280" i="14"/>
  <c r="AP286" i="14" s="1"/>
  <c r="AM280" i="14"/>
  <c r="AJ280" i="14"/>
  <c r="AG280" i="14"/>
  <c r="AD280" i="14"/>
  <c r="AA280" i="14"/>
  <c r="L280" i="14"/>
  <c r="K280" i="14"/>
  <c r="AP279" i="14"/>
  <c r="AT279" i="14" s="1"/>
  <c r="AM279" i="14"/>
  <c r="AJ279" i="14"/>
  <c r="AD279" i="14"/>
  <c r="AA279" i="14"/>
  <c r="AP278" i="14"/>
  <c r="AP277" i="14"/>
  <c r="AM277" i="14"/>
  <c r="AJ277" i="14"/>
  <c r="AG277" i="14"/>
  <c r="AD277" i="14"/>
  <c r="AA277" i="14"/>
  <c r="AO269" i="14"/>
  <c r="AM269" i="14"/>
  <c r="AL269" i="14"/>
  <c r="AJ269" i="14"/>
  <c r="AI269" i="14"/>
  <c r="AX269" i="14" s="1"/>
  <c r="AG269" i="14"/>
  <c r="AF269" i="14"/>
  <c r="AD269" i="14"/>
  <c r="AC269" i="14"/>
  <c r="AA269" i="14"/>
  <c r="Z269" i="14"/>
  <c r="AW269" i="14" s="1"/>
  <c r="X269" i="14"/>
  <c r="W269" i="14"/>
  <c r="U269" i="14"/>
  <c r="T269" i="14"/>
  <c r="R269" i="14"/>
  <c r="Q269" i="14"/>
  <c r="AV269" i="14" s="1"/>
  <c r="O269" i="14"/>
  <c r="N269" i="14"/>
  <c r="L269" i="14"/>
  <c r="K269" i="14"/>
  <c r="I269" i="14"/>
  <c r="H269" i="14"/>
  <c r="AU269" i="14" s="1"/>
  <c r="F269" i="14"/>
  <c r="E269" i="14"/>
  <c r="AM268" i="14"/>
  <c r="AL268" i="14"/>
  <c r="AJ268" i="14"/>
  <c r="AI268" i="14"/>
  <c r="AG268" i="14"/>
  <c r="AF268" i="14"/>
  <c r="AD268" i="14"/>
  <c r="AC268" i="14"/>
  <c r="AA268" i="14"/>
  <c r="Z268" i="14"/>
  <c r="AW268" i="14" s="1"/>
  <c r="X268" i="14"/>
  <c r="W268" i="14"/>
  <c r="U268" i="14"/>
  <c r="T268" i="14"/>
  <c r="R268" i="14"/>
  <c r="Q268" i="14"/>
  <c r="AV268" i="14" s="1"/>
  <c r="O268" i="14"/>
  <c r="N268" i="14"/>
  <c r="L268" i="14"/>
  <c r="K268" i="14"/>
  <c r="I268" i="14"/>
  <c r="H268" i="14"/>
  <c r="AU268" i="14" s="1"/>
  <c r="F268" i="14"/>
  <c r="AM267" i="14"/>
  <c r="AL267" i="14"/>
  <c r="AJ267" i="14"/>
  <c r="AI267" i="14"/>
  <c r="AG267" i="14"/>
  <c r="AD267" i="14"/>
  <c r="AC267" i="14"/>
  <c r="AA267" i="14"/>
  <c r="Z267" i="14"/>
  <c r="X267" i="14"/>
  <c r="W267" i="14"/>
  <c r="U267" i="14"/>
  <c r="T267" i="14"/>
  <c r="R267" i="14"/>
  <c r="Q267" i="14"/>
  <c r="AV267" i="14" s="1"/>
  <c r="O267" i="14"/>
  <c r="N267" i="14"/>
  <c r="L267" i="14"/>
  <c r="K267" i="14"/>
  <c r="I267" i="14"/>
  <c r="H267" i="14"/>
  <c r="AU267" i="14" s="1"/>
  <c r="AO266" i="14"/>
  <c r="AM266" i="14"/>
  <c r="AL266" i="14"/>
  <c r="AJ266" i="14"/>
  <c r="AI266" i="14"/>
  <c r="AX266" i="14" s="1"/>
  <c r="AG266" i="14"/>
  <c r="AF266" i="14"/>
  <c r="AD266" i="14"/>
  <c r="AC266" i="14"/>
  <c r="AA266" i="14"/>
  <c r="Z266" i="14"/>
  <c r="AW266" i="14" s="1"/>
  <c r="X266" i="14"/>
  <c r="W266" i="14"/>
  <c r="U266" i="14"/>
  <c r="T266" i="14"/>
  <c r="R266" i="14"/>
  <c r="Q266" i="14"/>
  <c r="AV266" i="14" s="1"/>
  <c r="O266" i="14"/>
  <c r="N266" i="14"/>
  <c r="L266" i="14"/>
  <c r="K266" i="14"/>
  <c r="I266" i="14"/>
  <c r="H266" i="14"/>
  <c r="AU266" i="14" s="1"/>
  <c r="F266" i="14"/>
  <c r="E266" i="14"/>
  <c r="AL265" i="14"/>
  <c r="AI265" i="14"/>
  <c r="AG265" i="14"/>
  <c r="AD265" i="14"/>
  <c r="AC265" i="14"/>
  <c r="AA265" i="14"/>
  <c r="Z265" i="14"/>
  <c r="X265" i="14"/>
  <c r="W265" i="14"/>
  <c r="U265" i="14"/>
  <c r="T265" i="14"/>
  <c r="R265" i="14"/>
  <c r="Q265" i="14"/>
  <c r="AV265" i="14" s="1"/>
  <c r="O265" i="14"/>
  <c r="N265" i="14"/>
  <c r="L265" i="14"/>
  <c r="K265" i="14"/>
  <c r="I265" i="14"/>
  <c r="H265" i="14"/>
  <c r="AU265" i="14" s="1"/>
  <c r="AX264" i="14"/>
  <c r="AW264" i="14"/>
  <c r="AV264" i="14"/>
  <c r="AU264" i="14"/>
  <c r="F264" i="14"/>
  <c r="E264" i="14"/>
  <c r="AX263" i="14"/>
  <c r="AW263" i="14"/>
  <c r="AV263" i="14"/>
  <c r="AU263" i="14"/>
  <c r="F263" i="14"/>
  <c r="E263" i="14"/>
  <c r="AX262" i="14"/>
  <c r="AW262" i="14"/>
  <c r="AV262" i="14"/>
  <c r="AU262" i="14"/>
  <c r="F262" i="14"/>
  <c r="E262" i="14"/>
  <c r="AX261" i="14"/>
  <c r="AW261" i="14"/>
  <c r="AV261" i="14"/>
  <c r="AU261" i="14"/>
  <c r="F261" i="14"/>
  <c r="E261" i="14"/>
  <c r="AO260" i="14"/>
  <c r="AL260" i="14"/>
  <c r="AI260" i="14"/>
  <c r="AX260" i="14" s="1"/>
  <c r="AF260" i="14"/>
  <c r="AC260" i="14"/>
  <c r="Z260" i="14"/>
  <c r="AW260" i="14" s="1"/>
  <c r="W260" i="14"/>
  <c r="T260" i="14"/>
  <c r="Q260" i="14"/>
  <c r="AV260" i="14" s="1"/>
  <c r="N260" i="14"/>
  <c r="K260" i="14"/>
  <c r="H260" i="14"/>
  <c r="AU260" i="14" s="1"/>
  <c r="F260" i="14"/>
  <c r="E260" i="14"/>
  <c r="AX259" i="14"/>
  <c r="AW259" i="14"/>
  <c r="AV259" i="14"/>
  <c r="AU259" i="14"/>
  <c r="F259" i="14"/>
  <c r="E259" i="14"/>
  <c r="AW258" i="14"/>
  <c r="AV258" i="14"/>
  <c r="AU258" i="14"/>
  <c r="AX258" i="14"/>
  <c r="F258" i="14"/>
  <c r="E258" i="14"/>
  <c r="AV257" i="14"/>
  <c r="AU257" i="14"/>
  <c r="AO267" i="14"/>
  <c r="AF267" i="14"/>
  <c r="AH267" i="14" s="1"/>
  <c r="F257" i="14"/>
  <c r="E257" i="14"/>
  <c r="AX256" i="14"/>
  <c r="AW256" i="14"/>
  <c r="AV256" i="14"/>
  <c r="AU256" i="14"/>
  <c r="F256" i="14"/>
  <c r="E256" i="14"/>
  <c r="AO255" i="14"/>
  <c r="AM255" i="14"/>
  <c r="AL255" i="14"/>
  <c r="AJ255" i="14"/>
  <c r="AI255" i="14"/>
  <c r="AX255" i="14" s="1"/>
  <c r="AG255" i="14"/>
  <c r="AF255" i="14"/>
  <c r="AH255" i="14" s="1"/>
  <c r="AD255" i="14"/>
  <c r="AC255" i="14"/>
  <c r="AE255" i="14" s="1"/>
  <c r="AA255" i="14"/>
  <c r="Z255" i="14"/>
  <c r="X255" i="14"/>
  <c r="W255" i="14"/>
  <c r="U255" i="14"/>
  <c r="T255" i="14"/>
  <c r="R255" i="14"/>
  <c r="S255" i="14" s="1"/>
  <c r="Q255" i="14"/>
  <c r="AV255" i="14" s="1"/>
  <c r="AX254" i="14"/>
  <c r="AW254" i="14"/>
  <c r="AV254" i="14"/>
  <c r="AU254" i="14"/>
  <c r="F254" i="14"/>
  <c r="E254" i="14"/>
  <c r="AX253" i="14"/>
  <c r="AW253" i="14"/>
  <c r="AV253" i="14"/>
  <c r="AU253" i="14"/>
  <c r="AN253" i="14"/>
  <c r="P253" i="14"/>
  <c r="F253" i="14"/>
  <c r="E253" i="14"/>
  <c r="AX252" i="14"/>
  <c r="AW252" i="14"/>
  <c r="AV252" i="14"/>
  <c r="AU252" i="14"/>
  <c r="AN252" i="14"/>
  <c r="AB252" i="14"/>
  <c r="F252" i="14"/>
  <c r="E252" i="14"/>
  <c r="AX251" i="14"/>
  <c r="AW251" i="14"/>
  <c r="AV251" i="14"/>
  <c r="AU251" i="14"/>
  <c r="F251" i="14"/>
  <c r="E251" i="14"/>
  <c r="AO250" i="14"/>
  <c r="AM250" i="14"/>
  <c r="AL250" i="14"/>
  <c r="AJ250" i="14"/>
  <c r="AI250" i="14"/>
  <c r="AX250" i="14" s="1"/>
  <c r="AG250" i="14"/>
  <c r="AF250" i="14"/>
  <c r="AD250" i="14"/>
  <c r="AC250" i="14"/>
  <c r="AA250" i="14"/>
  <c r="Z250" i="14"/>
  <c r="AW250" i="14" s="1"/>
  <c r="X250" i="14"/>
  <c r="W250" i="14"/>
  <c r="U250" i="14"/>
  <c r="T250" i="14"/>
  <c r="Q250" i="14"/>
  <c r="O250" i="14"/>
  <c r="N250" i="14"/>
  <c r="L250" i="14"/>
  <c r="K250" i="14"/>
  <c r="H250" i="14"/>
  <c r="AX249" i="14"/>
  <c r="AW249" i="14"/>
  <c r="AV249" i="14"/>
  <c r="AU249" i="14"/>
  <c r="AO247" i="14"/>
  <c r="AM247" i="14"/>
  <c r="AL247" i="14"/>
  <c r="AI247" i="14"/>
  <c r="AX247" i="14" s="1"/>
  <c r="AG247" i="14"/>
  <c r="AF247" i="14"/>
  <c r="AD247" i="14"/>
  <c r="AC247" i="14"/>
  <c r="AA247" i="14"/>
  <c r="Z247" i="14"/>
  <c r="AW247" i="14" s="1"/>
  <c r="X247" i="14"/>
  <c r="W247" i="14"/>
  <c r="U247" i="14"/>
  <c r="T247" i="14"/>
  <c r="R247" i="14"/>
  <c r="Q247" i="14"/>
  <c r="AV247" i="14" s="1"/>
  <c r="O247" i="14"/>
  <c r="N247" i="14"/>
  <c r="L247" i="14"/>
  <c r="F247" i="14" s="1"/>
  <c r="K247" i="14"/>
  <c r="H247" i="14"/>
  <c r="AU247" i="14" s="1"/>
  <c r="E247" i="14"/>
  <c r="AO246" i="14"/>
  <c r="AM246" i="14"/>
  <c r="AL246" i="14"/>
  <c r="AJ246" i="14"/>
  <c r="AI246" i="14"/>
  <c r="AG246" i="14"/>
  <c r="AF246" i="14"/>
  <c r="AD246" i="14"/>
  <c r="AC246" i="14"/>
  <c r="AA246" i="14"/>
  <c r="X246" i="14"/>
  <c r="U246" i="14"/>
  <c r="T246" i="14"/>
  <c r="R246" i="14"/>
  <c r="R243" i="14" s="1"/>
  <c r="Q246" i="14"/>
  <c r="S246" i="14" s="1"/>
  <c r="O246" i="14"/>
  <c r="N246" i="14"/>
  <c r="L246" i="14"/>
  <c r="K246" i="14"/>
  <c r="H246" i="14"/>
  <c r="AO245" i="14"/>
  <c r="AM245" i="14"/>
  <c r="AL245" i="14"/>
  <c r="AJ245" i="14"/>
  <c r="AI245" i="14"/>
  <c r="AG245" i="14"/>
  <c r="AF245" i="14"/>
  <c r="AD245" i="14"/>
  <c r="AC245" i="14"/>
  <c r="AA245" i="14"/>
  <c r="Z245" i="14"/>
  <c r="AW245" i="14" s="1"/>
  <c r="X245" i="14"/>
  <c r="W245" i="14"/>
  <c r="U245" i="14"/>
  <c r="T245" i="14"/>
  <c r="R245" i="14"/>
  <c r="Q245" i="14"/>
  <c r="AV245" i="14" s="1"/>
  <c r="O245" i="14"/>
  <c r="N245" i="14"/>
  <c r="L245" i="14"/>
  <c r="K245" i="14"/>
  <c r="H245" i="14"/>
  <c r="AU245" i="14" s="1"/>
  <c r="AO244" i="14"/>
  <c r="AM244" i="14"/>
  <c r="AL244" i="14"/>
  <c r="AJ244" i="14"/>
  <c r="AI244" i="14"/>
  <c r="AX244" i="14" s="1"/>
  <c r="AG244" i="14"/>
  <c r="AF244" i="14"/>
  <c r="AD244" i="14"/>
  <c r="AC244" i="14"/>
  <c r="AA244" i="14"/>
  <c r="Z244" i="14"/>
  <c r="AW244" i="14" s="1"/>
  <c r="X244" i="14"/>
  <c r="W244" i="14"/>
  <c r="U244" i="14"/>
  <c r="T244" i="14"/>
  <c r="R244" i="14"/>
  <c r="Q244" i="14"/>
  <c r="AV244" i="14" s="1"/>
  <c r="O244" i="14"/>
  <c r="N244" i="14"/>
  <c r="L244" i="14"/>
  <c r="K244" i="14"/>
  <c r="H244" i="14"/>
  <c r="AU244" i="14" s="1"/>
  <c r="F244" i="14"/>
  <c r="E244" i="14"/>
  <c r="AO243" i="14"/>
  <c r="AM243" i="14"/>
  <c r="AL243" i="14"/>
  <c r="AJ243" i="14"/>
  <c r="AI243" i="14"/>
  <c r="AG243" i="14"/>
  <c r="AF243" i="14"/>
  <c r="AD243" i="14"/>
  <c r="AC243" i="14"/>
  <c r="AA243" i="14"/>
  <c r="U243" i="14"/>
  <c r="T243" i="14"/>
  <c r="Q243" i="14"/>
  <c r="S243" i="14" s="1"/>
  <c r="O243" i="14"/>
  <c r="N243" i="14"/>
  <c r="P243" i="14" s="1"/>
  <c r="L243" i="14"/>
  <c r="K243" i="14"/>
  <c r="H243" i="14"/>
  <c r="F242" i="14"/>
  <c r="AX241" i="14"/>
  <c r="AW241" i="14"/>
  <c r="AV241" i="14"/>
  <c r="AU241" i="14"/>
  <c r="F241" i="14"/>
  <c r="E241" i="14"/>
  <c r="AX240" i="14"/>
  <c r="AW240" i="14"/>
  <c r="AV240" i="14"/>
  <c r="AU240" i="14"/>
  <c r="AN240" i="14"/>
  <c r="P240" i="14"/>
  <c r="F240" i="14"/>
  <c r="E240" i="14"/>
  <c r="AX239" i="14"/>
  <c r="AW239" i="14"/>
  <c r="AV239" i="14"/>
  <c r="AU239" i="14"/>
  <c r="F239" i="14"/>
  <c r="G239" i="14" s="1"/>
  <c r="E239" i="14"/>
  <c r="AX238" i="14"/>
  <c r="AW238" i="14"/>
  <c r="AV238" i="14"/>
  <c r="AU238" i="14"/>
  <c r="F238" i="14"/>
  <c r="E238" i="14"/>
  <c r="AO237" i="14"/>
  <c r="AM237" i="14"/>
  <c r="AL237" i="14"/>
  <c r="AJ237" i="14"/>
  <c r="AI237" i="14"/>
  <c r="AX237" i="14" s="1"/>
  <c r="AG237" i="14"/>
  <c r="AF237" i="14"/>
  <c r="AD237" i="14"/>
  <c r="AC237" i="14"/>
  <c r="Z237" i="14"/>
  <c r="X237" i="14"/>
  <c r="Y237" i="14" s="1"/>
  <c r="W237" i="14"/>
  <c r="U237" i="14"/>
  <c r="T237" i="14"/>
  <c r="Q237" i="14"/>
  <c r="O237" i="14"/>
  <c r="N237" i="14"/>
  <c r="L237" i="14"/>
  <c r="K237" i="14"/>
  <c r="H237" i="14"/>
  <c r="AU237" i="14" s="1"/>
  <c r="E237" i="14"/>
  <c r="AX236" i="14"/>
  <c r="AW236" i="14"/>
  <c r="AV236" i="14"/>
  <c r="AU236" i="14"/>
  <c r="F236" i="14"/>
  <c r="E236" i="14"/>
  <c r="AX235" i="14"/>
  <c r="AW235" i="14"/>
  <c r="AV235" i="14"/>
  <c r="AU235" i="14"/>
  <c r="AH235" i="14"/>
  <c r="F235" i="14"/>
  <c r="E235" i="14"/>
  <c r="AX234" i="14"/>
  <c r="AW234" i="14"/>
  <c r="AV234" i="14"/>
  <c r="AU234" i="14"/>
  <c r="F234" i="14"/>
  <c r="E234" i="14"/>
  <c r="AX233" i="14"/>
  <c r="AW233" i="14"/>
  <c r="AV233" i="14"/>
  <c r="AU233" i="14"/>
  <c r="F233" i="14"/>
  <c r="E233" i="14"/>
  <c r="AO232" i="14"/>
  <c r="AL232" i="14"/>
  <c r="AJ232" i="14"/>
  <c r="AI232" i="14"/>
  <c r="AG232" i="14"/>
  <c r="AF232" i="14"/>
  <c r="AD232" i="14"/>
  <c r="AC232" i="14"/>
  <c r="Z232" i="14"/>
  <c r="W232" i="14"/>
  <c r="T232" i="14"/>
  <c r="Q232" i="14"/>
  <c r="N232" i="14"/>
  <c r="K232" i="14"/>
  <c r="H232" i="14"/>
  <c r="AX231" i="14"/>
  <c r="AW231" i="14"/>
  <c r="AV231" i="14"/>
  <c r="AU231" i="14"/>
  <c r="F231" i="14"/>
  <c r="E231" i="14"/>
  <c r="AX230" i="14"/>
  <c r="AV230" i="14"/>
  <c r="AU230" i="14"/>
  <c r="AN230" i="14"/>
  <c r="Z230" i="14"/>
  <c r="AW230" i="14" s="1"/>
  <c r="W246" i="14"/>
  <c r="F230" i="14"/>
  <c r="E230" i="14"/>
  <c r="AX229" i="14"/>
  <c r="AW229" i="14"/>
  <c r="AV229" i="14"/>
  <c r="AU229" i="14"/>
  <c r="F229" i="14"/>
  <c r="E229" i="14"/>
  <c r="AX228" i="14"/>
  <c r="AW228" i="14"/>
  <c r="AV228" i="14"/>
  <c r="AU228" i="14"/>
  <c r="F228" i="14"/>
  <c r="E228" i="14"/>
  <c r="AO227" i="14"/>
  <c r="AM227" i="14"/>
  <c r="AN227" i="14" s="1"/>
  <c r="AL227" i="14"/>
  <c r="AJ227" i="14"/>
  <c r="AI227" i="14"/>
  <c r="AG227" i="14"/>
  <c r="AF227" i="14"/>
  <c r="AD227" i="14"/>
  <c r="AE227" i="14" s="1"/>
  <c r="AC227" i="14"/>
  <c r="AA227" i="14"/>
  <c r="Z227" i="14"/>
  <c r="X227" i="14"/>
  <c r="F227" i="14" s="1"/>
  <c r="W227" i="14"/>
  <c r="T227" i="14"/>
  <c r="Q227" i="14"/>
  <c r="AV227" i="14" s="1"/>
  <c r="N227" i="14"/>
  <c r="L227" i="14"/>
  <c r="K227" i="14"/>
  <c r="H227" i="14"/>
  <c r="AU227" i="14" s="1"/>
  <c r="AX226" i="14"/>
  <c r="AW226" i="14"/>
  <c r="AV226" i="14"/>
  <c r="AU226" i="14"/>
  <c r="AO225" i="14"/>
  <c r="AL225" i="14"/>
  <c r="AI225" i="14"/>
  <c r="AX225" i="14" s="1"/>
  <c r="AF225" i="14"/>
  <c r="AD225" i="14"/>
  <c r="AC225" i="14"/>
  <c r="AA225" i="14"/>
  <c r="Z225" i="14"/>
  <c r="AW225" i="14" s="1"/>
  <c r="X225" i="14"/>
  <c r="W225" i="14"/>
  <c r="U225" i="14"/>
  <c r="T225" i="14"/>
  <c r="R225" i="14"/>
  <c r="Q225" i="14"/>
  <c r="AV225" i="14" s="1"/>
  <c r="O225" i="14"/>
  <c r="N225" i="14"/>
  <c r="L225" i="14"/>
  <c r="K225" i="14"/>
  <c r="H225" i="14"/>
  <c r="AU225" i="14" s="1"/>
  <c r="F225" i="14"/>
  <c r="E225" i="14"/>
  <c r="AO224" i="14"/>
  <c r="AM224" i="14"/>
  <c r="AN224" i="14" s="1"/>
  <c r="AL224" i="14"/>
  <c r="AJ224" i="14"/>
  <c r="AI224" i="14"/>
  <c r="AG224" i="14"/>
  <c r="AF224" i="14"/>
  <c r="AD224" i="14"/>
  <c r="AC224" i="14"/>
  <c r="AA224" i="14"/>
  <c r="Z224" i="14"/>
  <c r="AW224" i="14" s="1"/>
  <c r="X224" i="14"/>
  <c r="W224" i="14"/>
  <c r="U224" i="14"/>
  <c r="T224" i="14"/>
  <c r="R224" i="14"/>
  <c r="Q224" i="14"/>
  <c r="AV224" i="14" s="1"/>
  <c r="O224" i="14"/>
  <c r="N224" i="14"/>
  <c r="L224" i="14"/>
  <c r="F224" i="14" s="1"/>
  <c r="K224" i="14"/>
  <c r="M224" i="14" s="1"/>
  <c r="H224" i="14"/>
  <c r="AO223" i="14"/>
  <c r="AM223" i="14"/>
  <c r="AN223" i="14" s="1"/>
  <c r="AL223" i="14"/>
  <c r="AJ223" i="14"/>
  <c r="AI223" i="14"/>
  <c r="AX223" i="14" s="1"/>
  <c r="AG223" i="14"/>
  <c r="AF223" i="14"/>
  <c r="AD223" i="14"/>
  <c r="AC223" i="14"/>
  <c r="AA223" i="14"/>
  <c r="Z223" i="14"/>
  <c r="X223" i="14"/>
  <c r="W223" i="14"/>
  <c r="U223" i="14"/>
  <c r="T223" i="14"/>
  <c r="R223" i="14"/>
  <c r="Q223" i="14"/>
  <c r="O223" i="14"/>
  <c r="N223" i="14"/>
  <c r="L223" i="14"/>
  <c r="F223" i="14" s="1"/>
  <c r="K223" i="14"/>
  <c r="M223" i="14" s="1"/>
  <c r="H223" i="14"/>
  <c r="AO222" i="14"/>
  <c r="AM222" i="14"/>
  <c r="AN222" i="14" s="1"/>
  <c r="AL222" i="14"/>
  <c r="AJ222" i="14"/>
  <c r="AI222" i="14"/>
  <c r="AX222" i="14" s="1"/>
  <c r="AG222" i="14"/>
  <c r="AF222" i="14"/>
  <c r="AD222" i="14"/>
  <c r="AC222" i="14"/>
  <c r="AA222" i="14"/>
  <c r="Z222" i="14"/>
  <c r="X222" i="14"/>
  <c r="W222" i="14"/>
  <c r="U222" i="14"/>
  <c r="V222" i="14" s="1"/>
  <c r="T222" i="14"/>
  <c r="R222" i="14"/>
  <c r="Q222" i="14"/>
  <c r="O222" i="14"/>
  <c r="N222" i="14"/>
  <c r="L222" i="14"/>
  <c r="F222" i="14" s="1"/>
  <c r="K222" i="14"/>
  <c r="M222" i="14" s="1"/>
  <c r="H222" i="14"/>
  <c r="AJ221" i="14"/>
  <c r="AI221" i="14"/>
  <c r="AG221" i="14"/>
  <c r="AF221" i="14"/>
  <c r="AD221" i="14"/>
  <c r="AC221" i="14"/>
  <c r="AA221" i="14"/>
  <c r="Z221" i="14"/>
  <c r="AW221" i="14" s="1"/>
  <c r="X221" i="14"/>
  <c r="W221" i="14"/>
  <c r="U221" i="14"/>
  <c r="T221" i="14"/>
  <c r="R221" i="14"/>
  <c r="Q221" i="14"/>
  <c r="AV221" i="14" s="1"/>
  <c r="O221" i="14"/>
  <c r="N221" i="14"/>
  <c r="H221" i="14"/>
  <c r="AX215" i="14"/>
  <c r="AW215" i="14"/>
  <c r="AV215" i="14"/>
  <c r="AU215" i="14"/>
  <c r="F215" i="14"/>
  <c r="E215" i="14"/>
  <c r="AX214" i="14"/>
  <c r="AW214" i="14"/>
  <c r="AV214" i="14"/>
  <c r="AU214" i="14"/>
  <c r="AK214" i="14"/>
  <c r="S214" i="14"/>
  <c r="P214" i="14"/>
  <c r="M214" i="14"/>
  <c r="F214" i="14"/>
  <c r="E214" i="14"/>
  <c r="AX213" i="14"/>
  <c r="AW213" i="14"/>
  <c r="AV213" i="14"/>
  <c r="AU213" i="14"/>
  <c r="AK213" i="14"/>
  <c r="V213" i="14"/>
  <c r="P213" i="14"/>
  <c r="M213" i="14"/>
  <c r="F213" i="14"/>
  <c r="E213" i="14"/>
  <c r="AX212" i="14"/>
  <c r="AW212" i="14"/>
  <c r="AV212" i="14"/>
  <c r="AU212" i="14"/>
  <c r="AK212" i="14"/>
  <c r="F212" i="14"/>
  <c r="E212" i="14"/>
  <c r="AO211" i="14"/>
  <c r="AM211" i="14"/>
  <c r="AN211" i="14" s="1"/>
  <c r="AL211" i="14"/>
  <c r="AJ211" i="14"/>
  <c r="AI211" i="14"/>
  <c r="AF211" i="14"/>
  <c r="AH211" i="14" s="1"/>
  <c r="AD211" i="14"/>
  <c r="AC211" i="14"/>
  <c r="AA211" i="14"/>
  <c r="Z211" i="14"/>
  <c r="X211" i="14"/>
  <c r="W211" i="14"/>
  <c r="U211" i="14"/>
  <c r="T211" i="14"/>
  <c r="R211" i="14"/>
  <c r="Q211" i="14"/>
  <c r="AV211" i="14" s="1"/>
  <c r="O211" i="14"/>
  <c r="N211" i="14"/>
  <c r="P211" i="14" s="1"/>
  <c r="L211" i="14"/>
  <c r="K211" i="14"/>
  <c r="H211" i="14"/>
  <c r="AX210" i="14"/>
  <c r="AW210" i="14"/>
  <c r="AV210" i="14"/>
  <c r="AU210" i="14"/>
  <c r="F210" i="14"/>
  <c r="E210" i="14"/>
  <c r="AX209" i="14"/>
  <c r="AW209" i="14"/>
  <c r="AV209" i="14"/>
  <c r="AU209" i="14"/>
  <c r="F209" i="14"/>
  <c r="E209" i="14"/>
  <c r="AX208" i="14"/>
  <c r="AW208" i="14"/>
  <c r="AV208" i="14"/>
  <c r="AU208" i="14"/>
  <c r="F208" i="14"/>
  <c r="E208" i="14"/>
  <c r="AX207" i="14"/>
  <c r="AW207" i="14"/>
  <c r="AV207" i="14"/>
  <c r="AU207" i="14"/>
  <c r="F207" i="14"/>
  <c r="E207" i="14"/>
  <c r="AO206" i="14"/>
  <c r="AL206" i="14"/>
  <c r="AI206" i="14"/>
  <c r="AF206" i="14"/>
  <c r="AD206" i="14"/>
  <c r="AC206" i="14"/>
  <c r="Z206" i="14"/>
  <c r="AW206" i="14" s="1"/>
  <c r="X206" i="14"/>
  <c r="W206" i="14"/>
  <c r="T206" i="14"/>
  <c r="Q206" i="14"/>
  <c r="AV206" i="14" s="1"/>
  <c r="O206" i="14"/>
  <c r="N206" i="14"/>
  <c r="L206" i="14"/>
  <c r="K206" i="14"/>
  <c r="H206" i="14"/>
  <c r="E206" i="14" s="1"/>
  <c r="F206" i="14"/>
  <c r="AX205" i="14"/>
  <c r="AW205" i="14"/>
  <c r="AV205" i="14"/>
  <c r="AU205" i="14"/>
  <c r="F205" i="14"/>
  <c r="E205" i="14"/>
  <c r="AX204" i="14"/>
  <c r="AW204" i="14"/>
  <c r="AV204" i="14"/>
  <c r="AU204" i="14"/>
  <c r="AH204" i="14"/>
  <c r="F204" i="14"/>
  <c r="E204" i="14"/>
  <c r="AX203" i="14"/>
  <c r="AW203" i="14"/>
  <c r="AV203" i="14"/>
  <c r="AU203" i="14"/>
  <c r="F203" i="14"/>
  <c r="E203" i="14"/>
  <c r="AX202" i="14"/>
  <c r="AW202" i="14"/>
  <c r="AV202" i="14"/>
  <c r="AU202" i="14"/>
  <c r="F202" i="14"/>
  <c r="E202" i="14"/>
  <c r="AO201" i="14"/>
  <c r="AL201" i="14"/>
  <c r="AI201" i="14"/>
  <c r="AX201" i="14" s="1"/>
  <c r="AG201" i="14"/>
  <c r="AF201" i="14"/>
  <c r="AD201" i="14"/>
  <c r="AC201" i="14"/>
  <c r="AA201" i="14"/>
  <c r="Z201" i="14"/>
  <c r="AW201" i="14" s="1"/>
  <c r="W201" i="14"/>
  <c r="T201" i="14"/>
  <c r="Q201" i="14"/>
  <c r="AV201" i="14" s="1"/>
  <c r="N201" i="14"/>
  <c r="K201" i="14"/>
  <c r="H201" i="14"/>
  <c r="AU201" i="14" s="1"/>
  <c r="E201" i="14"/>
  <c r="AX200" i="14"/>
  <c r="AW200" i="14"/>
  <c r="AV200" i="14"/>
  <c r="AU200" i="14"/>
  <c r="F200" i="14"/>
  <c r="E200" i="14"/>
  <c r="AX199" i="14"/>
  <c r="AW199" i="14"/>
  <c r="AV199" i="14"/>
  <c r="AU199" i="14"/>
  <c r="F199" i="14"/>
  <c r="E199" i="14"/>
  <c r="AX198" i="14"/>
  <c r="AW198" i="14"/>
  <c r="AV198" i="14"/>
  <c r="AU198" i="14"/>
  <c r="F198" i="14"/>
  <c r="E198" i="14"/>
  <c r="AX197" i="14"/>
  <c r="AW197" i="14"/>
  <c r="AV197" i="14"/>
  <c r="AU197" i="14"/>
  <c r="F197" i="14"/>
  <c r="E197" i="14"/>
  <c r="AO196" i="14"/>
  <c r="AL196" i="14"/>
  <c r="AI196" i="14"/>
  <c r="AX196" i="14" s="1"/>
  <c r="AF196" i="14"/>
  <c r="AC196" i="14"/>
  <c r="Z196" i="14"/>
  <c r="AW196" i="14" s="1"/>
  <c r="W196" i="14"/>
  <c r="T196" i="14"/>
  <c r="Q196" i="14"/>
  <c r="AV196" i="14" s="1"/>
  <c r="N196" i="14"/>
  <c r="K196" i="14"/>
  <c r="H196" i="14"/>
  <c r="AU196" i="14" s="1"/>
  <c r="F196" i="14"/>
  <c r="E196" i="14"/>
  <c r="AX195" i="14"/>
  <c r="AW195" i="14"/>
  <c r="AV195" i="14"/>
  <c r="AU195" i="14"/>
  <c r="F195" i="14"/>
  <c r="E195" i="14"/>
  <c r="AX194" i="14"/>
  <c r="AW194" i="14"/>
  <c r="AV194" i="14"/>
  <c r="AU194" i="14"/>
  <c r="P194" i="14"/>
  <c r="F194" i="14"/>
  <c r="E194" i="14"/>
  <c r="AX193" i="14"/>
  <c r="AW193" i="14"/>
  <c r="AV193" i="14"/>
  <c r="AU193" i="14"/>
  <c r="F193" i="14"/>
  <c r="E193" i="14"/>
  <c r="AX192" i="14"/>
  <c r="AW192" i="14"/>
  <c r="AV192" i="14"/>
  <c r="AU192" i="14"/>
  <c r="F192" i="14"/>
  <c r="E192" i="14"/>
  <c r="AO191" i="14"/>
  <c r="AL191" i="14"/>
  <c r="AJ191" i="14"/>
  <c r="AI191" i="14"/>
  <c r="AX191" i="14" s="1"/>
  <c r="AF191" i="14"/>
  <c r="AC191" i="14"/>
  <c r="Z191" i="14"/>
  <c r="AW191" i="14" s="1"/>
  <c r="W191" i="14"/>
  <c r="T191" i="14"/>
  <c r="Q191" i="14"/>
  <c r="AV191" i="14" s="1"/>
  <c r="O191" i="14"/>
  <c r="N191" i="14"/>
  <c r="K191" i="14"/>
  <c r="H191" i="14"/>
  <c r="AU191" i="14" s="1"/>
  <c r="E191" i="14"/>
  <c r="AX190" i="14"/>
  <c r="AW190" i="14"/>
  <c r="AV190" i="14"/>
  <c r="AU190" i="14"/>
  <c r="AO189" i="14"/>
  <c r="AM189" i="14"/>
  <c r="AL189" i="14"/>
  <c r="AI189" i="14"/>
  <c r="AX189" i="14" s="1"/>
  <c r="AF189" i="14"/>
  <c r="AD189" i="14"/>
  <c r="AC189" i="14"/>
  <c r="Z189" i="14"/>
  <c r="AW189" i="14" s="1"/>
  <c r="X189" i="14"/>
  <c r="W189" i="14"/>
  <c r="U189" i="14"/>
  <c r="T189" i="14"/>
  <c r="R189" i="14"/>
  <c r="Q189" i="14"/>
  <c r="AV189" i="14" s="1"/>
  <c r="O189" i="14"/>
  <c r="N189" i="14"/>
  <c r="L189" i="14"/>
  <c r="K189" i="14"/>
  <c r="I189" i="14"/>
  <c r="H189" i="14"/>
  <c r="AU189" i="14" s="1"/>
  <c r="F189" i="14"/>
  <c r="E189" i="14"/>
  <c r="AO188" i="14"/>
  <c r="AM188" i="14"/>
  <c r="AJ188" i="14"/>
  <c r="AG188" i="14"/>
  <c r="AF188" i="14"/>
  <c r="AD188" i="14"/>
  <c r="AC188" i="14"/>
  <c r="AA188" i="14"/>
  <c r="Z188" i="14"/>
  <c r="AW188" i="14" s="1"/>
  <c r="X188" i="14"/>
  <c r="W188" i="14"/>
  <c r="U188" i="14"/>
  <c r="T188" i="14"/>
  <c r="R188" i="14"/>
  <c r="Q188" i="14"/>
  <c r="AV188" i="14" s="1"/>
  <c r="O188" i="14"/>
  <c r="N188" i="14"/>
  <c r="L188" i="14"/>
  <c r="M188" i="14" s="1"/>
  <c r="K188" i="14"/>
  <c r="I188" i="14"/>
  <c r="J188" i="14" s="1"/>
  <c r="H188" i="14"/>
  <c r="AU188" i="14" s="1"/>
  <c r="AO187" i="14"/>
  <c r="AQ187" i="14" s="1"/>
  <c r="AM187" i="14"/>
  <c r="AL187" i="14"/>
  <c r="AJ187" i="14"/>
  <c r="AI187" i="14"/>
  <c r="AT187" i="14" s="1"/>
  <c r="AG187" i="14"/>
  <c r="AF187" i="14"/>
  <c r="AD187" i="14"/>
  <c r="AD185" i="14" s="1"/>
  <c r="AC187" i="14"/>
  <c r="AA187" i="14"/>
  <c r="Z187" i="14"/>
  <c r="AW187" i="14" s="1"/>
  <c r="X187" i="14"/>
  <c r="W187" i="14"/>
  <c r="U187" i="14"/>
  <c r="T187" i="14"/>
  <c r="R187" i="14"/>
  <c r="Q187" i="14"/>
  <c r="AV187" i="14" s="1"/>
  <c r="O187" i="14"/>
  <c r="N187" i="14"/>
  <c r="L187" i="14"/>
  <c r="K187" i="14"/>
  <c r="I187" i="14"/>
  <c r="H187" i="14"/>
  <c r="E187" i="14" s="1"/>
  <c r="F187" i="14"/>
  <c r="AO186" i="14"/>
  <c r="AM186" i="14"/>
  <c r="AL186" i="14"/>
  <c r="AJ186" i="14"/>
  <c r="AI186" i="14"/>
  <c r="AX186" i="14" s="1"/>
  <c r="AG186" i="14"/>
  <c r="AF186" i="14"/>
  <c r="AD186" i="14"/>
  <c r="AC186" i="14"/>
  <c r="AA186" i="14"/>
  <c r="Z186" i="14"/>
  <c r="AW186" i="14" s="1"/>
  <c r="X186" i="14"/>
  <c r="W186" i="14"/>
  <c r="U186" i="14"/>
  <c r="T186" i="14"/>
  <c r="R186" i="14"/>
  <c r="Q186" i="14"/>
  <c r="AV186" i="14" s="1"/>
  <c r="O186" i="14"/>
  <c r="N186" i="14"/>
  <c r="L186" i="14"/>
  <c r="K186" i="14"/>
  <c r="I186" i="14"/>
  <c r="H186" i="14"/>
  <c r="AU186" i="14" s="1"/>
  <c r="F186" i="14"/>
  <c r="E186" i="14"/>
  <c r="AJ185" i="14"/>
  <c r="AF185" i="14"/>
  <c r="AC185" i="14"/>
  <c r="Z185" i="14"/>
  <c r="AW185" i="14" s="1"/>
  <c r="W185" i="14"/>
  <c r="U185" i="14"/>
  <c r="T185" i="14"/>
  <c r="Q185" i="14"/>
  <c r="O185" i="14"/>
  <c r="N185" i="14"/>
  <c r="K185" i="14"/>
  <c r="H185" i="14"/>
  <c r="AU185" i="14" s="1"/>
  <c r="AX184" i="14"/>
  <c r="AW184" i="14"/>
  <c r="AV184" i="14"/>
  <c r="AU184" i="14"/>
  <c r="F184" i="14"/>
  <c r="E184" i="14"/>
  <c r="AX183" i="14"/>
  <c r="AW183" i="14"/>
  <c r="AV183" i="14"/>
  <c r="AU183" i="14"/>
  <c r="F183" i="14"/>
  <c r="E183" i="14"/>
  <c r="AX182" i="14"/>
  <c r="AW182" i="14"/>
  <c r="AV182" i="14"/>
  <c r="AU182" i="14"/>
  <c r="F182" i="14"/>
  <c r="E182" i="14"/>
  <c r="AX181" i="14"/>
  <c r="AW181" i="14"/>
  <c r="AV181" i="14"/>
  <c r="AU181" i="14"/>
  <c r="F181" i="14"/>
  <c r="E181" i="14"/>
  <c r="AO180" i="14"/>
  <c r="AL180" i="14"/>
  <c r="AI180" i="14"/>
  <c r="AX180" i="14" s="1"/>
  <c r="AF180" i="14"/>
  <c r="AC180" i="14"/>
  <c r="Z180" i="14"/>
  <c r="AW180" i="14" s="1"/>
  <c r="W180" i="14"/>
  <c r="T180" i="14"/>
  <c r="Q180" i="14"/>
  <c r="AV180" i="14" s="1"/>
  <c r="N180" i="14"/>
  <c r="K180" i="14"/>
  <c r="H180" i="14"/>
  <c r="AU180" i="14" s="1"/>
  <c r="F180" i="14"/>
  <c r="E180" i="14"/>
  <c r="AX179" i="14"/>
  <c r="AW179" i="14"/>
  <c r="AV179" i="14"/>
  <c r="AU179" i="14"/>
  <c r="F179" i="14"/>
  <c r="E179" i="14"/>
  <c r="AX178" i="14"/>
  <c r="AW178" i="14"/>
  <c r="AV178" i="14"/>
  <c r="AU178" i="14"/>
  <c r="AN178" i="14"/>
  <c r="AK178" i="14"/>
  <c r="AH178" i="14"/>
  <c r="AE178" i="14"/>
  <c r="AB178" i="14"/>
  <c r="Y178" i="14"/>
  <c r="V178" i="14"/>
  <c r="S178" i="14"/>
  <c r="P178" i="14"/>
  <c r="M178" i="14"/>
  <c r="J178" i="14"/>
  <c r="F178" i="14"/>
  <c r="E178" i="14"/>
  <c r="AX177" i="14"/>
  <c r="AW177" i="14"/>
  <c r="AV177" i="14"/>
  <c r="AU177" i="14"/>
  <c r="AN177" i="14"/>
  <c r="AK177" i="14"/>
  <c r="AH177" i="14"/>
  <c r="AE177" i="14"/>
  <c r="AB177" i="14"/>
  <c r="Y177" i="14"/>
  <c r="V177" i="14"/>
  <c r="S177" i="14"/>
  <c r="P177" i="14"/>
  <c r="M177" i="14"/>
  <c r="J177" i="14"/>
  <c r="F177" i="14"/>
  <c r="E177" i="14"/>
  <c r="AX176" i="14"/>
  <c r="AW176" i="14"/>
  <c r="AV176" i="14"/>
  <c r="AU176" i="14"/>
  <c r="F176" i="14"/>
  <c r="E176" i="14"/>
  <c r="AO175" i="14"/>
  <c r="AQ175" i="14" s="1"/>
  <c r="AM175" i="14"/>
  <c r="AL175" i="14"/>
  <c r="AJ175" i="14"/>
  <c r="AI175" i="14"/>
  <c r="AX175" i="14" s="1"/>
  <c r="AG175" i="14"/>
  <c r="AF175" i="14"/>
  <c r="AD175" i="14"/>
  <c r="AE175" i="14" s="1"/>
  <c r="AC175" i="14"/>
  <c r="AA175" i="14"/>
  <c r="Z175" i="14"/>
  <c r="AW175" i="14" s="1"/>
  <c r="X175" i="14"/>
  <c r="W175" i="14"/>
  <c r="U175" i="14"/>
  <c r="T175" i="14"/>
  <c r="R175" i="14"/>
  <c r="Q175" i="14"/>
  <c r="AV175" i="14" s="1"/>
  <c r="O175" i="14"/>
  <c r="N175" i="14"/>
  <c r="L175" i="14"/>
  <c r="M175" i="14" s="1"/>
  <c r="K175" i="14"/>
  <c r="I175" i="14"/>
  <c r="H175" i="14"/>
  <c r="AU175" i="14" s="1"/>
  <c r="F175" i="14"/>
  <c r="AX174" i="14"/>
  <c r="AW174" i="14"/>
  <c r="AV174" i="14"/>
  <c r="AU174" i="14"/>
  <c r="F174" i="14"/>
  <c r="E174" i="14"/>
  <c r="AX173" i="14"/>
  <c r="AW173" i="14"/>
  <c r="AV173" i="14"/>
  <c r="AU173" i="14"/>
  <c r="AN173" i="14"/>
  <c r="AK173" i="14"/>
  <c r="AH173" i="14"/>
  <c r="AE173" i="14"/>
  <c r="AB173" i="14"/>
  <c r="Y173" i="14"/>
  <c r="V173" i="14"/>
  <c r="S173" i="14"/>
  <c r="P173" i="14"/>
  <c r="M173" i="14"/>
  <c r="J173" i="14"/>
  <c r="F173" i="14"/>
  <c r="E173" i="14"/>
  <c r="AX172" i="14"/>
  <c r="AW172" i="14"/>
  <c r="AV172" i="14"/>
  <c r="AU172" i="14"/>
  <c r="F172" i="14"/>
  <c r="E172" i="14"/>
  <c r="AX171" i="14"/>
  <c r="AW171" i="14"/>
  <c r="AV171" i="14"/>
  <c r="AU171" i="14"/>
  <c r="F171" i="14"/>
  <c r="E171" i="14"/>
  <c r="AO170" i="14"/>
  <c r="AM170" i="14"/>
  <c r="AL170" i="14"/>
  <c r="AJ170" i="14"/>
  <c r="AI170" i="14"/>
  <c r="AX170" i="14" s="1"/>
  <c r="AG170" i="14"/>
  <c r="AF170" i="14"/>
  <c r="AD170" i="14"/>
  <c r="AC170" i="14"/>
  <c r="AA170" i="14"/>
  <c r="Z170" i="14"/>
  <c r="AW170" i="14" s="1"/>
  <c r="X170" i="14"/>
  <c r="W170" i="14"/>
  <c r="Y170" i="14" s="1"/>
  <c r="U170" i="14"/>
  <c r="T170" i="14"/>
  <c r="R170" i="14"/>
  <c r="Q170" i="14"/>
  <c r="AV170" i="14" s="1"/>
  <c r="O170" i="14"/>
  <c r="N170" i="14"/>
  <c r="L170" i="14"/>
  <c r="K170" i="14"/>
  <c r="M170" i="14" s="1"/>
  <c r="I170" i="14"/>
  <c r="J170" i="14" s="1"/>
  <c r="H170" i="14"/>
  <c r="AU170" i="14" s="1"/>
  <c r="AX169" i="14"/>
  <c r="AW169" i="14"/>
  <c r="AV169" i="14"/>
  <c r="AU169" i="14"/>
  <c r="F169" i="14"/>
  <c r="E169" i="14"/>
  <c r="AX168" i="14"/>
  <c r="AW168" i="14"/>
  <c r="AV168" i="14"/>
  <c r="AU168" i="14"/>
  <c r="F168" i="14"/>
  <c r="E168" i="14"/>
  <c r="AX167" i="14"/>
  <c r="AW167" i="14"/>
  <c r="AV167" i="14"/>
  <c r="AU167" i="14"/>
  <c r="F167" i="14"/>
  <c r="E167" i="14"/>
  <c r="AX166" i="14"/>
  <c r="AW166" i="14"/>
  <c r="AV166" i="14"/>
  <c r="AU166" i="14"/>
  <c r="F166" i="14"/>
  <c r="E166" i="14"/>
  <c r="AO165" i="14"/>
  <c r="AM165" i="14"/>
  <c r="AL165" i="14"/>
  <c r="AJ165" i="14"/>
  <c r="AI165" i="14"/>
  <c r="AG165" i="14"/>
  <c r="AF165" i="14"/>
  <c r="AC165" i="14"/>
  <c r="Z165" i="14"/>
  <c r="AW165" i="14" s="1"/>
  <c r="X165" i="14"/>
  <c r="W165" i="14"/>
  <c r="T165" i="14"/>
  <c r="Q165" i="14"/>
  <c r="O165" i="14"/>
  <c r="N165" i="14"/>
  <c r="K165" i="14"/>
  <c r="H165" i="14"/>
  <c r="AU165" i="14" s="1"/>
  <c r="F165" i="14"/>
  <c r="AX164" i="14"/>
  <c r="AW164" i="14"/>
  <c r="AV164" i="14"/>
  <c r="AU164" i="14"/>
  <c r="F164" i="14"/>
  <c r="E164" i="14"/>
  <c r="AX163" i="14"/>
  <c r="AW163" i="14"/>
  <c r="AV163" i="14"/>
  <c r="AU163" i="14"/>
  <c r="F163" i="14"/>
  <c r="G163" i="14" s="1"/>
  <c r="E163" i="14"/>
  <c r="AX162" i="14"/>
  <c r="AW162" i="14"/>
  <c r="AV162" i="14"/>
  <c r="AU162" i="14"/>
  <c r="F162" i="14"/>
  <c r="E162" i="14"/>
  <c r="AX161" i="14"/>
  <c r="AW161" i="14"/>
  <c r="AV161" i="14"/>
  <c r="AU161" i="14"/>
  <c r="F161" i="14"/>
  <c r="E161" i="14"/>
  <c r="AO160" i="14"/>
  <c r="AL160" i="14"/>
  <c r="AJ160" i="14"/>
  <c r="AI160" i="14"/>
  <c r="AX160" i="14" s="1"/>
  <c r="AG160" i="14"/>
  <c r="AF160" i="14"/>
  <c r="AC160" i="14"/>
  <c r="Z160" i="14"/>
  <c r="AW160" i="14" s="1"/>
  <c r="W160" i="14"/>
  <c r="T160" i="14"/>
  <c r="Q160" i="14"/>
  <c r="AV160" i="14" s="1"/>
  <c r="N160" i="14"/>
  <c r="K160" i="14"/>
  <c r="H160" i="14"/>
  <c r="AU160" i="14" s="1"/>
  <c r="F160" i="14"/>
  <c r="AX159" i="14"/>
  <c r="AW159" i="14"/>
  <c r="AV159" i="14"/>
  <c r="AU159" i="14"/>
  <c r="F159" i="14"/>
  <c r="E159" i="14"/>
  <c r="AW158" i="14"/>
  <c r="AV158" i="14"/>
  <c r="AU158" i="14"/>
  <c r="AL158" i="14"/>
  <c r="AL188" i="14" s="1"/>
  <c r="AL185" i="14" s="1"/>
  <c r="AI158" i="14"/>
  <c r="AI188" i="14" s="1"/>
  <c r="F158" i="14"/>
  <c r="E158" i="14"/>
  <c r="AX157" i="14"/>
  <c r="AW157" i="14"/>
  <c r="AV157" i="14"/>
  <c r="AU157" i="14"/>
  <c r="F157" i="14"/>
  <c r="E157" i="14"/>
  <c r="AX156" i="14"/>
  <c r="AW156" i="14"/>
  <c r="AV156" i="14"/>
  <c r="AU156" i="14"/>
  <c r="F156" i="14"/>
  <c r="E156" i="14"/>
  <c r="AO155" i="14"/>
  <c r="AL155" i="14"/>
  <c r="AJ155" i="14"/>
  <c r="AI155" i="14"/>
  <c r="AX155" i="14" s="1"/>
  <c r="AG155" i="14"/>
  <c r="AF155" i="14"/>
  <c r="AC155" i="14"/>
  <c r="Z155" i="14"/>
  <c r="AW155" i="14" s="1"/>
  <c r="W155" i="14"/>
  <c r="T155" i="14"/>
  <c r="Q155" i="14"/>
  <c r="AV155" i="14" s="1"/>
  <c r="N155" i="14"/>
  <c r="L155" i="14"/>
  <c r="K155" i="14"/>
  <c r="I155" i="14"/>
  <c r="H155" i="14"/>
  <c r="AU155" i="14" s="1"/>
  <c r="F155" i="14"/>
  <c r="AX154" i="14"/>
  <c r="AW154" i="14"/>
  <c r="AV154" i="14"/>
  <c r="AU154" i="14"/>
  <c r="AO153" i="14"/>
  <c r="AM153" i="14"/>
  <c r="AL153" i="14"/>
  <c r="AJ153" i="14"/>
  <c r="AI153" i="14"/>
  <c r="AX153" i="14" s="1"/>
  <c r="AG153" i="14"/>
  <c r="AF153" i="14"/>
  <c r="AD153" i="14"/>
  <c r="AC153" i="14"/>
  <c r="AA153" i="14"/>
  <c r="Z153" i="14"/>
  <c r="AW153" i="14" s="1"/>
  <c r="X153" i="14"/>
  <c r="W153" i="14"/>
  <c r="U153" i="14"/>
  <c r="T153" i="14"/>
  <c r="R153" i="14"/>
  <c r="Q153" i="14"/>
  <c r="AV153" i="14" s="1"/>
  <c r="O153" i="14"/>
  <c r="N153" i="14"/>
  <c r="L153" i="14"/>
  <c r="K153" i="14"/>
  <c r="I153" i="14"/>
  <c r="H153" i="14"/>
  <c r="AU153" i="14" s="1"/>
  <c r="F153" i="14"/>
  <c r="E153" i="14"/>
  <c r="AO152" i="14"/>
  <c r="AM152" i="14"/>
  <c r="AJ152" i="14"/>
  <c r="AG152" i="14"/>
  <c r="AF152" i="14"/>
  <c r="AD152" i="14"/>
  <c r="AC152" i="14"/>
  <c r="AA152" i="14"/>
  <c r="X152" i="14"/>
  <c r="W152" i="14"/>
  <c r="U152" i="14"/>
  <c r="T152" i="14"/>
  <c r="R152" i="14"/>
  <c r="O152" i="14"/>
  <c r="N152" i="14"/>
  <c r="L152" i="14"/>
  <c r="K152" i="14"/>
  <c r="I152" i="14"/>
  <c r="H152" i="14"/>
  <c r="AU152" i="14" s="1"/>
  <c r="AO151" i="14"/>
  <c r="AM151" i="14"/>
  <c r="AL151" i="14"/>
  <c r="AJ151" i="14"/>
  <c r="AI151" i="14"/>
  <c r="AX151" i="14" s="1"/>
  <c r="AG151" i="14"/>
  <c r="AF151" i="14"/>
  <c r="AD151" i="14"/>
  <c r="AC151" i="14"/>
  <c r="AA151" i="14"/>
  <c r="X151" i="14"/>
  <c r="W151" i="14"/>
  <c r="U151" i="14"/>
  <c r="R151" i="14"/>
  <c r="Q151" i="14"/>
  <c r="O151" i="14"/>
  <c r="N151" i="14"/>
  <c r="N149" i="14" s="1"/>
  <c r="L151" i="14"/>
  <c r="I151" i="14"/>
  <c r="J151" i="14" s="1"/>
  <c r="H151" i="14"/>
  <c r="AO150" i="14"/>
  <c r="AM150" i="14"/>
  <c r="AL150" i="14"/>
  <c r="AJ150" i="14"/>
  <c r="AI150" i="14"/>
  <c r="AX150" i="14" s="1"/>
  <c r="AG150" i="14"/>
  <c r="AF150" i="14"/>
  <c r="AD150" i="14"/>
  <c r="AC150" i="14"/>
  <c r="AE150" i="14" s="1"/>
  <c r="AA150" i="14"/>
  <c r="Z150" i="14"/>
  <c r="AW150" i="14" s="1"/>
  <c r="X150" i="14"/>
  <c r="W150" i="14"/>
  <c r="U150" i="14"/>
  <c r="T150" i="14"/>
  <c r="R150" i="14"/>
  <c r="Q150" i="14"/>
  <c r="O150" i="14"/>
  <c r="N150" i="14"/>
  <c r="L150" i="14"/>
  <c r="K150" i="14"/>
  <c r="M150" i="14" s="1"/>
  <c r="I150" i="14"/>
  <c r="H150" i="14"/>
  <c r="AU150" i="14" s="1"/>
  <c r="F150" i="14"/>
  <c r="E150" i="14"/>
  <c r="R149" i="14"/>
  <c r="AX148" i="14"/>
  <c r="AW148" i="14"/>
  <c r="AV148" i="14"/>
  <c r="AU148" i="14"/>
  <c r="F148" i="14"/>
  <c r="E148" i="14"/>
  <c r="AX147" i="14"/>
  <c r="AW147" i="14"/>
  <c r="AV147" i="14"/>
  <c r="AU147" i="14"/>
  <c r="F147" i="14"/>
  <c r="E147" i="14"/>
  <c r="AX146" i="14"/>
  <c r="AW146" i="14"/>
  <c r="AV146" i="14"/>
  <c r="AU146" i="14"/>
  <c r="F146" i="14"/>
  <c r="E146" i="14"/>
  <c r="AX145" i="14"/>
  <c r="AW145" i="14"/>
  <c r="AV145" i="14"/>
  <c r="AU145" i="14"/>
  <c r="F145" i="14"/>
  <c r="E145" i="14"/>
  <c r="AO144" i="14"/>
  <c r="AM144" i="14"/>
  <c r="AL144" i="14"/>
  <c r="AJ144" i="14"/>
  <c r="AI144" i="14"/>
  <c r="AX144" i="14" s="1"/>
  <c r="AG144" i="14"/>
  <c r="AF144" i="14"/>
  <c r="AD144" i="14"/>
  <c r="AC144" i="14"/>
  <c r="AA144" i="14"/>
  <c r="Z144" i="14"/>
  <c r="AW144" i="14" s="1"/>
  <c r="X144" i="14"/>
  <c r="W144" i="14"/>
  <c r="U144" i="14"/>
  <c r="T144" i="14"/>
  <c r="R144" i="14"/>
  <c r="Q144" i="14"/>
  <c r="AV144" i="14" s="1"/>
  <c r="O144" i="14"/>
  <c r="N144" i="14"/>
  <c r="L144" i="14"/>
  <c r="K144" i="14"/>
  <c r="H144" i="14"/>
  <c r="AU144" i="14" s="1"/>
  <c r="F144" i="14"/>
  <c r="AX143" i="14"/>
  <c r="AW143" i="14"/>
  <c r="AV143" i="14"/>
  <c r="AU143" i="14"/>
  <c r="F143" i="14"/>
  <c r="E143" i="14"/>
  <c r="AX142" i="14"/>
  <c r="AW142" i="14"/>
  <c r="AV142" i="14"/>
  <c r="AU142" i="14"/>
  <c r="F142" i="14"/>
  <c r="E142" i="14"/>
  <c r="AX141" i="14"/>
  <c r="AW141" i="14"/>
  <c r="AV141" i="14"/>
  <c r="AU141" i="14"/>
  <c r="F141" i="14"/>
  <c r="E141" i="14"/>
  <c r="AX140" i="14"/>
  <c r="AW140" i="14"/>
  <c r="AV140" i="14"/>
  <c r="AU140" i="14"/>
  <c r="F140" i="14"/>
  <c r="E140" i="14"/>
  <c r="AO139" i="14"/>
  <c r="AM139" i="14"/>
  <c r="AL139" i="14"/>
  <c r="AJ139" i="14"/>
  <c r="AI139" i="14"/>
  <c r="AX139" i="14" s="1"/>
  <c r="AF139" i="14"/>
  <c r="AD139" i="14"/>
  <c r="AC139" i="14"/>
  <c r="AA139" i="14"/>
  <c r="Z139" i="14"/>
  <c r="AW139" i="14" s="1"/>
  <c r="X139" i="14"/>
  <c r="W139" i="14"/>
  <c r="U139" i="14"/>
  <c r="T139" i="14"/>
  <c r="R139" i="14"/>
  <c r="Q139" i="14"/>
  <c r="AV139" i="14" s="1"/>
  <c r="O139" i="14"/>
  <c r="N139" i="14"/>
  <c r="L139" i="14"/>
  <c r="K139" i="14"/>
  <c r="H139" i="14"/>
  <c r="AU139" i="14" s="1"/>
  <c r="F139" i="14"/>
  <c r="AX138" i="14"/>
  <c r="AW138" i="14"/>
  <c r="AV138" i="14"/>
  <c r="AU138" i="14"/>
  <c r="F138" i="14"/>
  <c r="E138" i="14"/>
  <c r="AX137" i="14"/>
  <c r="AW137" i="14"/>
  <c r="AV137" i="14"/>
  <c r="AU137" i="14"/>
  <c r="F137" i="14"/>
  <c r="E137" i="14"/>
  <c r="AX136" i="14"/>
  <c r="AV136" i="14"/>
  <c r="Z151" i="14"/>
  <c r="Y136" i="14"/>
  <c r="V136" i="14"/>
  <c r="T151" i="14"/>
  <c r="T149" i="14" s="1"/>
  <c r="S136" i="14"/>
  <c r="K136" i="14"/>
  <c r="AU136" i="14" s="1"/>
  <c r="F136" i="14"/>
  <c r="E136" i="14"/>
  <c r="AX135" i="14"/>
  <c r="AW135" i="14"/>
  <c r="AV135" i="14"/>
  <c r="AU135" i="14"/>
  <c r="F135" i="14"/>
  <c r="E135" i="14"/>
  <c r="AO134" i="14"/>
  <c r="AM134" i="14"/>
  <c r="AL134" i="14"/>
  <c r="AJ134" i="14"/>
  <c r="AI134" i="14"/>
  <c r="AX134" i="14" s="1"/>
  <c r="AG134" i="14"/>
  <c r="AF134" i="14"/>
  <c r="AD134" i="14"/>
  <c r="AC134" i="14"/>
  <c r="AA134" i="14"/>
  <c r="Z134" i="14"/>
  <c r="AW134" i="14" s="1"/>
  <c r="X134" i="14"/>
  <c r="W134" i="14"/>
  <c r="AT134" i="14" s="1"/>
  <c r="U134" i="14"/>
  <c r="V134" i="14" s="1"/>
  <c r="T134" i="14"/>
  <c r="R134" i="14"/>
  <c r="Q134" i="14"/>
  <c r="AV134" i="14" s="1"/>
  <c r="O134" i="14"/>
  <c r="N134" i="14"/>
  <c r="L134" i="14"/>
  <c r="F134" i="14" s="1"/>
  <c r="K134" i="14"/>
  <c r="H134" i="14"/>
  <c r="AX133" i="14"/>
  <c r="AW133" i="14"/>
  <c r="AV133" i="14"/>
  <c r="AU133" i="14"/>
  <c r="F133" i="14"/>
  <c r="E133" i="14"/>
  <c r="AX132" i="14"/>
  <c r="AW132" i="14"/>
  <c r="AV132" i="14"/>
  <c r="AU132" i="14"/>
  <c r="AN132" i="14"/>
  <c r="AK132" i="14"/>
  <c r="AH132" i="14"/>
  <c r="Y132" i="14"/>
  <c r="V132" i="14"/>
  <c r="S132" i="14"/>
  <c r="P132" i="14"/>
  <c r="M132" i="14"/>
  <c r="J132" i="14"/>
  <c r="F132" i="14"/>
  <c r="E132" i="14"/>
  <c r="AX131" i="14"/>
  <c r="AW131" i="14"/>
  <c r="AV131" i="14"/>
  <c r="AU131" i="14"/>
  <c r="F131" i="14"/>
  <c r="E131" i="14"/>
  <c r="AX130" i="14"/>
  <c r="AW130" i="14"/>
  <c r="AV130" i="14"/>
  <c r="AU130" i="14"/>
  <c r="F130" i="14"/>
  <c r="E130" i="14"/>
  <c r="AO129" i="14"/>
  <c r="AM129" i="14"/>
  <c r="AN129" i="14" s="1"/>
  <c r="AL129" i="14"/>
  <c r="AJ129" i="14"/>
  <c r="AI129" i="14"/>
  <c r="AX129" i="14" s="1"/>
  <c r="AG129" i="14"/>
  <c r="AF129" i="14"/>
  <c r="AD129" i="14"/>
  <c r="AC129" i="14"/>
  <c r="AA129" i="14"/>
  <c r="Z129" i="14"/>
  <c r="AW129" i="14" s="1"/>
  <c r="X129" i="14"/>
  <c r="W129" i="14"/>
  <c r="U129" i="14"/>
  <c r="T129" i="14"/>
  <c r="V129" i="14" s="1"/>
  <c r="R129" i="14"/>
  <c r="Q129" i="14"/>
  <c r="O129" i="14"/>
  <c r="N129" i="14"/>
  <c r="P129" i="14" s="1"/>
  <c r="L129" i="14"/>
  <c r="K129" i="14"/>
  <c r="I129" i="14"/>
  <c r="H129" i="14"/>
  <c r="E129" i="14" s="1"/>
  <c r="F129" i="14"/>
  <c r="AX128" i="14"/>
  <c r="AW128" i="14"/>
  <c r="AV128" i="14"/>
  <c r="AU128" i="14"/>
  <c r="F128" i="14"/>
  <c r="E128" i="14"/>
  <c r="AX127" i="14"/>
  <c r="AW127" i="14"/>
  <c r="AV127" i="14"/>
  <c r="AU127" i="14"/>
  <c r="AN127" i="14"/>
  <c r="AK127" i="14"/>
  <c r="AH127" i="14"/>
  <c r="AE127" i="14"/>
  <c r="AB127" i="14"/>
  <c r="Y127" i="14"/>
  <c r="V127" i="14"/>
  <c r="S127" i="14"/>
  <c r="P127" i="14"/>
  <c r="M127" i="14"/>
  <c r="J127" i="14"/>
  <c r="F127" i="14"/>
  <c r="E127" i="14"/>
  <c r="AX126" i="14"/>
  <c r="AW126" i="14"/>
  <c r="AV126" i="14"/>
  <c r="AU126" i="14"/>
  <c r="F126" i="14"/>
  <c r="E126" i="14"/>
  <c r="AX125" i="14"/>
  <c r="AW125" i="14"/>
  <c r="AV125" i="14"/>
  <c r="AU125" i="14"/>
  <c r="F125" i="14"/>
  <c r="E125" i="14"/>
  <c r="AO124" i="14"/>
  <c r="AM124" i="14"/>
  <c r="AN124" i="14" s="1"/>
  <c r="AL124" i="14"/>
  <c r="AJ124" i="14"/>
  <c r="AI124" i="14"/>
  <c r="AX124" i="14" s="1"/>
  <c r="AG124" i="14"/>
  <c r="AF124" i="14"/>
  <c r="AD124" i="14"/>
  <c r="AC124" i="14"/>
  <c r="AE124" i="14" s="1"/>
  <c r="AA124" i="14"/>
  <c r="Z124" i="14"/>
  <c r="AW124" i="14" s="1"/>
  <c r="X124" i="14"/>
  <c r="W124" i="14"/>
  <c r="Y124" i="14" s="1"/>
  <c r="U124" i="14"/>
  <c r="V124" i="14" s="1"/>
  <c r="T124" i="14"/>
  <c r="R124" i="14"/>
  <c r="Q124" i="14"/>
  <c r="AV124" i="14" s="1"/>
  <c r="O124" i="14"/>
  <c r="N124" i="14"/>
  <c r="L124" i="14"/>
  <c r="K124" i="14"/>
  <c r="I124" i="14"/>
  <c r="J124" i="14" s="1"/>
  <c r="H124" i="14"/>
  <c r="AU124" i="14" s="1"/>
  <c r="AX118" i="14"/>
  <c r="AW118" i="14"/>
  <c r="AV118" i="14"/>
  <c r="AU118" i="14"/>
  <c r="F118" i="14"/>
  <c r="E118" i="14"/>
  <c r="AX117" i="14"/>
  <c r="AW117" i="14"/>
  <c r="AV117" i="14"/>
  <c r="AU117" i="14"/>
  <c r="AN117" i="14"/>
  <c r="AK117" i="14"/>
  <c r="AH117" i="14"/>
  <c r="AE117" i="14"/>
  <c r="Y117" i="14"/>
  <c r="V117" i="14"/>
  <c r="S117" i="14"/>
  <c r="P117" i="14"/>
  <c r="M117" i="14"/>
  <c r="F117" i="14"/>
  <c r="E117" i="14"/>
  <c r="AX116" i="14"/>
  <c r="AW116" i="14"/>
  <c r="AV116" i="14"/>
  <c r="AU116" i="14"/>
  <c r="AN116" i="14"/>
  <c r="AK116" i="14"/>
  <c r="AH116" i="14"/>
  <c r="AE116" i="14"/>
  <c r="V116" i="14"/>
  <c r="S116" i="14"/>
  <c r="P116" i="14"/>
  <c r="M116" i="14"/>
  <c r="F116" i="14"/>
  <c r="E116" i="14"/>
  <c r="AX115" i="14"/>
  <c r="AW115" i="14"/>
  <c r="AV115" i="14"/>
  <c r="AU115" i="14"/>
  <c r="AN115" i="14"/>
  <c r="AK115" i="14"/>
  <c r="AH115" i="14"/>
  <c r="F115" i="14"/>
  <c r="E115" i="14"/>
  <c r="AO114" i="14"/>
  <c r="AM114" i="14"/>
  <c r="AL114" i="14"/>
  <c r="AJ114" i="14"/>
  <c r="AI114" i="14"/>
  <c r="AG114" i="14"/>
  <c r="AF114" i="14"/>
  <c r="AD114" i="14"/>
  <c r="AC114" i="14"/>
  <c r="AA114" i="14"/>
  <c r="Z114" i="14"/>
  <c r="AW114" i="14" s="1"/>
  <c r="X114" i="14"/>
  <c r="W114" i="14"/>
  <c r="U114" i="14"/>
  <c r="T114" i="14"/>
  <c r="R114" i="14"/>
  <c r="Q114" i="14"/>
  <c r="O114" i="14"/>
  <c r="N114" i="14"/>
  <c r="L114" i="14"/>
  <c r="K114" i="14"/>
  <c r="I114" i="14"/>
  <c r="J114" i="14" s="1"/>
  <c r="H114" i="14"/>
  <c r="AU114" i="14" s="1"/>
  <c r="AX113" i="14"/>
  <c r="AW113" i="14"/>
  <c r="AV113" i="14"/>
  <c r="AU113" i="14"/>
  <c r="F113" i="14"/>
  <c r="E113" i="14"/>
  <c r="AW112" i="14"/>
  <c r="AU112" i="14"/>
  <c r="AL112" i="14"/>
  <c r="AL152" i="14" s="1"/>
  <c r="AL149" i="14" s="1"/>
  <c r="AI112" i="14"/>
  <c r="AX112" i="14" s="1"/>
  <c r="Q112" i="14"/>
  <c r="AV112" i="14" s="1"/>
  <c r="F112" i="14"/>
  <c r="E112" i="14"/>
  <c r="AX111" i="14"/>
  <c r="AW111" i="14"/>
  <c r="AV111" i="14"/>
  <c r="AU111" i="14"/>
  <c r="F111" i="14"/>
  <c r="E111" i="14"/>
  <c r="AX110" i="14"/>
  <c r="AW110" i="14"/>
  <c r="AV110" i="14"/>
  <c r="AU110" i="14"/>
  <c r="F110" i="14"/>
  <c r="E110" i="14"/>
  <c r="AO109" i="14"/>
  <c r="AL109" i="14"/>
  <c r="AJ109" i="14"/>
  <c r="AI109" i="14"/>
  <c r="AX109" i="14" s="1"/>
  <c r="AG109" i="14"/>
  <c r="AF109" i="14"/>
  <c r="AD109" i="14"/>
  <c r="AC109" i="14"/>
  <c r="Z109" i="14"/>
  <c r="AW109" i="14" s="1"/>
  <c r="X109" i="14"/>
  <c r="W109" i="14"/>
  <c r="U109" i="14"/>
  <c r="T109" i="14"/>
  <c r="R109" i="14"/>
  <c r="Q109" i="14"/>
  <c r="AV109" i="14" s="1"/>
  <c r="O109" i="14"/>
  <c r="N109" i="14"/>
  <c r="K109" i="14"/>
  <c r="H109" i="14"/>
  <c r="AU109" i="14" s="1"/>
  <c r="F109" i="14"/>
  <c r="E109" i="14"/>
  <c r="AX108" i="14"/>
  <c r="AW108" i="14"/>
  <c r="AV108" i="14"/>
  <c r="AU108" i="14"/>
  <c r="F108" i="14"/>
  <c r="E108" i="14"/>
  <c r="AX107" i="14"/>
  <c r="AW107" i="14"/>
  <c r="AV107" i="14"/>
  <c r="AU107" i="14"/>
  <c r="F107" i="14"/>
  <c r="E107" i="14"/>
  <c r="AX106" i="14"/>
  <c r="AW106" i="14"/>
  <c r="AV106" i="14"/>
  <c r="AU106" i="14"/>
  <c r="F106" i="14"/>
  <c r="E106" i="14"/>
  <c r="AX105" i="14"/>
  <c r="AW105" i="14"/>
  <c r="AV105" i="14"/>
  <c r="AU105" i="14"/>
  <c r="F105" i="14"/>
  <c r="E105" i="14"/>
  <c r="AO104" i="14"/>
  <c r="AL104" i="14"/>
  <c r="AI104" i="14"/>
  <c r="AX104" i="14" s="1"/>
  <c r="AG104" i="14"/>
  <c r="AF104" i="14"/>
  <c r="AC104" i="14"/>
  <c r="Z104" i="14"/>
  <c r="AW104" i="14" s="1"/>
  <c r="X104" i="14"/>
  <c r="W104" i="14"/>
  <c r="T104" i="14"/>
  <c r="Q104" i="14"/>
  <c r="AV104" i="14" s="1"/>
  <c r="N104" i="14"/>
  <c r="K104" i="14"/>
  <c r="H104" i="14"/>
  <c r="AU104" i="14" s="1"/>
  <c r="F104" i="14"/>
  <c r="E104" i="14"/>
  <c r="AX103" i="14"/>
  <c r="AW103" i="14"/>
  <c r="AV103" i="14"/>
  <c r="AU103" i="14"/>
  <c r="F103" i="14"/>
  <c r="E103" i="14"/>
  <c r="AV102" i="14"/>
  <c r="AU102" i="14"/>
  <c r="AX102" i="14"/>
  <c r="Z152" i="14"/>
  <c r="AW152" i="14" s="1"/>
  <c r="F102" i="14"/>
  <c r="E102" i="14"/>
  <c r="AX101" i="14"/>
  <c r="AW101" i="14"/>
  <c r="AV101" i="14"/>
  <c r="AU101" i="14"/>
  <c r="F101" i="14"/>
  <c r="E101" i="14"/>
  <c r="AX100" i="14"/>
  <c r="AW100" i="14"/>
  <c r="AV100" i="14"/>
  <c r="AU100" i="14"/>
  <c r="F100" i="14"/>
  <c r="E100" i="14"/>
  <c r="AO99" i="14"/>
  <c r="AM99" i="14"/>
  <c r="AL99" i="14"/>
  <c r="AJ99" i="14"/>
  <c r="AI99" i="14"/>
  <c r="AG99" i="14"/>
  <c r="AF99" i="14"/>
  <c r="AD99" i="14"/>
  <c r="AC99" i="14"/>
  <c r="AA99" i="14"/>
  <c r="Z99" i="14"/>
  <c r="AW99" i="14" s="1"/>
  <c r="X99" i="14"/>
  <c r="W99" i="14"/>
  <c r="U99" i="14"/>
  <c r="T99" i="14"/>
  <c r="R99" i="14"/>
  <c r="Q99" i="14"/>
  <c r="AV99" i="14" s="1"/>
  <c r="O99" i="14"/>
  <c r="N99" i="14"/>
  <c r="E99" i="14" s="1"/>
  <c r="L99" i="14"/>
  <c r="K99" i="14"/>
  <c r="H99" i="14"/>
  <c r="AX98" i="14"/>
  <c r="AW98" i="14"/>
  <c r="AV98" i="14"/>
  <c r="AU98" i="14"/>
  <c r="F98" i="14"/>
  <c r="E98" i="14"/>
  <c r="AX97" i="14"/>
  <c r="AW97" i="14"/>
  <c r="AV97" i="14"/>
  <c r="AU97" i="14"/>
  <c r="F97" i="14"/>
  <c r="E97" i="14"/>
  <c r="AX96" i="14"/>
  <c r="AW96" i="14"/>
  <c r="AV96" i="14"/>
  <c r="AU96" i="14"/>
  <c r="F96" i="14"/>
  <c r="E96" i="14"/>
  <c r="AX95" i="14"/>
  <c r="AW95" i="14"/>
  <c r="AV95" i="14"/>
  <c r="AU95" i="14"/>
  <c r="F95" i="14"/>
  <c r="E95" i="14"/>
  <c r="AO94" i="14"/>
  <c r="AL94" i="14"/>
  <c r="AI94" i="14"/>
  <c r="AX94" i="14" s="1"/>
  <c r="AF94" i="14"/>
  <c r="AC94" i="14"/>
  <c r="Z94" i="14"/>
  <c r="AW94" i="14" s="1"/>
  <c r="W94" i="14"/>
  <c r="T94" i="14"/>
  <c r="Q94" i="14"/>
  <c r="AV94" i="14" s="1"/>
  <c r="N94" i="14"/>
  <c r="K94" i="14"/>
  <c r="H94" i="14"/>
  <c r="AU94" i="14" s="1"/>
  <c r="F94" i="14"/>
  <c r="E94" i="14"/>
  <c r="AX93" i="14"/>
  <c r="AW93" i="14"/>
  <c r="AV93" i="14"/>
  <c r="AU93" i="14"/>
  <c r="F93" i="14"/>
  <c r="E93" i="14"/>
  <c r="AX92" i="14"/>
  <c r="AW92" i="14"/>
  <c r="AV92" i="14"/>
  <c r="AU92" i="14"/>
  <c r="AE92" i="14"/>
  <c r="Y92" i="14"/>
  <c r="P92" i="14"/>
  <c r="F92" i="14"/>
  <c r="E92" i="14"/>
  <c r="AX91" i="14"/>
  <c r="AW91" i="14"/>
  <c r="AV91" i="14"/>
  <c r="AU91" i="14"/>
  <c r="F91" i="14"/>
  <c r="E91" i="14"/>
  <c r="AX90" i="14"/>
  <c r="AW90" i="14"/>
  <c r="AV90" i="14"/>
  <c r="AU90" i="14"/>
  <c r="F90" i="14"/>
  <c r="E90" i="14"/>
  <c r="AO89" i="14"/>
  <c r="AM89" i="14"/>
  <c r="AL89" i="14"/>
  <c r="AJ89" i="14"/>
  <c r="AI89" i="14"/>
  <c r="AF89" i="14"/>
  <c r="AD89" i="14"/>
  <c r="AC89" i="14"/>
  <c r="AA89" i="14"/>
  <c r="Z89" i="14"/>
  <c r="AW89" i="14" s="1"/>
  <c r="X89" i="14"/>
  <c r="W89" i="14"/>
  <c r="U89" i="14"/>
  <c r="T89" i="14"/>
  <c r="R89" i="14"/>
  <c r="Q89" i="14"/>
  <c r="AV89" i="14" s="1"/>
  <c r="O89" i="14"/>
  <c r="N89" i="14"/>
  <c r="L89" i="14"/>
  <c r="K89" i="14"/>
  <c r="I89" i="14"/>
  <c r="H89" i="14"/>
  <c r="AU89" i="14" s="1"/>
  <c r="F89" i="14"/>
  <c r="AX88" i="14"/>
  <c r="AW88" i="14"/>
  <c r="AV88" i="14"/>
  <c r="AU88" i="14"/>
  <c r="F88" i="14"/>
  <c r="E88" i="14"/>
  <c r="AX87" i="14"/>
  <c r="AW87" i="14"/>
  <c r="AV87" i="14"/>
  <c r="AU87" i="14"/>
  <c r="F87" i="14"/>
  <c r="E87" i="14"/>
  <c r="AX86" i="14"/>
  <c r="AW86" i="14"/>
  <c r="AV86" i="14"/>
  <c r="AU86" i="14"/>
  <c r="F86" i="14"/>
  <c r="E86" i="14"/>
  <c r="AX85" i="14"/>
  <c r="AW85" i="14"/>
  <c r="AV85" i="14"/>
  <c r="AU85" i="14"/>
  <c r="F85" i="14"/>
  <c r="E85" i="14"/>
  <c r="AO84" i="14"/>
  <c r="AM84" i="14"/>
  <c r="AL84" i="14"/>
  <c r="AJ84" i="14"/>
  <c r="AI84" i="14"/>
  <c r="AX84" i="14" s="1"/>
  <c r="AF84" i="14"/>
  <c r="AD84" i="14"/>
  <c r="AC84" i="14"/>
  <c r="AA84" i="14"/>
  <c r="Z84" i="14"/>
  <c r="AW84" i="14" s="1"/>
  <c r="W84" i="14"/>
  <c r="U84" i="14"/>
  <c r="T84" i="14"/>
  <c r="R84" i="14"/>
  <c r="Q84" i="14"/>
  <c r="AV84" i="14" s="1"/>
  <c r="O84" i="14"/>
  <c r="N84" i="14"/>
  <c r="L84" i="14"/>
  <c r="K84" i="14"/>
  <c r="H84" i="14"/>
  <c r="AU84" i="14" s="1"/>
  <c r="F84" i="14"/>
  <c r="AX83" i="14"/>
  <c r="AW83" i="14"/>
  <c r="AV83" i="14"/>
  <c r="AU83" i="14"/>
  <c r="AJ82" i="14"/>
  <c r="F82" i="14"/>
  <c r="E82" i="14"/>
  <c r="AP81" i="14"/>
  <c r="AM81" i="14"/>
  <c r="AM274" i="14" s="1"/>
  <c r="AJ81" i="14"/>
  <c r="AJ274" i="14" s="1"/>
  <c r="AG81" i="14"/>
  <c r="AG274" i="14" s="1"/>
  <c r="AD81" i="14"/>
  <c r="AA81" i="14"/>
  <c r="L81" i="14"/>
  <c r="K81" i="14"/>
  <c r="AP80" i="14"/>
  <c r="AP273" i="14" s="1"/>
  <c r="AM80" i="14"/>
  <c r="AJ80" i="14"/>
  <c r="AD80" i="14"/>
  <c r="AA80" i="14"/>
  <c r="AP79" i="14"/>
  <c r="AP78" i="14"/>
  <c r="AM78" i="14"/>
  <c r="AJ78" i="14"/>
  <c r="AG78" i="14"/>
  <c r="AD78" i="14"/>
  <c r="AA78" i="14"/>
  <c r="AX76" i="14"/>
  <c r="AW76" i="14"/>
  <c r="AV76" i="14"/>
  <c r="AU76" i="14"/>
  <c r="F76" i="14"/>
  <c r="E76" i="14"/>
  <c r="AW75" i="14"/>
  <c r="AL75" i="14"/>
  <c r="W75" i="14"/>
  <c r="N75" i="14"/>
  <c r="F75" i="14"/>
  <c r="E75" i="14"/>
  <c r="AX74" i="14"/>
  <c r="AW74" i="14"/>
  <c r="AV74" i="14"/>
  <c r="AU74" i="14"/>
  <c r="F74" i="14"/>
  <c r="E74" i="14"/>
  <c r="AX73" i="14"/>
  <c r="AW73" i="14"/>
  <c r="AV73" i="14"/>
  <c r="AU73" i="14"/>
  <c r="F73" i="14"/>
  <c r="E73" i="14"/>
  <c r="AO72" i="14"/>
  <c r="AL72" i="14"/>
  <c r="AJ72" i="14"/>
  <c r="AI72" i="14"/>
  <c r="AX72" i="14" s="1"/>
  <c r="AG72" i="14"/>
  <c r="AF72" i="14"/>
  <c r="AD72" i="14"/>
  <c r="AC72" i="14"/>
  <c r="AA72" i="14"/>
  <c r="Z72" i="14"/>
  <c r="AW72" i="14" s="1"/>
  <c r="W72" i="14"/>
  <c r="U72" i="14"/>
  <c r="V72" i="14" s="1"/>
  <c r="T72" i="14"/>
  <c r="R72" i="14"/>
  <c r="Q72" i="14"/>
  <c r="AV72" i="14" s="1"/>
  <c r="N72" i="14"/>
  <c r="L72" i="14"/>
  <c r="K72" i="14"/>
  <c r="H72" i="14"/>
  <c r="E72" i="14"/>
  <c r="F71" i="14"/>
  <c r="E71" i="14"/>
  <c r="AX70" i="14"/>
  <c r="AW70" i="14"/>
  <c r="AV70" i="14"/>
  <c r="AU70" i="14"/>
  <c r="F70" i="14"/>
  <c r="E70" i="14"/>
  <c r="AX69" i="14"/>
  <c r="AV69" i="14"/>
  <c r="AU69" i="14"/>
  <c r="AK69" i="14"/>
  <c r="V69" i="14"/>
  <c r="S69" i="14"/>
  <c r="F69" i="14"/>
  <c r="E69" i="14"/>
  <c r="AX68" i="14"/>
  <c r="AW68" i="14"/>
  <c r="AU68" i="14"/>
  <c r="AK68" i="14"/>
  <c r="AE68" i="14"/>
  <c r="F68" i="14"/>
  <c r="E68" i="14"/>
  <c r="AX67" i="14"/>
  <c r="AW67" i="14"/>
  <c r="AV67" i="14"/>
  <c r="AU67" i="14"/>
  <c r="F67" i="14"/>
  <c r="E67" i="14"/>
  <c r="AO66" i="14"/>
  <c r="AQ66" i="14" s="1"/>
  <c r="AM66" i="14"/>
  <c r="AL66" i="14"/>
  <c r="AJ66" i="14"/>
  <c r="AI66" i="14"/>
  <c r="AG66" i="14"/>
  <c r="AF66" i="14"/>
  <c r="AD66" i="14"/>
  <c r="AC66" i="14"/>
  <c r="AA66" i="14"/>
  <c r="Z66" i="14"/>
  <c r="X66" i="14"/>
  <c r="W66" i="14"/>
  <c r="U66" i="14"/>
  <c r="T66" i="14"/>
  <c r="R66" i="14"/>
  <c r="F66" i="14" s="1"/>
  <c r="Q66" i="14"/>
  <c r="AV66" i="14" s="1"/>
  <c r="O66" i="14"/>
  <c r="N66" i="14"/>
  <c r="L66" i="14"/>
  <c r="K66" i="14"/>
  <c r="H66" i="14"/>
  <c r="AU66" i="14" s="1"/>
  <c r="AX65" i="14"/>
  <c r="AW65" i="14"/>
  <c r="AV65" i="14"/>
  <c r="AU65" i="14"/>
  <c r="F65" i="14"/>
  <c r="E65" i="14"/>
  <c r="AX64" i="14"/>
  <c r="AW64" i="14"/>
  <c r="AV64" i="14"/>
  <c r="AU64" i="14"/>
  <c r="F64" i="14"/>
  <c r="E64" i="14"/>
  <c r="AX63" i="14"/>
  <c r="AW63" i="14"/>
  <c r="AV63" i="14"/>
  <c r="AU63" i="14"/>
  <c r="F63" i="14"/>
  <c r="E63" i="14"/>
  <c r="AX62" i="14"/>
  <c r="AW62" i="14"/>
  <c r="AV62" i="14"/>
  <c r="AU62" i="14"/>
  <c r="F62" i="14"/>
  <c r="E62" i="14"/>
  <c r="AO61" i="14"/>
  <c r="AL61" i="14"/>
  <c r="E61" i="14" s="1"/>
  <c r="AJ61" i="14"/>
  <c r="AI61" i="14"/>
  <c r="AX61" i="14" s="1"/>
  <c r="AF61" i="14"/>
  <c r="AC61" i="14"/>
  <c r="Z61" i="14"/>
  <c r="AW61" i="14" s="1"/>
  <c r="W61" i="14"/>
  <c r="T61" i="14"/>
  <c r="Q61" i="14"/>
  <c r="AV61" i="14" s="1"/>
  <c r="N61" i="14"/>
  <c r="K61" i="14"/>
  <c r="H61" i="14"/>
  <c r="AU61" i="14" s="1"/>
  <c r="F61" i="14"/>
  <c r="AX60" i="14"/>
  <c r="AW60" i="14"/>
  <c r="AV60" i="14"/>
  <c r="AU60" i="14"/>
  <c r="F60" i="14"/>
  <c r="E60" i="14"/>
  <c r="AX59" i="14"/>
  <c r="AW59" i="14"/>
  <c r="AV59" i="14"/>
  <c r="AU59" i="14"/>
  <c r="F59" i="14"/>
  <c r="E59" i="14"/>
  <c r="AX58" i="14"/>
  <c r="AW58" i="14"/>
  <c r="AV58" i="14"/>
  <c r="AU58" i="14"/>
  <c r="F58" i="14"/>
  <c r="E58" i="14"/>
  <c r="AX57" i="14"/>
  <c r="AW57" i="14"/>
  <c r="AV57" i="14"/>
  <c r="AU57" i="14"/>
  <c r="F57" i="14"/>
  <c r="E57" i="14"/>
  <c r="AO56" i="14"/>
  <c r="AL56" i="14"/>
  <c r="AI56" i="14"/>
  <c r="AX56" i="14" s="1"/>
  <c r="AF56" i="14"/>
  <c r="AC56" i="14"/>
  <c r="Z56" i="14"/>
  <c r="AW56" i="14" s="1"/>
  <c r="W56" i="14"/>
  <c r="T56" i="14"/>
  <c r="Q56" i="14"/>
  <c r="AV56" i="14" s="1"/>
  <c r="N56" i="14"/>
  <c r="K56" i="14"/>
  <c r="H56" i="14"/>
  <c r="AU56" i="14" s="1"/>
  <c r="F56" i="14"/>
  <c r="E56" i="14"/>
  <c r="AX55" i="14"/>
  <c r="AW55" i="14"/>
  <c r="AV55" i="14"/>
  <c r="AU55" i="14"/>
  <c r="F55" i="14"/>
  <c r="E55" i="14"/>
  <c r="AX54" i="14"/>
  <c r="AW54" i="14"/>
  <c r="AV54" i="14"/>
  <c r="AU54" i="14"/>
  <c r="F54" i="14"/>
  <c r="E54" i="14"/>
  <c r="AX53" i="14"/>
  <c r="AW53" i="14"/>
  <c r="AV53" i="14"/>
  <c r="AU53" i="14"/>
  <c r="F53" i="14"/>
  <c r="E53" i="14"/>
  <c r="AX52" i="14"/>
  <c r="AW52" i="14"/>
  <c r="AV52" i="14"/>
  <c r="AU52" i="14"/>
  <c r="F52" i="14"/>
  <c r="E52" i="14"/>
  <c r="AO51" i="14"/>
  <c r="AL51" i="14"/>
  <c r="AI51" i="14"/>
  <c r="AX51" i="14" s="1"/>
  <c r="AF51" i="14"/>
  <c r="AC51" i="14"/>
  <c r="Z51" i="14"/>
  <c r="AW51" i="14" s="1"/>
  <c r="W51" i="14"/>
  <c r="T51" i="14"/>
  <c r="Q51" i="14"/>
  <c r="AV51" i="14" s="1"/>
  <c r="N51" i="14"/>
  <c r="K51" i="14"/>
  <c r="H51" i="14"/>
  <c r="AU51" i="14" s="1"/>
  <c r="F51" i="14"/>
  <c r="E51" i="14"/>
  <c r="AO50" i="14"/>
  <c r="AO280" i="14" s="1"/>
  <c r="AL50" i="14"/>
  <c r="AL280" i="14" s="1"/>
  <c r="AI50" i="14"/>
  <c r="AI280" i="14" s="1"/>
  <c r="AX280" i="14" s="1"/>
  <c r="AF50" i="14"/>
  <c r="AF280" i="14" s="1"/>
  <c r="AC50" i="14"/>
  <c r="AC280" i="14" s="1"/>
  <c r="Z50" i="14"/>
  <c r="Z280" i="14" s="1"/>
  <c r="X50" i="14"/>
  <c r="X280" i="14" s="1"/>
  <c r="W50" i="14"/>
  <c r="W280" i="14" s="1"/>
  <c r="U50" i="14"/>
  <c r="U280" i="14" s="1"/>
  <c r="T50" i="14"/>
  <c r="T280" i="14" s="1"/>
  <c r="R50" i="14"/>
  <c r="R280" i="14" s="1"/>
  <c r="Q50" i="14"/>
  <c r="Q280" i="14" s="1"/>
  <c r="AV280" i="14" s="1"/>
  <c r="O50" i="14"/>
  <c r="O280" i="14" s="1"/>
  <c r="N50" i="14"/>
  <c r="N280" i="14" s="1"/>
  <c r="I50" i="14"/>
  <c r="I280" i="14" s="1"/>
  <c r="H50" i="14"/>
  <c r="H280" i="14" s="1"/>
  <c r="F50" i="14"/>
  <c r="E50" i="14"/>
  <c r="AO49" i="14"/>
  <c r="AO279" i="14" s="1"/>
  <c r="AL49" i="14"/>
  <c r="AI49" i="14"/>
  <c r="AI279" i="14" s="1"/>
  <c r="AG49" i="14"/>
  <c r="AG279" i="14" s="1"/>
  <c r="AF49" i="14"/>
  <c r="AF279" i="14" s="1"/>
  <c r="AC49" i="14"/>
  <c r="AC279" i="14" s="1"/>
  <c r="Z49" i="14"/>
  <c r="Z279" i="14" s="1"/>
  <c r="AW279" i="14" s="1"/>
  <c r="X49" i="14"/>
  <c r="X279" i="14" s="1"/>
  <c r="W49" i="14"/>
  <c r="W279" i="14" s="1"/>
  <c r="U49" i="14"/>
  <c r="U279" i="14" s="1"/>
  <c r="T49" i="14"/>
  <c r="T279" i="14" s="1"/>
  <c r="R49" i="14"/>
  <c r="R279" i="14" s="1"/>
  <c r="Q49" i="14"/>
  <c r="Q279" i="14" s="1"/>
  <c r="AV279" i="14" s="1"/>
  <c r="O49" i="14"/>
  <c r="O279" i="14" s="1"/>
  <c r="N49" i="14"/>
  <c r="N279" i="14" s="1"/>
  <c r="L49" i="14"/>
  <c r="L279" i="14" s="1"/>
  <c r="K49" i="14"/>
  <c r="K279" i="14" s="1"/>
  <c r="I49" i="14"/>
  <c r="I279" i="14" s="1"/>
  <c r="F279" i="14" s="1"/>
  <c r="H49" i="14"/>
  <c r="H279" i="14" s="1"/>
  <c r="F49" i="14"/>
  <c r="E49" i="14"/>
  <c r="AO48" i="14"/>
  <c r="AO278" i="14" s="1"/>
  <c r="AL48" i="14"/>
  <c r="AI48" i="14"/>
  <c r="AF48" i="14"/>
  <c r="AC48" i="14"/>
  <c r="Z48" i="14"/>
  <c r="X48" i="14"/>
  <c r="W48" i="14"/>
  <c r="U48" i="14"/>
  <c r="T48" i="14"/>
  <c r="R48" i="14"/>
  <c r="Q48" i="14"/>
  <c r="O48" i="14"/>
  <c r="N48" i="14"/>
  <c r="L48" i="14"/>
  <c r="K48" i="14"/>
  <c r="I48" i="14"/>
  <c r="H48" i="14"/>
  <c r="F48" i="14"/>
  <c r="E48" i="14"/>
  <c r="AO47" i="14"/>
  <c r="AO277" i="14" s="1"/>
  <c r="AO276" i="14" s="1"/>
  <c r="AL47" i="14"/>
  <c r="AL277" i="14" s="1"/>
  <c r="AI47" i="14"/>
  <c r="AI277" i="14" s="1"/>
  <c r="AF47" i="14"/>
  <c r="AF277" i="14" s="1"/>
  <c r="AC47" i="14"/>
  <c r="AC277" i="14" s="1"/>
  <c r="Z47" i="14"/>
  <c r="Z277" i="14" s="1"/>
  <c r="X47" i="14"/>
  <c r="X277" i="14" s="1"/>
  <c r="W47" i="14"/>
  <c r="W277" i="14" s="1"/>
  <c r="U47" i="14"/>
  <c r="U277" i="14" s="1"/>
  <c r="T47" i="14"/>
  <c r="T277" i="14" s="1"/>
  <c r="R47" i="14"/>
  <c r="R277" i="14" s="1"/>
  <c r="Q47" i="14"/>
  <c r="Q277" i="14" s="1"/>
  <c r="O47" i="14"/>
  <c r="O277" i="14" s="1"/>
  <c r="N47" i="14"/>
  <c r="N277" i="14" s="1"/>
  <c r="L47" i="14"/>
  <c r="L277" i="14" s="1"/>
  <c r="K47" i="14"/>
  <c r="K277" i="14" s="1"/>
  <c r="I47" i="14"/>
  <c r="I277" i="14" s="1"/>
  <c r="H47" i="14"/>
  <c r="H277" i="14" s="1"/>
  <c r="F47" i="14"/>
  <c r="E47" i="14"/>
  <c r="AO46" i="14"/>
  <c r="AL46" i="14"/>
  <c r="AJ46" i="14"/>
  <c r="AI46" i="14"/>
  <c r="AG46" i="14"/>
  <c r="AF46" i="14"/>
  <c r="AC46" i="14"/>
  <c r="Z46" i="14"/>
  <c r="AW46" i="14" s="1"/>
  <c r="X46" i="14"/>
  <c r="W46" i="14"/>
  <c r="U46" i="14"/>
  <c r="T46" i="14"/>
  <c r="R46" i="14"/>
  <c r="Q46" i="14"/>
  <c r="AV46" i="14" s="1"/>
  <c r="O46" i="14"/>
  <c r="N46" i="14"/>
  <c r="L46" i="14"/>
  <c r="K46" i="14"/>
  <c r="I46" i="14"/>
  <c r="H46" i="14"/>
  <c r="AU46" i="14" s="1"/>
  <c r="F46" i="14"/>
  <c r="E46" i="14"/>
  <c r="F45" i="14"/>
  <c r="AX44" i="14"/>
  <c r="AW44" i="14"/>
  <c r="AV44" i="14"/>
  <c r="AU44" i="14"/>
  <c r="F44" i="14"/>
  <c r="E44" i="14"/>
  <c r="AX43" i="14"/>
  <c r="AW43" i="14"/>
  <c r="AV43" i="14"/>
  <c r="AU43" i="14"/>
  <c r="AH43" i="14"/>
  <c r="F43" i="14"/>
  <c r="G43" i="14" s="1"/>
  <c r="E43" i="14"/>
  <c r="AX41" i="14"/>
  <c r="AW41" i="14"/>
  <c r="AV41" i="14"/>
  <c r="AU41" i="14"/>
  <c r="F41" i="14"/>
  <c r="E41" i="14"/>
  <c r="AO40" i="14"/>
  <c r="AX39" i="14"/>
  <c r="AW39" i="14"/>
  <c r="AV39" i="14"/>
  <c r="AU39" i="14"/>
  <c r="F39" i="14"/>
  <c r="E39" i="14"/>
  <c r="AX38" i="14"/>
  <c r="AW38" i="14"/>
  <c r="AV38" i="14"/>
  <c r="AU38" i="14"/>
  <c r="F38" i="14"/>
  <c r="E38" i="14"/>
  <c r="AX37" i="14"/>
  <c r="AW37" i="14"/>
  <c r="AV37" i="14"/>
  <c r="AU37" i="14"/>
  <c r="F37" i="14"/>
  <c r="E37" i="14"/>
  <c r="AX36" i="14"/>
  <c r="AW36" i="14"/>
  <c r="AV36" i="14"/>
  <c r="AU36" i="14"/>
  <c r="F36" i="14"/>
  <c r="E36" i="14"/>
  <c r="AO35" i="14"/>
  <c r="AL35" i="14"/>
  <c r="AI35" i="14"/>
  <c r="AX35" i="14" s="1"/>
  <c r="AF35" i="14"/>
  <c r="AD35" i="14"/>
  <c r="AC35" i="14"/>
  <c r="AW35" i="14" s="1"/>
  <c r="Z35" i="14"/>
  <c r="W35" i="14"/>
  <c r="T35" i="14"/>
  <c r="Q35" i="14"/>
  <c r="AV35" i="14" s="1"/>
  <c r="N35" i="14"/>
  <c r="K35" i="14"/>
  <c r="E35" i="14" s="1"/>
  <c r="H35" i="14"/>
  <c r="AU35" i="14" s="1"/>
  <c r="F35" i="14"/>
  <c r="AX34" i="14"/>
  <c r="AW34" i="14"/>
  <c r="AV34" i="14"/>
  <c r="AU34" i="14"/>
  <c r="AO33" i="14"/>
  <c r="AL33" i="14"/>
  <c r="AI33" i="14"/>
  <c r="AF33" i="14"/>
  <c r="AD33" i="14"/>
  <c r="AD274" i="14" s="1"/>
  <c r="AC33" i="14"/>
  <c r="AA33" i="14"/>
  <c r="AA274" i="14" s="1"/>
  <c r="Z33" i="14"/>
  <c r="X33" i="14"/>
  <c r="W33" i="14"/>
  <c r="U33" i="14"/>
  <c r="T33" i="14"/>
  <c r="R33" i="14"/>
  <c r="Q33" i="14"/>
  <c r="O33" i="14"/>
  <c r="N33" i="14"/>
  <c r="L33" i="14"/>
  <c r="L274" i="14" s="1"/>
  <c r="K33" i="14"/>
  <c r="K274" i="14" s="1"/>
  <c r="I33" i="14"/>
  <c r="H33" i="14"/>
  <c r="F33" i="14"/>
  <c r="E33" i="14"/>
  <c r="AO32" i="14"/>
  <c r="AM32" i="14"/>
  <c r="AM273" i="14" s="1"/>
  <c r="AL32" i="14"/>
  <c r="AJ32" i="14"/>
  <c r="AJ273" i="14" s="1"/>
  <c r="AI32" i="14"/>
  <c r="AG32" i="14"/>
  <c r="AF32" i="14"/>
  <c r="AD32" i="14"/>
  <c r="AD273" i="14" s="1"/>
  <c r="AC32" i="14"/>
  <c r="AA32" i="14"/>
  <c r="AA273" i="14" s="1"/>
  <c r="Z32" i="14"/>
  <c r="AW32" i="14" s="1"/>
  <c r="X32" i="14"/>
  <c r="W32" i="14"/>
  <c r="U32" i="14"/>
  <c r="T32" i="14"/>
  <c r="R32" i="14"/>
  <c r="Q32" i="14"/>
  <c r="O32" i="14"/>
  <c r="N32" i="14"/>
  <c r="L32" i="14"/>
  <c r="K32" i="14"/>
  <c r="E32" i="14" s="1"/>
  <c r="I32" i="14"/>
  <c r="H32" i="14"/>
  <c r="F32" i="14"/>
  <c r="AO31" i="14"/>
  <c r="AQ31" i="14" s="1"/>
  <c r="AM31" i="14"/>
  <c r="AL31" i="14"/>
  <c r="AL29" i="14" s="1"/>
  <c r="AJ31" i="14"/>
  <c r="AI31" i="14"/>
  <c r="AG31" i="14"/>
  <c r="AF31" i="14"/>
  <c r="AD31" i="14"/>
  <c r="AC31" i="14"/>
  <c r="AA31" i="14"/>
  <c r="Z31" i="14"/>
  <c r="AW31" i="14" s="1"/>
  <c r="X31" i="14"/>
  <c r="W31" i="14"/>
  <c r="U31" i="14"/>
  <c r="R31" i="14"/>
  <c r="Q31" i="14"/>
  <c r="O31" i="14"/>
  <c r="N31" i="14"/>
  <c r="L31" i="14"/>
  <c r="K31" i="14"/>
  <c r="I31" i="14"/>
  <c r="H31" i="14"/>
  <c r="AO30" i="14"/>
  <c r="AM30" i="14"/>
  <c r="AM271" i="14" s="1"/>
  <c r="AL30" i="14"/>
  <c r="AJ30" i="14"/>
  <c r="AJ271" i="14" s="1"/>
  <c r="AI30" i="14"/>
  <c r="AG30" i="14"/>
  <c r="AG271" i="14" s="1"/>
  <c r="AF30" i="14"/>
  <c r="AD30" i="14"/>
  <c r="AD271" i="14" s="1"/>
  <c r="AC30" i="14"/>
  <c r="AA30" i="14"/>
  <c r="AA271" i="14" s="1"/>
  <c r="Z30" i="14"/>
  <c r="AW30" i="14" s="1"/>
  <c r="X30" i="14"/>
  <c r="X29" i="14" s="1"/>
  <c r="W30" i="14"/>
  <c r="U30" i="14"/>
  <c r="U29" i="14" s="1"/>
  <c r="T30" i="14"/>
  <c r="R30" i="14"/>
  <c r="Q30" i="14"/>
  <c r="O30" i="14"/>
  <c r="N30" i="14"/>
  <c r="L30" i="14"/>
  <c r="K30" i="14"/>
  <c r="I30" i="14"/>
  <c r="H30" i="14"/>
  <c r="AU30" i="14" s="1"/>
  <c r="F30" i="14"/>
  <c r="E30" i="14"/>
  <c r="AI29" i="14"/>
  <c r="AF29" i="14"/>
  <c r="AD29" i="14"/>
  <c r="AC29" i="14"/>
  <c r="W29" i="14"/>
  <c r="Q29" i="14"/>
  <c r="N29" i="14"/>
  <c r="K29" i="14"/>
  <c r="H29" i="14"/>
  <c r="AX28" i="14"/>
  <c r="AW28" i="14"/>
  <c r="AV28" i="14"/>
  <c r="AU28" i="14"/>
  <c r="F28" i="14"/>
  <c r="E28" i="14"/>
  <c r="AX27" i="14"/>
  <c r="AW27" i="14"/>
  <c r="AV27" i="14"/>
  <c r="AU27" i="14"/>
  <c r="F27" i="14"/>
  <c r="E27" i="14"/>
  <c r="AX26" i="14"/>
  <c r="AW26" i="14"/>
  <c r="AV26" i="14"/>
  <c r="AU26" i="14"/>
  <c r="T31" i="14"/>
  <c r="T29" i="14" s="1"/>
  <c r="F26" i="14"/>
  <c r="E26" i="14"/>
  <c r="AX25" i="14"/>
  <c r="AW25" i="14"/>
  <c r="AV25" i="14"/>
  <c r="AU25" i="14"/>
  <c r="F25" i="14"/>
  <c r="E25" i="14"/>
  <c r="AO24" i="14"/>
  <c r="AM24" i="14"/>
  <c r="AL24" i="14"/>
  <c r="AJ24" i="14"/>
  <c r="AI24" i="14"/>
  <c r="AG24" i="14"/>
  <c r="AF24" i="14"/>
  <c r="AH24" i="14" s="1"/>
  <c r="AD24" i="14"/>
  <c r="AC24" i="14"/>
  <c r="AE24" i="14" s="1"/>
  <c r="AA24" i="14"/>
  <c r="Z24" i="14"/>
  <c r="AW24" i="14" s="1"/>
  <c r="X24" i="14"/>
  <c r="W24" i="14"/>
  <c r="U24" i="14"/>
  <c r="T24" i="14"/>
  <c r="R24" i="14"/>
  <c r="Q24" i="14"/>
  <c r="O24" i="14"/>
  <c r="N24" i="14"/>
  <c r="L24" i="14"/>
  <c r="K24" i="14"/>
  <c r="H24" i="14"/>
  <c r="AX23" i="14"/>
  <c r="AW23" i="14"/>
  <c r="AV23" i="14"/>
  <c r="AU23" i="14"/>
  <c r="F23" i="14"/>
  <c r="E23" i="14"/>
  <c r="AX22" i="14"/>
  <c r="AW22" i="14"/>
  <c r="AV22" i="14"/>
  <c r="AU22" i="14"/>
  <c r="AN22" i="14"/>
  <c r="AK22" i="14"/>
  <c r="AH22" i="14"/>
  <c r="AE22" i="14"/>
  <c r="AB22" i="14"/>
  <c r="Y22" i="14"/>
  <c r="V22" i="14"/>
  <c r="S22" i="14"/>
  <c r="P22" i="14"/>
  <c r="M22" i="14"/>
  <c r="J22" i="14"/>
  <c r="F22" i="14"/>
  <c r="E22" i="14"/>
  <c r="AX21" i="14"/>
  <c r="AW21" i="14"/>
  <c r="AV21" i="14"/>
  <c r="AU21" i="14"/>
  <c r="AN21" i="14"/>
  <c r="AK21" i="14"/>
  <c r="AH21" i="14"/>
  <c r="AE21" i="14"/>
  <c r="AB21" i="14"/>
  <c r="Y21" i="14"/>
  <c r="V21" i="14"/>
  <c r="S21" i="14"/>
  <c r="P21" i="14"/>
  <c r="M21" i="14"/>
  <c r="J21" i="14"/>
  <c r="F21" i="14"/>
  <c r="E21" i="14"/>
  <c r="AX20" i="14"/>
  <c r="AW20" i="14"/>
  <c r="AV20" i="14"/>
  <c r="AU20" i="14"/>
  <c r="F20" i="14"/>
  <c r="E20" i="14"/>
  <c r="AO19" i="14"/>
  <c r="AQ19" i="14" s="1"/>
  <c r="AM19" i="14"/>
  <c r="AL19" i="14"/>
  <c r="AJ19" i="14"/>
  <c r="AI19" i="14"/>
  <c r="AT19" i="14" s="1"/>
  <c r="AG19" i="14"/>
  <c r="AF19" i="14"/>
  <c r="AD19" i="14"/>
  <c r="AC19" i="14"/>
  <c r="AA19" i="14"/>
  <c r="AB19" i="14" s="1"/>
  <c r="Z19" i="14"/>
  <c r="X19" i="14"/>
  <c r="W19" i="14"/>
  <c r="Y19" i="14" s="1"/>
  <c r="U19" i="14"/>
  <c r="T19" i="14"/>
  <c r="R19" i="14"/>
  <c r="Q19" i="14"/>
  <c r="O19" i="14"/>
  <c r="N19" i="14"/>
  <c r="L19" i="14"/>
  <c r="K19" i="14"/>
  <c r="AU19" i="14" s="1"/>
  <c r="I19" i="14"/>
  <c r="J19" i="14" s="1"/>
  <c r="H19" i="14"/>
  <c r="AX18" i="14"/>
  <c r="AW18" i="14"/>
  <c r="AV18" i="14"/>
  <c r="AU18" i="14"/>
  <c r="F18" i="14"/>
  <c r="E18" i="14"/>
  <c r="AX17" i="14"/>
  <c r="AW17" i="14"/>
  <c r="AV17" i="14"/>
  <c r="AU17" i="14"/>
  <c r="F17" i="14"/>
  <c r="E17" i="14"/>
  <c r="AX16" i="14"/>
  <c r="AW16" i="14"/>
  <c r="AV16" i="14"/>
  <c r="AU16" i="14"/>
  <c r="F16" i="14"/>
  <c r="E16" i="14"/>
  <c r="AX15" i="14"/>
  <c r="AW15" i="14"/>
  <c r="AV15" i="14"/>
  <c r="AU15" i="14"/>
  <c r="F15" i="14"/>
  <c r="E15" i="14"/>
  <c r="AO14" i="14"/>
  <c r="AL14" i="14"/>
  <c r="AI14" i="14"/>
  <c r="AX14" i="14" s="1"/>
  <c r="AF14" i="14"/>
  <c r="AD14" i="14"/>
  <c r="AC14" i="14"/>
  <c r="AW14" i="14" s="1"/>
  <c r="Z14" i="14"/>
  <c r="W14" i="14"/>
  <c r="T14" i="14"/>
  <c r="Q14" i="14"/>
  <c r="AV14" i="14" s="1"/>
  <c r="N14" i="14"/>
  <c r="K14" i="14"/>
  <c r="AU14" i="14" s="1"/>
  <c r="H14" i="14"/>
  <c r="F14" i="14"/>
  <c r="AX13" i="14"/>
  <c r="AW13" i="14"/>
  <c r="AV13" i="14"/>
  <c r="AU13" i="14"/>
  <c r="F13" i="14"/>
  <c r="E13" i="14"/>
  <c r="AX12" i="14"/>
  <c r="AW12" i="14"/>
  <c r="AV12" i="14"/>
  <c r="AU12" i="14"/>
  <c r="F12" i="14"/>
  <c r="E12" i="14"/>
  <c r="AX11" i="14"/>
  <c r="AW11" i="14"/>
  <c r="AV11" i="14"/>
  <c r="AU11" i="14"/>
  <c r="F11" i="14"/>
  <c r="E11" i="14"/>
  <c r="AX10" i="14"/>
  <c r="AW10" i="14"/>
  <c r="AV10" i="14"/>
  <c r="AU10" i="14"/>
  <c r="F10" i="14"/>
  <c r="E10" i="14"/>
  <c r="AO9" i="14"/>
  <c r="AL9" i="14"/>
  <c r="AI9" i="14"/>
  <c r="AX9" i="14" s="1"/>
  <c r="AF9" i="14"/>
  <c r="AD9" i="14"/>
  <c r="AC9" i="14"/>
  <c r="AA9" i="14"/>
  <c r="Z9" i="14"/>
  <c r="X9" i="14"/>
  <c r="W9" i="14"/>
  <c r="AV9" i="14" s="1"/>
  <c r="T9" i="14"/>
  <c r="R9" i="14"/>
  <c r="Q9" i="14"/>
  <c r="N9" i="14"/>
  <c r="K9" i="14"/>
  <c r="H9" i="14"/>
  <c r="AU9" i="14" s="1"/>
  <c r="F9" i="14"/>
  <c r="AP292" i="14" l="1"/>
  <c r="AP289" i="14" s="1"/>
  <c r="AP285" i="14"/>
  <c r="AP270" i="14"/>
  <c r="AP295" i="14"/>
  <c r="AT298" i="14"/>
  <c r="AT267" i="14"/>
  <c r="F307" i="14"/>
  <c r="AX66" i="14"/>
  <c r="AT66" i="14"/>
  <c r="AQ32" i="14"/>
  <c r="AT32" i="14"/>
  <c r="AP282" i="14"/>
  <c r="AT250" i="14"/>
  <c r="AT265" i="14"/>
  <c r="AT268" i="14"/>
  <c r="AT222" i="14"/>
  <c r="AQ222" i="14"/>
  <c r="AT223" i="14"/>
  <c r="AQ223" i="14"/>
  <c r="AT211" i="14"/>
  <c r="AQ211" i="14"/>
  <c r="AT224" i="14"/>
  <c r="AQ224" i="14"/>
  <c r="AO185" i="14"/>
  <c r="AQ185" i="14" s="1"/>
  <c r="AK175" i="14"/>
  <c r="P175" i="14"/>
  <c r="AT175" i="14"/>
  <c r="AI185" i="14"/>
  <c r="AT185" i="14" s="1"/>
  <c r="AT188" i="14"/>
  <c r="AX165" i="14"/>
  <c r="AT165" i="14"/>
  <c r="AK165" i="14"/>
  <c r="AT129" i="14"/>
  <c r="AQ129" i="14"/>
  <c r="AT124" i="14"/>
  <c r="AQ124" i="14"/>
  <c r="AT151" i="14"/>
  <c r="AQ151" i="14"/>
  <c r="AT150" i="14"/>
  <c r="AQ150" i="14"/>
  <c r="AT114" i="14"/>
  <c r="AQ114" i="14"/>
  <c r="AT89" i="14"/>
  <c r="AQ89" i="14"/>
  <c r="AQ152" i="14"/>
  <c r="AP77" i="14"/>
  <c r="AP276" i="14"/>
  <c r="AT276" i="14" s="1"/>
  <c r="AN19" i="14"/>
  <c r="AN114" i="14"/>
  <c r="AN66" i="14"/>
  <c r="AN250" i="14"/>
  <c r="AX232" i="14"/>
  <c r="AX227" i="14"/>
  <c r="AX243" i="14"/>
  <c r="AX245" i="14"/>
  <c r="AX211" i="14"/>
  <c r="AX99" i="14"/>
  <c r="AK99" i="14"/>
  <c r="AH99" i="14"/>
  <c r="AX89" i="14"/>
  <c r="AK89" i="14"/>
  <c r="AN301" i="14"/>
  <c r="AM265" i="14"/>
  <c r="F265" i="14" s="1"/>
  <c r="AN237" i="14"/>
  <c r="F211" i="14"/>
  <c r="AM221" i="14"/>
  <c r="AN221" i="14" s="1"/>
  <c r="AM185" i="14"/>
  <c r="AN187" i="14"/>
  <c r="AN175" i="14"/>
  <c r="F188" i="14"/>
  <c r="AM149" i="14"/>
  <c r="AJ265" i="14"/>
  <c r="AK246" i="14"/>
  <c r="AK224" i="14"/>
  <c r="AJ149" i="14"/>
  <c r="AK19" i="14"/>
  <c r="AJ29" i="14"/>
  <c r="F267" i="14"/>
  <c r="AW255" i="14"/>
  <c r="AB255" i="14"/>
  <c r="F232" i="14"/>
  <c r="G235" i="14"/>
  <c r="AE245" i="14"/>
  <c r="AE243" i="14"/>
  <c r="AE246" i="14"/>
  <c r="AW227" i="14"/>
  <c r="AW211" i="14"/>
  <c r="AW222" i="14"/>
  <c r="AW223" i="14"/>
  <c r="AH201" i="14"/>
  <c r="AG185" i="14"/>
  <c r="AH187" i="14"/>
  <c r="AH175" i="14"/>
  <c r="AH170" i="14"/>
  <c r="AH124" i="14"/>
  <c r="AG149" i="14"/>
  <c r="AH114" i="14"/>
  <c r="AH66" i="14"/>
  <c r="AW66" i="14"/>
  <c r="E24" i="14"/>
  <c r="Z29" i="14"/>
  <c r="AW29" i="14" s="1"/>
  <c r="AH19" i="14"/>
  <c r="AE170" i="14"/>
  <c r="AD149" i="14"/>
  <c r="AE114" i="14"/>
  <c r="G68" i="14"/>
  <c r="AB301" i="14"/>
  <c r="AB250" i="14"/>
  <c r="G229" i="14"/>
  <c r="F245" i="14"/>
  <c r="AB221" i="14"/>
  <c r="AB224" i="14"/>
  <c r="AA185" i="14"/>
  <c r="AB170" i="14"/>
  <c r="AB185" i="14"/>
  <c r="AB124" i="14"/>
  <c r="AB114" i="14"/>
  <c r="AA149" i="14"/>
  <c r="AB66" i="14"/>
  <c r="S265" i="14"/>
  <c r="S268" i="14"/>
  <c r="Y301" i="14"/>
  <c r="AH268" i="14"/>
  <c r="AE265" i="14"/>
  <c r="AE268" i="14"/>
  <c r="G258" i="14"/>
  <c r="G257" i="14"/>
  <c r="AW237" i="14"/>
  <c r="G240" i="14"/>
  <c r="AV232" i="14"/>
  <c r="E245" i="14"/>
  <c r="Y245" i="14"/>
  <c r="E227" i="14"/>
  <c r="G227" i="14" s="1"/>
  <c r="Y227" i="14"/>
  <c r="W243" i="14"/>
  <c r="Y246" i="14"/>
  <c r="AV223" i="14"/>
  <c r="AV222" i="14"/>
  <c r="S222" i="14"/>
  <c r="E144" i="14"/>
  <c r="AV185" i="14"/>
  <c r="V185" i="14"/>
  <c r="E165" i="14"/>
  <c r="V165" i="14"/>
  <c r="Y129" i="14"/>
  <c r="AV129" i="14"/>
  <c r="AX114" i="14"/>
  <c r="V150" i="14"/>
  <c r="AV114" i="14"/>
  <c r="AV150" i="14"/>
  <c r="S150" i="14"/>
  <c r="V99" i="14"/>
  <c r="AO149" i="14"/>
  <c r="V84" i="14"/>
  <c r="AE29" i="14"/>
  <c r="Y24" i="14"/>
  <c r="G26" i="14"/>
  <c r="V24" i="14"/>
  <c r="AV24" i="14"/>
  <c r="AL279" i="14"/>
  <c r="AX295" i="14"/>
  <c r="AX279" i="14"/>
  <c r="Y211" i="14"/>
  <c r="Z295" i="14"/>
  <c r="AW295" i="14" s="1"/>
  <c r="Y250" i="14"/>
  <c r="G303" i="14"/>
  <c r="AV301" i="14"/>
  <c r="Y255" i="14"/>
  <c r="X243" i="14"/>
  <c r="Y243" i="14" s="1"/>
  <c r="F243" i="14"/>
  <c r="X185" i="14"/>
  <c r="Y175" i="14"/>
  <c r="Y185" i="14"/>
  <c r="Y134" i="14"/>
  <c r="Y151" i="14"/>
  <c r="X149" i="14"/>
  <c r="Y114" i="14"/>
  <c r="Y152" i="14"/>
  <c r="Y66" i="14"/>
  <c r="V211" i="14"/>
  <c r="V221" i="14"/>
  <c r="V187" i="14"/>
  <c r="V175" i="14"/>
  <c r="AE89" i="14"/>
  <c r="AC149" i="14"/>
  <c r="G136" i="14"/>
  <c r="AV237" i="14"/>
  <c r="F151" i="14"/>
  <c r="U149" i="14"/>
  <c r="F99" i="14"/>
  <c r="G99" i="14" s="1"/>
  <c r="W149" i="14"/>
  <c r="Y89" i="14"/>
  <c r="Y268" i="14"/>
  <c r="Y265" i="14"/>
  <c r="Y267" i="14"/>
  <c r="AV250" i="14"/>
  <c r="G178" i="14"/>
  <c r="S175" i="14"/>
  <c r="S129" i="14"/>
  <c r="E124" i="14"/>
  <c r="F152" i="14"/>
  <c r="S19" i="14"/>
  <c r="G230" i="14"/>
  <c r="G212" i="14"/>
  <c r="R185" i="14"/>
  <c r="R29" i="14"/>
  <c r="G69" i="14"/>
  <c r="AN170" i="14"/>
  <c r="E170" i="14"/>
  <c r="G173" i="14"/>
  <c r="V170" i="14"/>
  <c r="AX206" i="14"/>
  <c r="P301" i="14"/>
  <c r="F250" i="14"/>
  <c r="P250" i="14"/>
  <c r="P237" i="14"/>
  <c r="F246" i="14"/>
  <c r="P191" i="14"/>
  <c r="P221" i="14"/>
  <c r="P187" i="14"/>
  <c r="P170" i="14"/>
  <c r="P124" i="14"/>
  <c r="O149" i="14"/>
  <c r="V66" i="14"/>
  <c r="AK66" i="14"/>
  <c r="O29" i="14"/>
  <c r="AN267" i="14"/>
  <c r="G304" i="14"/>
  <c r="AX24" i="14"/>
  <c r="AB24" i="14"/>
  <c r="AK24" i="14"/>
  <c r="AN268" i="14"/>
  <c r="AN265" i="14"/>
  <c r="AB268" i="14"/>
  <c r="AB265" i="14"/>
  <c r="AB267" i="14"/>
  <c r="G253" i="14"/>
  <c r="P268" i="14"/>
  <c r="AU250" i="14"/>
  <c r="G252" i="14"/>
  <c r="P265" i="14"/>
  <c r="P267" i="14"/>
  <c r="AH243" i="14"/>
  <c r="AN246" i="14"/>
  <c r="AN243" i="14"/>
  <c r="AW232" i="14"/>
  <c r="AH232" i="14"/>
  <c r="AH246" i="14"/>
  <c r="E232" i="14"/>
  <c r="G232" i="14" s="1"/>
  <c r="AU246" i="14"/>
  <c r="P246" i="14"/>
  <c r="K221" i="14"/>
  <c r="AU221" i="14" s="1"/>
  <c r="AV165" i="14"/>
  <c r="S188" i="14"/>
  <c r="P188" i="14"/>
  <c r="G168" i="14"/>
  <c r="M129" i="14"/>
  <c r="AE152" i="14"/>
  <c r="M152" i="14"/>
  <c r="AU99" i="14"/>
  <c r="E89" i="14"/>
  <c r="G89" i="14" s="1"/>
  <c r="P89" i="14"/>
  <c r="P152" i="14"/>
  <c r="G92" i="14"/>
  <c r="J152" i="14"/>
  <c r="AU72" i="14"/>
  <c r="AE66" i="14"/>
  <c r="S66" i="14"/>
  <c r="AO29" i="14"/>
  <c r="AW19" i="14"/>
  <c r="E19" i="14"/>
  <c r="V19" i="14"/>
  <c r="P19" i="14"/>
  <c r="V224" i="14"/>
  <c r="S224" i="14"/>
  <c r="P224" i="14"/>
  <c r="AU224" i="14"/>
  <c r="G214" i="14"/>
  <c r="L221" i="14"/>
  <c r="F221" i="14" s="1"/>
  <c r="L185" i="14"/>
  <c r="M124" i="14"/>
  <c r="L149" i="14"/>
  <c r="M114" i="14"/>
  <c r="F72" i="14"/>
  <c r="G72" i="14" s="1"/>
  <c r="AU32" i="14"/>
  <c r="M24" i="14"/>
  <c r="L29" i="14"/>
  <c r="G87" i="14"/>
  <c r="AH129" i="14"/>
  <c r="AF149" i="14"/>
  <c r="AH149" i="14" s="1"/>
  <c r="Y32" i="14"/>
  <c r="S32" i="14"/>
  <c r="P24" i="14"/>
  <c r="G32" i="14"/>
  <c r="M32" i="14"/>
  <c r="AU24" i="14"/>
  <c r="E134" i="14"/>
  <c r="AB134" i="14"/>
  <c r="AU134" i="14"/>
  <c r="I185" i="14"/>
  <c r="J185" i="14" s="1"/>
  <c r="G21" i="14"/>
  <c r="I29" i="14"/>
  <c r="I149" i="14"/>
  <c r="AV29" i="14"/>
  <c r="G129" i="14"/>
  <c r="P185" i="14"/>
  <c r="AE185" i="14"/>
  <c r="AH185" i="14"/>
  <c r="G194" i="14"/>
  <c r="G204" i="14"/>
  <c r="M29" i="14"/>
  <c r="G116" i="14"/>
  <c r="G165" i="14"/>
  <c r="G177" i="14"/>
  <c r="M185" i="14"/>
  <c r="M187" i="14"/>
  <c r="S187" i="14"/>
  <c r="Y187" i="14"/>
  <c r="AE187" i="14"/>
  <c r="AK187" i="14"/>
  <c r="V188" i="14"/>
  <c r="Y188" i="14"/>
  <c r="AB188" i="14"/>
  <c r="AE188" i="14"/>
  <c r="AH188" i="14"/>
  <c r="AL221" i="14"/>
  <c r="AX29" i="14"/>
  <c r="P29" i="14"/>
  <c r="V29" i="14"/>
  <c r="AX46" i="14"/>
  <c r="AF80" i="14"/>
  <c r="G75" i="14"/>
  <c r="AL80" i="14"/>
  <c r="G102" i="14"/>
  <c r="G115" i="14"/>
  <c r="G117" i="14"/>
  <c r="G127" i="14"/>
  <c r="G132" i="14"/>
  <c r="AE149" i="14"/>
  <c r="P151" i="14"/>
  <c r="AE151" i="14"/>
  <c r="AH151" i="14"/>
  <c r="AK151" i="14"/>
  <c r="AN151" i="14"/>
  <c r="AH152" i="14"/>
  <c r="G22" i="14"/>
  <c r="AU29" i="14"/>
  <c r="Y29" i="14"/>
  <c r="AK29" i="14"/>
  <c r="J31" i="14"/>
  <c r="AC80" i="14"/>
  <c r="AE80" i="14" s="1"/>
  <c r="W80" i="14"/>
  <c r="Y80" i="14" s="1"/>
  <c r="G134" i="14"/>
  <c r="V152" i="14"/>
  <c r="AO221" i="14"/>
  <c r="AK223" i="14"/>
  <c r="V223" i="14"/>
  <c r="S223" i="14"/>
  <c r="P223" i="14"/>
  <c r="AU223" i="14"/>
  <c r="G213" i="14"/>
  <c r="AK221" i="14"/>
  <c r="Y221" i="14"/>
  <c r="S211" i="14"/>
  <c r="S221" i="14"/>
  <c r="E211" i="14"/>
  <c r="G211" i="14" s="1"/>
  <c r="M211" i="14"/>
  <c r="M221" i="14"/>
  <c r="E222" i="14"/>
  <c r="G222" i="14" s="1"/>
  <c r="AN150" i="14"/>
  <c r="AK150" i="14"/>
  <c r="V114" i="14"/>
  <c r="P114" i="14"/>
  <c r="P149" i="14"/>
  <c r="E114" i="14"/>
  <c r="H149" i="14"/>
  <c r="G150" i="14"/>
  <c r="J149" i="14"/>
  <c r="J29" i="14"/>
  <c r="E9" i="14"/>
  <c r="AW9" i="14"/>
  <c r="E14" i="14"/>
  <c r="F19" i="14"/>
  <c r="AV19" i="14"/>
  <c r="AX19" i="14"/>
  <c r="F24" i="14"/>
  <c r="G24" i="14" s="1"/>
  <c r="AA29" i="14"/>
  <c r="AB29" i="14" s="1"/>
  <c r="AG29" i="14"/>
  <c r="AM29" i="14"/>
  <c r="AN29" i="14" s="1"/>
  <c r="AV30" i="14"/>
  <c r="AX30" i="14"/>
  <c r="F31" i="14"/>
  <c r="AU31" i="14"/>
  <c r="V149" i="14"/>
  <c r="AV151" i="14"/>
  <c r="V151" i="14"/>
  <c r="AX185" i="14"/>
  <c r="E185" i="14"/>
  <c r="AK185" i="14"/>
  <c r="G187" i="14"/>
  <c r="M19" i="14"/>
  <c r="AE19" i="14"/>
  <c r="S24" i="14"/>
  <c r="AN24" i="14"/>
  <c r="AA290" i="14"/>
  <c r="AA283" i="14"/>
  <c r="AD290" i="14"/>
  <c r="AD283" i="14"/>
  <c r="AG290" i="14"/>
  <c r="AG283" i="14"/>
  <c r="AJ290" i="14"/>
  <c r="AJ283" i="14"/>
  <c r="AM290" i="14"/>
  <c r="AM283" i="14"/>
  <c r="E31" i="14"/>
  <c r="M31" i="14"/>
  <c r="Z149" i="14"/>
  <c r="AW149" i="14" s="1"/>
  <c r="AW151" i="14"/>
  <c r="AN149" i="14"/>
  <c r="AB151" i="14"/>
  <c r="AB152" i="14"/>
  <c r="AN152" i="14"/>
  <c r="AN185" i="14"/>
  <c r="S31" i="14"/>
  <c r="Y31" i="14"/>
  <c r="AE31" i="14"/>
  <c r="AK31" i="14"/>
  <c r="W273" i="14"/>
  <c r="AA292" i="14"/>
  <c r="AA285" i="14"/>
  <c r="AE32" i="14"/>
  <c r="AK32" i="14"/>
  <c r="AM292" i="14"/>
  <c r="AM285" i="14"/>
  <c r="K293" i="14"/>
  <c r="K286" i="14"/>
  <c r="AU33" i="14"/>
  <c r="AW33" i="14"/>
  <c r="AU277" i="14"/>
  <c r="E277" i="14"/>
  <c r="AV277" i="14"/>
  <c r="AW277" i="14"/>
  <c r="AU47" i="14"/>
  <c r="AW47" i="14"/>
  <c r="AU48" i="14"/>
  <c r="AW48" i="14"/>
  <c r="AU279" i="14"/>
  <c r="E279" i="14"/>
  <c r="AV49" i="14"/>
  <c r="AX49" i="14"/>
  <c r="I286" i="14"/>
  <c r="F280" i="14"/>
  <c r="AV50" i="14"/>
  <c r="AX50" i="14"/>
  <c r="E66" i="14"/>
  <c r="G66" i="14" s="1"/>
  <c r="AE69" i="14"/>
  <c r="AW69" i="14"/>
  <c r="AU75" i="14"/>
  <c r="I78" i="14"/>
  <c r="L78" i="14"/>
  <c r="L271" i="14" s="1"/>
  <c r="O78" i="14"/>
  <c r="O271" i="14" s="1"/>
  <c r="R78" i="14"/>
  <c r="R271" i="14" s="1"/>
  <c r="U78" i="14"/>
  <c r="U271" i="14" s="1"/>
  <c r="X78" i="14"/>
  <c r="X271" i="14" s="1"/>
  <c r="T80" i="14"/>
  <c r="X80" i="14"/>
  <c r="AG80" i="14"/>
  <c r="AI80" i="14"/>
  <c r="H81" i="14"/>
  <c r="N81" i="14"/>
  <c r="N274" i="14" s="1"/>
  <c r="Q81" i="14"/>
  <c r="T81" i="14"/>
  <c r="T274" i="14" s="1"/>
  <c r="W81" i="14"/>
  <c r="W274" i="14" s="1"/>
  <c r="Z81" i="14"/>
  <c r="Z274" i="14" s="1"/>
  <c r="AC81" i="14"/>
  <c r="AC274" i="14" s="1"/>
  <c r="AF81" i="14"/>
  <c r="AF274" i="14" s="1"/>
  <c r="AI81" i="14"/>
  <c r="AL81" i="14"/>
  <c r="AL274" i="14" s="1"/>
  <c r="AO81" i="14"/>
  <c r="E84" i="14"/>
  <c r="G84" i="14" s="1"/>
  <c r="AW102" i="14"/>
  <c r="S114" i="14"/>
  <c r="AK114" i="14"/>
  <c r="S124" i="14"/>
  <c r="AK124" i="14"/>
  <c r="J129" i="14"/>
  <c r="AK129" i="14"/>
  <c r="AU129" i="14"/>
  <c r="S134" i="14"/>
  <c r="K151" i="14"/>
  <c r="M151" i="14" s="1"/>
  <c r="S151" i="14"/>
  <c r="Q152" i="14"/>
  <c r="S152" i="14" s="1"/>
  <c r="AI152" i="14"/>
  <c r="AT152" i="14" s="1"/>
  <c r="AX158" i="14"/>
  <c r="S170" i="14"/>
  <c r="AK170" i="14"/>
  <c r="J175" i="14"/>
  <c r="AB175" i="14"/>
  <c r="S185" i="14"/>
  <c r="J187" i="14"/>
  <c r="AB187" i="14"/>
  <c r="AU187" i="14"/>
  <c r="AN188" i="14"/>
  <c r="AV243" i="14"/>
  <c r="AF265" i="14"/>
  <c r="E267" i="14"/>
  <c r="G267" i="14" s="1"/>
  <c r="AX267" i="14"/>
  <c r="P31" i="14"/>
  <c r="V31" i="14"/>
  <c r="AB31" i="14"/>
  <c r="AH31" i="14"/>
  <c r="AN31" i="14"/>
  <c r="AV31" i="14"/>
  <c r="AX31" i="14"/>
  <c r="J32" i="14"/>
  <c r="P32" i="14"/>
  <c r="T273" i="14"/>
  <c r="V32" i="14"/>
  <c r="X273" i="14"/>
  <c r="AB32" i="14"/>
  <c r="AD292" i="14"/>
  <c r="AD285" i="14"/>
  <c r="AF273" i="14"/>
  <c r="AH32" i="14"/>
  <c r="AJ292" i="14"/>
  <c r="AJ285" i="14"/>
  <c r="AL273" i="14"/>
  <c r="AN32" i="14"/>
  <c r="AV32" i="14"/>
  <c r="AX32" i="14"/>
  <c r="L293" i="14"/>
  <c r="L286" i="14"/>
  <c r="AA293" i="14"/>
  <c r="AA286" i="14"/>
  <c r="AD293" i="14"/>
  <c r="AD286" i="14"/>
  <c r="AI274" i="14"/>
  <c r="AO274" i="14"/>
  <c r="AV33" i="14"/>
  <c r="AX33" i="14"/>
  <c r="I283" i="14"/>
  <c r="F277" i="14"/>
  <c r="AX277" i="14"/>
  <c r="AV47" i="14"/>
  <c r="AX47" i="14"/>
  <c r="AV48" i="14"/>
  <c r="AX48" i="14"/>
  <c r="G279" i="14"/>
  <c r="AU49" i="14"/>
  <c r="AW49" i="14"/>
  <c r="AU280" i="14"/>
  <c r="E280" i="14"/>
  <c r="AW280" i="14"/>
  <c r="AU50" i="14"/>
  <c r="AW50" i="14"/>
  <c r="AV68" i="14"/>
  <c r="AV75" i="14"/>
  <c r="AX75" i="14"/>
  <c r="H78" i="14"/>
  <c r="K78" i="14"/>
  <c r="K271" i="14" s="1"/>
  <c r="M271" i="14" s="1"/>
  <c r="M290" i="14" s="1"/>
  <c r="N78" i="14"/>
  <c r="N271" i="14" s="1"/>
  <c r="Q78" i="14"/>
  <c r="T78" i="14"/>
  <c r="T271" i="14" s="1"/>
  <c r="W78" i="14"/>
  <c r="W271" i="14" s="1"/>
  <c r="Z78" i="14"/>
  <c r="AC78" i="14"/>
  <c r="AC271" i="14" s="1"/>
  <c r="AE271" i="14" s="1"/>
  <c r="AF78" i="14"/>
  <c r="AF271" i="14" s="1"/>
  <c r="AI78" i="14"/>
  <c r="AL78" i="14"/>
  <c r="AL271" i="14" s="1"/>
  <c r="AO78" i="14"/>
  <c r="AO271" i="14" s="1"/>
  <c r="AT271" i="14" s="1"/>
  <c r="AO79" i="14"/>
  <c r="U80" i="14"/>
  <c r="V80" i="14" s="1"/>
  <c r="Z80" i="14"/>
  <c r="AO80" i="14"/>
  <c r="AQ80" i="14" s="1"/>
  <c r="I81" i="14"/>
  <c r="O81" i="14"/>
  <c r="O274" i="14" s="1"/>
  <c r="R81" i="14"/>
  <c r="R274" i="14" s="1"/>
  <c r="U81" i="14"/>
  <c r="U274" i="14" s="1"/>
  <c r="X81" i="14"/>
  <c r="X274" i="14" s="1"/>
  <c r="AG293" i="14"/>
  <c r="AG286" i="14"/>
  <c r="AJ293" i="14"/>
  <c r="AJ286" i="14"/>
  <c r="AM293" i="14"/>
  <c r="AM286" i="14"/>
  <c r="AJ294" i="14"/>
  <c r="F294" i="14" s="1"/>
  <c r="F287" i="14"/>
  <c r="F114" i="14"/>
  <c r="F124" i="14"/>
  <c r="G124" i="14" s="1"/>
  <c r="AB136" i="14"/>
  <c r="AW136" i="14"/>
  <c r="E139" i="14"/>
  <c r="E155" i="14"/>
  <c r="AX188" i="14"/>
  <c r="E188" i="14"/>
  <c r="G188" i="14" s="1"/>
  <c r="E160" i="14"/>
  <c r="G160" i="14" s="1"/>
  <c r="F170" i="14"/>
  <c r="G170" i="14" s="1"/>
  <c r="E175" i="14"/>
  <c r="G175" i="14" s="1"/>
  <c r="F185" i="14"/>
  <c r="G185" i="14" s="1"/>
  <c r="AX187" i="14"/>
  <c r="AK188" i="14"/>
  <c r="AV246" i="14"/>
  <c r="AW265" i="14"/>
  <c r="AH265" i="14"/>
  <c r="AW267" i="14"/>
  <c r="AU206" i="14"/>
  <c r="AK211" i="14"/>
  <c r="AU211" i="14"/>
  <c r="AU222" i="14"/>
  <c r="E223" i="14"/>
  <c r="G223" i="14" s="1"/>
  <c r="AX224" i="14"/>
  <c r="AK227" i="14"/>
  <c r="AU232" i="14"/>
  <c r="AK243" i="14"/>
  <c r="AU243" i="14"/>
  <c r="Z246" i="14"/>
  <c r="AX246" i="14"/>
  <c r="E250" i="14"/>
  <c r="G250" i="14" s="1"/>
  <c r="AW257" i="14"/>
  <c r="AO268" i="14"/>
  <c r="F275" i="14"/>
  <c r="F191" i="14"/>
  <c r="G191" i="14" s="1"/>
  <c r="F201" i="14"/>
  <c r="G201" i="14" s="1"/>
  <c r="AK222" i="14"/>
  <c r="E224" i="14"/>
  <c r="G224" i="14" s="1"/>
  <c r="F237" i="14"/>
  <c r="G237" i="14" s="1"/>
  <c r="AX257" i="14"/>
  <c r="E295" i="14"/>
  <c r="E298" i="14"/>
  <c r="G298" i="14" s="1"/>
  <c r="E301" i="14"/>
  <c r="G301" i="14" s="1"/>
  <c r="AT295" i="14" l="1"/>
  <c r="F295" i="14"/>
  <c r="G295" i="14" s="1"/>
  <c r="AK80" i="14"/>
  <c r="AT80" i="14"/>
  <c r="AQ29" i="14"/>
  <c r="AT29" i="14"/>
  <c r="G245" i="14"/>
  <c r="AT221" i="14"/>
  <c r="AQ221" i="14"/>
  <c r="AQ149" i="14"/>
  <c r="AN80" i="14"/>
  <c r="E29" i="14"/>
  <c r="G19" i="14"/>
  <c r="AX221" i="14"/>
  <c r="AC273" i="14"/>
  <c r="AE273" i="14" s="1"/>
  <c r="AH29" i="14"/>
  <c r="F149" i="14"/>
  <c r="AB149" i="14"/>
  <c r="G114" i="14"/>
  <c r="Y149" i="14"/>
  <c r="S29" i="14"/>
  <c r="E221" i="14"/>
  <c r="G221" i="14" s="1"/>
  <c r="U293" i="14"/>
  <c r="U286" i="14"/>
  <c r="O293" i="14"/>
  <c r="O286" i="14"/>
  <c r="F274" i="14"/>
  <c r="AO290" i="14"/>
  <c r="AT290" i="14" s="1"/>
  <c r="AO283" i="14"/>
  <c r="AC290" i="14"/>
  <c r="AE290" i="14" s="1"/>
  <c r="AC283" i="14"/>
  <c r="AE283" i="14" s="1"/>
  <c r="W290" i="14"/>
  <c r="W283" i="14"/>
  <c r="Y283" i="14" s="1"/>
  <c r="K290" i="14"/>
  <c r="K283" i="14"/>
  <c r="AC293" i="14"/>
  <c r="AC286" i="14"/>
  <c r="W293" i="14"/>
  <c r="W286" i="14"/>
  <c r="X290" i="14"/>
  <c r="X283" i="14"/>
  <c r="R290" i="14"/>
  <c r="R283" i="14"/>
  <c r="L290" i="14"/>
  <c r="L283" i="14"/>
  <c r="F271" i="14"/>
  <c r="X293" i="14"/>
  <c r="X286" i="14"/>
  <c r="R293" i="14"/>
  <c r="F293" i="14" s="1"/>
  <c r="R286" i="14"/>
  <c r="AL290" i="14"/>
  <c r="AL283" i="14"/>
  <c r="AN283" i="14" s="1"/>
  <c r="AF290" i="14"/>
  <c r="AF283" i="14"/>
  <c r="T290" i="14"/>
  <c r="T283" i="14"/>
  <c r="N290" i="14"/>
  <c r="N283" i="14"/>
  <c r="AL293" i="14"/>
  <c r="AL286" i="14"/>
  <c r="AF293" i="14"/>
  <c r="AF286" i="14"/>
  <c r="Z293" i="14"/>
  <c r="AW293" i="14" s="1"/>
  <c r="Z286" i="14"/>
  <c r="AW274" i="14"/>
  <c r="T293" i="14"/>
  <c r="T286" i="14"/>
  <c r="N293" i="14"/>
  <c r="N286" i="14"/>
  <c r="U290" i="14"/>
  <c r="U283" i="14"/>
  <c r="V283" i="14" s="1"/>
  <c r="O290" i="14"/>
  <c r="O283" i="14"/>
  <c r="E268" i="14"/>
  <c r="G268" i="14" s="1"/>
  <c r="AW246" i="14"/>
  <c r="Z243" i="14"/>
  <c r="AO265" i="14"/>
  <c r="F81" i="14"/>
  <c r="AB80" i="14"/>
  <c r="AW80" i="14"/>
  <c r="AO77" i="14"/>
  <c r="AQ77" i="14" s="1"/>
  <c r="AW78" i="14"/>
  <c r="AU78" i="14"/>
  <c r="E78" i="14"/>
  <c r="F283" i="14"/>
  <c r="AI293" i="14"/>
  <c r="AI286" i="14"/>
  <c r="AX274" i="14"/>
  <c r="AF292" i="14"/>
  <c r="AF285" i="14"/>
  <c r="X292" i="14"/>
  <c r="X285" i="14"/>
  <c r="Y273" i="14"/>
  <c r="T292" i="14"/>
  <c r="T285" i="14"/>
  <c r="E265" i="14"/>
  <c r="G265" i="14" s="1"/>
  <c r="AX152" i="14"/>
  <c r="AK152" i="14"/>
  <c r="AI149" i="14"/>
  <c r="AT149" i="14" s="1"/>
  <c r="AX81" i="14"/>
  <c r="AV81" i="14"/>
  <c r="AU81" i="14"/>
  <c r="E81" i="14"/>
  <c r="AH80" i="14"/>
  <c r="AO273" i="14"/>
  <c r="AG273" i="14"/>
  <c r="AC292" i="14"/>
  <c r="AE292" i="14" s="1"/>
  <c r="AC285" i="14"/>
  <c r="AE285" i="14" s="1"/>
  <c r="W292" i="14"/>
  <c r="W285" i="14"/>
  <c r="AO272" i="14"/>
  <c r="G31" i="14"/>
  <c r="Z271" i="14"/>
  <c r="H271" i="14"/>
  <c r="E246" i="14"/>
  <c r="G246" i="14" s="1"/>
  <c r="AX268" i="14"/>
  <c r="AX78" i="14"/>
  <c r="AV78" i="14"/>
  <c r="AO293" i="14"/>
  <c r="AO286" i="14"/>
  <c r="AL292" i="14"/>
  <c r="AL285" i="14"/>
  <c r="Z273" i="14"/>
  <c r="AV152" i="14"/>
  <c r="E152" i="14"/>
  <c r="G152" i="14" s="1"/>
  <c r="Q149" i="14"/>
  <c r="E151" i="14"/>
  <c r="G151" i="14" s="1"/>
  <c r="K149" i="14"/>
  <c r="AW81" i="14"/>
  <c r="AX80" i="14"/>
  <c r="F78" i="14"/>
  <c r="Q274" i="14"/>
  <c r="H274" i="14"/>
  <c r="AN273" i="14"/>
  <c r="AN292" i="14" s="1"/>
  <c r="AI273" i="14"/>
  <c r="U273" i="14"/>
  <c r="AU151" i="14"/>
  <c r="AI271" i="14"/>
  <c r="Q271" i="14"/>
  <c r="F29" i="14"/>
  <c r="G29" i="14" s="1"/>
  <c r="AQ272" i="14" l="1"/>
  <c r="AQ291" i="14" s="1"/>
  <c r="AT283" i="14"/>
  <c r="AQ283" i="14"/>
  <c r="AQ273" i="14"/>
  <c r="AQ292" i="14" s="1"/>
  <c r="AN285" i="14"/>
  <c r="F286" i="14"/>
  <c r="Y292" i="14"/>
  <c r="AW286" i="14"/>
  <c r="Q290" i="14"/>
  <c r="AV271" i="14"/>
  <c r="Q283" i="14"/>
  <c r="AI290" i="14"/>
  <c r="AX271" i="14"/>
  <c r="AI283" i="14"/>
  <c r="U292" i="14"/>
  <c r="U285" i="14"/>
  <c r="V285" i="14" s="1"/>
  <c r="V273" i="14"/>
  <c r="Q293" i="14"/>
  <c r="AV293" i="14" s="1"/>
  <c r="Q286" i="14"/>
  <c r="AV286" i="14" s="1"/>
  <c r="AV274" i="14"/>
  <c r="M149" i="14"/>
  <c r="E149" i="14"/>
  <c r="G149" i="14" s="1"/>
  <c r="AU149" i="14"/>
  <c r="AV149" i="14"/>
  <c r="S149" i="14"/>
  <c r="Z292" i="14"/>
  <c r="AW292" i="14" s="1"/>
  <c r="Z285" i="14"/>
  <c r="AW273" i="14"/>
  <c r="AB273" i="14"/>
  <c r="AB292" i="14" s="1"/>
  <c r="H290" i="14"/>
  <c r="H283" i="14"/>
  <c r="AU271" i="14"/>
  <c r="E271" i="14"/>
  <c r="G271" i="14" s="1"/>
  <c r="AG292" i="14"/>
  <c r="AG285" i="14"/>
  <c r="AH273" i="14"/>
  <c r="AO292" i="14"/>
  <c r="AO285" i="14"/>
  <c r="AX293" i="14"/>
  <c r="AX265" i="14"/>
  <c r="AI292" i="14"/>
  <c r="AX292" i="14" s="1"/>
  <c r="AI285" i="14"/>
  <c r="AX273" i="14"/>
  <c r="AK273" i="14"/>
  <c r="AK292" i="14" s="1"/>
  <c r="H293" i="14"/>
  <c r="H286" i="14"/>
  <c r="AU274" i="14"/>
  <c r="E274" i="14"/>
  <c r="Z290" i="14"/>
  <c r="Z283" i="14"/>
  <c r="AW271" i="14"/>
  <c r="AO291" i="14"/>
  <c r="AO284" i="14"/>
  <c r="AX149" i="14"/>
  <c r="AK149" i="14"/>
  <c r="Y285" i="14"/>
  <c r="AX286" i="14"/>
  <c r="AW243" i="14"/>
  <c r="E243" i="14"/>
  <c r="G243" i="14" s="1"/>
  <c r="F290" i="14"/>
  <c r="AO270" i="14"/>
  <c r="AO289" i="14" l="1"/>
  <c r="AQ271" i="14"/>
  <c r="AQ290" i="14" s="1"/>
  <c r="AQ284" i="14"/>
  <c r="AQ289" i="14"/>
  <c r="AQ285" i="14"/>
  <c r="AQ270" i="14"/>
  <c r="AH292" i="14"/>
  <c r="S283" i="14"/>
  <c r="V292" i="14"/>
  <c r="AW290" i="14"/>
  <c r="AU286" i="14"/>
  <c r="E286" i="14"/>
  <c r="AX285" i="14"/>
  <c r="AK285" i="14"/>
  <c r="AO282" i="14"/>
  <c r="AH285" i="14"/>
  <c r="AU290" i="14"/>
  <c r="E290" i="14"/>
  <c r="G290" i="14" s="1"/>
  <c r="AW285" i="14"/>
  <c r="AB285" i="14"/>
  <c r="AX283" i="14"/>
  <c r="AK283" i="14"/>
  <c r="AX290" i="14"/>
  <c r="AV283" i="14"/>
  <c r="AV290" i="14"/>
  <c r="AW283" i="14"/>
  <c r="AU293" i="14"/>
  <c r="E293" i="14"/>
  <c r="E283" i="14"/>
  <c r="G283" i="14" s="1"/>
  <c r="AU283" i="14"/>
  <c r="AQ282" i="14" l="1"/>
  <c r="AU255" i="14" l="1"/>
  <c r="E255" i="14"/>
  <c r="F255" i="14"/>
  <c r="G255" i="14" l="1"/>
  <c r="S80" i="14"/>
  <c r="AV80" i="14"/>
  <c r="O273" i="14"/>
  <c r="Q273" i="14"/>
  <c r="R273" i="14"/>
  <c r="O285" i="14"/>
  <c r="R285" i="14"/>
  <c r="O292" i="14"/>
  <c r="R292" i="14"/>
  <c r="Q292" i="14" l="1"/>
  <c r="Q285" i="14"/>
  <c r="S285" i="14" s="1"/>
  <c r="AV273" i="14"/>
  <c r="S273" i="14"/>
  <c r="AV285" i="14" l="1"/>
  <c r="AV292" i="14"/>
  <c r="S292" i="14"/>
  <c r="E80" i="14" l="1"/>
  <c r="F80" i="14"/>
  <c r="AU80" i="14"/>
  <c r="H273" i="14"/>
  <c r="I273" i="14"/>
  <c r="J273" i="14"/>
  <c r="K273" i="14"/>
  <c r="L273" i="14"/>
  <c r="M273" i="14"/>
  <c r="N273" i="14"/>
  <c r="AT273" i="14" s="1"/>
  <c r="H285" i="14"/>
  <c r="I285" i="14"/>
  <c r="K285" i="14"/>
  <c r="L285" i="14"/>
  <c r="M285" i="14"/>
  <c r="H292" i="14"/>
  <c r="I292" i="14"/>
  <c r="J292" i="14"/>
  <c r="K292" i="14"/>
  <c r="L292" i="14"/>
  <c r="M292" i="14"/>
  <c r="G80" i="14" l="1"/>
  <c r="N285" i="14"/>
  <c r="AT285" i="14" s="1"/>
  <c r="N292" i="14"/>
  <c r="AT292" i="14" s="1"/>
  <c r="AU273" i="14"/>
  <c r="P273" i="14"/>
  <c r="P292" i="14" s="1"/>
  <c r="E273" i="14"/>
  <c r="F292" i="14"/>
  <c r="J285" i="14"/>
  <c r="F285" i="14"/>
  <c r="F273" i="14"/>
  <c r="E292" i="14" l="1"/>
  <c r="E285" i="14"/>
  <c r="G285" i="14" s="1"/>
  <c r="AU292" i="14"/>
  <c r="P285" i="14"/>
  <c r="AU285" i="14"/>
  <c r="G273" i="14"/>
  <c r="G292" i="14"/>
  <c r="AM278" i="14"/>
  <c r="AM276" i="14" s="1"/>
  <c r="AM79" i="14"/>
  <c r="AM77" i="14" s="1"/>
  <c r="AM272" i="14"/>
  <c r="AM270" i="14" s="1"/>
  <c r="AM291" i="14" l="1"/>
  <c r="AM289" i="14" s="1"/>
  <c r="AM284" i="14"/>
  <c r="AM282" i="14" l="1"/>
  <c r="K40" i="14"/>
  <c r="AV42" i="14"/>
  <c r="AC40" i="14"/>
  <c r="AC278" i="14"/>
  <c r="AC276" i="14" s="1"/>
  <c r="E42" i="14"/>
  <c r="AU42" i="14"/>
  <c r="N40" i="14"/>
  <c r="T40" i="14"/>
  <c r="X40" i="14"/>
  <c r="AW42" i="14"/>
  <c r="Z40" i="14"/>
  <c r="AW40" i="14" s="1"/>
  <c r="AF40" i="14"/>
  <c r="AX42" i="14"/>
  <c r="AL40" i="14"/>
  <c r="AL278" i="14"/>
  <c r="AL276" i="14" s="1"/>
  <c r="AG40" i="14"/>
  <c r="AH40" i="14"/>
  <c r="AI276" i="14"/>
  <c r="AI278" i="14"/>
  <c r="AX278" i="14"/>
  <c r="H278" i="14"/>
  <c r="AU278" i="14" s="1"/>
  <c r="K278" i="14"/>
  <c r="K276" i="14"/>
  <c r="O278" i="14"/>
  <c r="O276" i="14"/>
  <c r="Q40" i="14"/>
  <c r="AV40" i="14" s="1"/>
  <c r="U278" i="14"/>
  <c r="U276" i="14" s="1"/>
  <c r="W40" i="14"/>
  <c r="W278" i="14"/>
  <c r="W276" i="14" s="1"/>
  <c r="AG278" i="14"/>
  <c r="AG276" i="14"/>
  <c r="L278" i="14"/>
  <c r="L276" i="14" s="1"/>
  <c r="N278" i="14"/>
  <c r="N276" i="14" s="1"/>
  <c r="R40" i="14"/>
  <c r="R278" i="14"/>
  <c r="R276" i="14" s="1"/>
  <c r="T278" i="14"/>
  <c r="T276" i="14" s="1"/>
  <c r="X278" i="14"/>
  <c r="X276" i="14" s="1"/>
  <c r="AD40" i="14"/>
  <c r="AD278" i="14"/>
  <c r="AD276" i="14" s="1"/>
  <c r="AF278" i="14"/>
  <c r="AF276" i="14" s="1"/>
  <c r="AJ40" i="14"/>
  <c r="AJ278" i="14"/>
  <c r="AJ276" i="14" s="1"/>
  <c r="AI40" i="14"/>
  <c r="AX40" i="14" s="1"/>
  <c r="AA278" i="14"/>
  <c r="AA276" i="14" s="1"/>
  <c r="AF79" i="14"/>
  <c r="AF77" i="14" s="1"/>
  <c r="AF272" i="14"/>
  <c r="AF284" i="14" s="1"/>
  <c r="AF282" i="14" s="1"/>
  <c r="Z276" i="14"/>
  <c r="AW276" i="14" s="1"/>
  <c r="Z278" i="14"/>
  <c r="AW278" i="14"/>
  <c r="O40" i="14"/>
  <c r="F40" i="14"/>
  <c r="G40" i="14" s="1"/>
  <c r="E40" i="14"/>
  <c r="H40" i="14"/>
  <c r="AU40" i="14"/>
  <c r="Q278" i="14"/>
  <c r="AV278" i="14" s="1"/>
  <c r="K79" i="14"/>
  <c r="K77" i="14" s="1"/>
  <c r="T79" i="14"/>
  <c r="T77" i="14" s="1"/>
  <c r="T272" i="14"/>
  <c r="T270" i="14" s="1"/>
  <c r="N79" i="14"/>
  <c r="N77" i="14" s="1"/>
  <c r="N272" i="14"/>
  <c r="N270" i="14" s="1"/>
  <c r="W79" i="14"/>
  <c r="W77" i="14" s="1"/>
  <c r="W272" i="14"/>
  <c r="H79" i="14"/>
  <c r="AD79" i="14"/>
  <c r="AC79" i="14"/>
  <c r="AC77" i="14" s="1"/>
  <c r="AC272" i="14"/>
  <c r="X79" i="14"/>
  <c r="X77" i="14" s="1"/>
  <c r="Y77" i="14" s="1"/>
  <c r="AG79" i="14"/>
  <c r="AG77" i="14" s="1"/>
  <c r="AH77" i="14" s="1"/>
  <c r="AG272" i="14"/>
  <c r="AI79" i="14"/>
  <c r="U79" i="14"/>
  <c r="U272" i="14"/>
  <c r="AJ79" i="14"/>
  <c r="AJ272" i="14"/>
  <c r="O79" i="14"/>
  <c r="O77" i="14" s="1"/>
  <c r="I278" i="14"/>
  <c r="F278" i="14" s="1"/>
  <c r="Q79" i="14"/>
  <c r="L79" i="14"/>
  <c r="L77" i="14" s="1"/>
  <c r="L272" i="14"/>
  <c r="AA79" i="14"/>
  <c r="AA77" i="14" s="1"/>
  <c r="R79" i="14"/>
  <c r="R77" i="14" s="1"/>
  <c r="R272" i="14"/>
  <c r="R270" i="14" s="1"/>
  <c r="Z79" i="14"/>
  <c r="Z272" i="14"/>
  <c r="AL79" i="14"/>
  <c r="AL77" i="14" s="1"/>
  <c r="AN77" i="14" s="1"/>
  <c r="F42" i="14"/>
  <c r="I79" i="14"/>
  <c r="F79" i="14" s="1"/>
  <c r="I272" i="14"/>
  <c r="I270" i="14" s="1"/>
  <c r="AW272" i="14" l="1"/>
  <c r="W270" i="14"/>
  <c r="S77" i="14"/>
  <c r="L270" i="14"/>
  <c r="L291" i="14"/>
  <c r="L289" i="14" s="1"/>
  <c r="Q77" i="14"/>
  <c r="AV77" i="14" s="1"/>
  <c r="AV79" i="14"/>
  <c r="AJ291" i="14"/>
  <c r="AJ289" i="14" s="1"/>
  <c r="AJ270" i="14"/>
  <c r="U270" i="14"/>
  <c r="U284" i="14"/>
  <c r="V272" i="14"/>
  <c r="AI77" i="14"/>
  <c r="AX79" i="14"/>
  <c r="AG270" i="14"/>
  <c r="AG284" i="14"/>
  <c r="AC270" i="14"/>
  <c r="AC291" i="14"/>
  <c r="AC289" i="14" s="1"/>
  <c r="AE79" i="14"/>
  <c r="AD77" i="14"/>
  <c r="AE77" i="14" s="1"/>
  <c r="AU79" i="14"/>
  <c r="E79" i="14"/>
  <c r="G79" i="14" s="1"/>
  <c r="H77" i="14"/>
  <c r="Z291" i="14"/>
  <c r="AH272" i="14"/>
  <c r="I284" i="14"/>
  <c r="I77" i="14"/>
  <c r="I291" i="14"/>
  <c r="AL272" i="14"/>
  <c r="Z284" i="14"/>
  <c r="Z77" i="14"/>
  <c r="AW77" i="14" s="1"/>
  <c r="AW79" i="14"/>
  <c r="R291" i="14"/>
  <c r="R289" i="14" s="1"/>
  <c r="AA272" i="14"/>
  <c r="L284" i="14"/>
  <c r="Q272" i="14"/>
  <c r="I276" i="14"/>
  <c r="O272" i="14"/>
  <c r="AJ284" i="14"/>
  <c r="AJ77" i="14"/>
  <c r="AK77" i="14" s="1"/>
  <c r="AK79" i="14"/>
  <c r="U291" i="14"/>
  <c r="U289" i="14" s="1"/>
  <c r="V79" i="14"/>
  <c r="U77" i="14"/>
  <c r="V77" i="14" s="1"/>
  <c r="Z270" i="14"/>
  <c r="AI272" i="14"/>
  <c r="AG291" i="14"/>
  <c r="AG289" i="14" s="1"/>
  <c r="X272" i="14"/>
  <c r="AC284" i="14"/>
  <c r="AC282" i="14" s="1"/>
  <c r="AD272" i="14"/>
  <c r="H272" i="14"/>
  <c r="R284" i="14"/>
  <c r="N284" i="14"/>
  <c r="N282" i="14" s="1"/>
  <c r="W291" i="14"/>
  <c r="W284" i="14"/>
  <c r="N291" i="14"/>
  <c r="N289" i="14" s="1"/>
  <c r="T284" i="14"/>
  <c r="T282" i="14" s="1"/>
  <c r="T291" i="14"/>
  <c r="T289" i="14" s="1"/>
  <c r="K272" i="14"/>
  <c r="Q276" i="14"/>
  <c r="AV276" i="14" s="1"/>
  <c r="AX276" i="14"/>
  <c r="AF291" i="14"/>
  <c r="AF289" i="14" s="1"/>
  <c r="AF270" i="14"/>
  <c r="E278" i="14"/>
  <c r="H276" i="14"/>
  <c r="AT272" i="14" l="1"/>
  <c r="AX77" i="14"/>
  <c r="AT77" i="14"/>
  <c r="V289" i="14"/>
  <c r="W282" i="14"/>
  <c r="W289" i="14"/>
  <c r="E276" i="14"/>
  <c r="AU276" i="14"/>
  <c r="K284" i="14"/>
  <c r="K282" i="14" s="1"/>
  <c r="K270" i="14"/>
  <c r="K291" i="14"/>
  <c r="K289" i="14" s="1"/>
  <c r="R282" i="14"/>
  <c r="AE272" i="14"/>
  <c r="AD291" i="14"/>
  <c r="AD270" i="14"/>
  <c r="AE270" i="14" s="1"/>
  <c r="AD284" i="14"/>
  <c r="X270" i="14"/>
  <c r="X291" i="14"/>
  <c r="X289" i="14" s="1"/>
  <c r="Y289" i="14" s="1"/>
  <c r="X284" i="14"/>
  <c r="Y272" i="14"/>
  <c r="AX272" i="14"/>
  <c r="AI291" i="14"/>
  <c r="AI284" i="14"/>
  <c r="AI270" i="14"/>
  <c r="F276" i="14"/>
  <c r="G276" i="14" s="1"/>
  <c r="AA270" i="14"/>
  <c r="AA291" i="14"/>
  <c r="AA289" i="14" s="1"/>
  <c r="AB272" i="14"/>
  <c r="AA284" i="14"/>
  <c r="AL270" i="14"/>
  <c r="AL291" i="14"/>
  <c r="AL289" i="14" s="1"/>
  <c r="AN289" i="14" s="1"/>
  <c r="AN272" i="14"/>
  <c r="AL284" i="14"/>
  <c r="F77" i="14"/>
  <c r="J77" i="14"/>
  <c r="I282" i="14"/>
  <c r="AW291" i="14"/>
  <c r="Z289" i="14"/>
  <c r="AW289" i="14" s="1"/>
  <c r="AK272" i="14"/>
  <c r="AG282" i="14"/>
  <c r="AH282" i="14" s="1"/>
  <c r="AH284" i="14"/>
  <c r="U282" i="14"/>
  <c r="V282" i="14" s="1"/>
  <c r="V284" i="14"/>
  <c r="M289" i="14"/>
  <c r="M272" i="14"/>
  <c r="M291" i="14" s="1"/>
  <c r="AU272" i="14"/>
  <c r="E272" i="14"/>
  <c r="H270" i="14"/>
  <c r="H291" i="14"/>
  <c r="H284" i="14"/>
  <c r="AH289" i="14"/>
  <c r="AW270" i="14"/>
  <c r="AJ282" i="14"/>
  <c r="AK284" i="14"/>
  <c r="P272" i="14"/>
  <c r="P291" i="14" s="1"/>
  <c r="O270" i="14"/>
  <c r="P270" i="14" s="1"/>
  <c r="O291" i="14"/>
  <c r="O289" i="14" s="1"/>
  <c r="P289" i="14" s="1"/>
  <c r="O284" i="14"/>
  <c r="AV272" i="14"/>
  <c r="Q284" i="14"/>
  <c r="Q270" i="14"/>
  <c r="AV270" i="14" s="1"/>
  <c r="Q291" i="14"/>
  <c r="M284" i="14"/>
  <c r="L282" i="14"/>
  <c r="M282" i="14" s="1"/>
  <c r="F272" i="14"/>
  <c r="G272" i="14" s="1"/>
  <c r="AW284" i="14"/>
  <c r="Z282" i="14"/>
  <c r="AW282" i="14" s="1"/>
  <c r="F291" i="14"/>
  <c r="I289" i="14"/>
  <c r="J272" i="14"/>
  <c r="J291" i="14" s="1"/>
  <c r="AH291" i="14"/>
  <c r="AH271" i="14"/>
  <c r="E77" i="14"/>
  <c r="AU77" i="14"/>
  <c r="S272" i="14"/>
  <c r="V291" i="14"/>
  <c r="V271" i="14"/>
  <c r="M270" i="14"/>
  <c r="AB77" i="14"/>
  <c r="F270" i="14"/>
  <c r="AT291" i="14" l="1"/>
  <c r="AT284" i="14"/>
  <c r="AT270" i="14"/>
  <c r="V270" i="14"/>
  <c r="V290" i="14"/>
  <c r="S271" i="14"/>
  <c r="S291" i="14"/>
  <c r="AV291" i="14"/>
  <c r="Q289" i="14"/>
  <c r="Q282" i="14"/>
  <c r="AV282" i="14" s="1"/>
  <c r="AV284" i="14"/>
  <c r="O282" i="14"/>
  <c r="P282" i="14" s="1"/>
  <c r="P284" i="14"/>
  <c r="E284" i="14"/>
  <c r="AU284" i="14"/>
  <c r="H282" i="14"/>
  <c r="E270" i="14"/>
  <c r="G270" i="14" s="1"/>
  <c r="AU270" i="14"/>
  <c r="J270" i="14"/>
  <c r="J282" i="14"/>
  <c r="G77" i="14"/>
  <c r="AN284" i="14"/>
  <c r="AL282" i="14"/>
  <c r="AN282" i="14" s="1"/>
  <c r="AB291" i="14"/>
  <c r="AB270" i="14"/>
  <c r="AX284" i="14"/>
  <c r="AI282" i="14"/>
  <c r="Y284" i="14"/>
  <c r="X282" i="14"/>
  <c r="Y282" i="14" s="1"/>
  <c r="S282" i="14"/>
  <c r="AH290" i="14"/>
  <c r="AH270" i="14"/>
  <c r="AK282" i="14"/>
  <c r="AU291" i="14"/>
  <c r="E291" i="14"/>
  <c r="G291" i="14" s="1"/>
  <c r="H289" i="14"/>
  <c r="AK271" i="14"/>
  <c r="AK291" i="14"/>
  <c r="F284" i="14"/>
  <c r="G284" i="14" s="1"/>
  <c r="J284" i="14"/>
  <c r="AN291" i="14"/>
  <c r="AN271" i="14"/>
  <c r="AB284" i="14"/>
  <c r="AA282" i="14"/>
  <c r="AB282" i="14" s="1"/>
  <c r="AB289" i="14"/>
  <c r="AX270" i="14"/>
  <c r="AX291" i="14"/>
  <c r="AI289" i="14"/>
  <c r="AT289" i="14" s="1"/>
  <c r="Y291" i="14"/>
  <c r="Y271" i="14"/>
  <c r="AE284" i="14"/>
  <c r="AD282" i="14"/>
  <c r="AE282" i="14" s="1"/>
  <c r="AD289" i="14"/>
  <c r="AE289" i="14" s="1"/>
  <c r="AE291" i="14"/>
  <c r="S284" i="14"/>
  <c r="AT282" i="14" l="1"/>
  <c r="Y270" i="14"/>
  <c r="Y290" i="14"/>
  <c r="AX289" i="14"/>
  <c r="AK289" i="14"/>
  <c r="AN290" i="14"/>
  <c r="AN270" i="14"/>
  <c r="AU289" i="14"/>
  <c r="E289" i="14"/>
  <c r="J289" i="14"/>
  <c r="AX282" i="14"/>
  <c r="S270" i="14"/>
  <c r="S290" i="14"/>
  <c r="AK290" i="14"/>
  <c r="AK270" i="14"/>
  <c r="F289" i="14"/>
  <c r="F282" i="14"/>
  <c r="E282" i="14"/>
  <c r="AU282" i="14"/>
  <c r="AV289" i="14"/>
  <c r="S289" i="14"/>
  <c r="G289" i="14" l="1"/>
  <c r="G282" i="14"/>
</calcChain>
</file>

<file path=xl/comments1.xml><?xml version="1.0" encoding="utf-8"?>
<comments xmlns="http://schemas.openxmlformats.org/spreadsheetml/2006/main">
  <authors>
    <author>И.Е. Невская</author>
  </authors>
  <commentList>
    <comment ref="AV270" authorId="0">
      <text>
        <r>
          <rPr>
            <b/>
            <sz val="9"/>
            <color indexed="81"/>
            <rFont val="Tahoma"/>
            <family val="2"/>
            <charset val="204"/>
          </rPr>
          <t>И.Е. Невская:</t>
        </r>
        <r>
          <rPr>
            <sz val="9"/>
            <color indexed="81"/>
            <rFont val="Tahoma"/>
            <family val="2"/>
            <charset val="204"/>
          </rPr>
          <t xml:space="preserve">
+0,1</t>
        </r>
      </text>
    </comment>
  </commentList>
</comments>
</file>

<file path=xl/sharedStrings.xml><?xml version="1.0" encoding="utf-8"?>
<sst xmlns="http://schemas.openxmlformats.org/spreadsheetml/2006/main" count="699" uniqueCount="305">
  <si>
    <t>Источники финансирования</t>
  </si>
  <si>
    <t>1.1.</t>
  </si>
  <si>
    <t>Подпрограмма I. Дошкольное образование</t>
  </si>
  <si>
    <t>Всего</t>
  </si>
  <si>
    <t>Бюджет Ханты-Мансийского автономного округа-Югры</t>
  </si>
  <si>
    <t>Управление образования и молодежной политики администрации города Урай</t>
  </si>
  <si>
    <t>ИТОГО по подпрограмме I:</t>
  </si>
  <si>
    <t>Подпрограмма II. Развитие современной инфраструктуры</t>
  </si>
  <si>
    <t>ИТОГО по подпрограмме II:</t>
  </si>
  <si>
    <t>Подпрограмма III. Общее и дополнительное образование</t>
  </si>
  <si>
    <t>ИТОГО по подпрограмме III:</t>
  </si>
  <si>
    <t>Подпрограмма IV. Развитие муниципальной методической службы</t>
  </si>
  <si>
    <t>ИТОГО по подпрограмме IV:</t>
  </si>
  <si>
    <t>Подпрограмма V. "Здоровьесбережение и здоровьесозидание"</t>
  </si>
  <si>
    <t>ИТОГО по подпрограмме V:</t>
  </si>
  <si>
    <t>Подпрограмма VI. Молодежная политика</t>
  </si>
  <si>
    <t>ИТОГО по подпрограмме VI:</t>
  </si>
  <si>
    <t>Подпрограмма VII. Каникулярный отдых</t>
  </si>
  <si>
    <t>ИТОГО по подпрограмме VII:</t>
  </si>
  <si>
    <t>ИТОГО по программе:</t>
  </si>
  <si>
    <t>1.2.</t>
  </si>
  <si>
    <t>Федеральный бюджет</t>
  </si>
  <si>
    <t>Внебюджетные средства</t>
  </si>
  <si>
    <t>январь</t>
  </si>
  <si>
    <t>февраль</t>
  </si>
  <si>
    <t>март</t>
  </si>
  <si>
    <t>апрель</t>
  </si>
  <si>
    <t>май</t>
  </si>
  <si>
    <t>июнь</t>
  </si>
  <si>
    <t>июль</t>
  </si>
  <si>
    <t>август</t>
  </si>
  <si>
    <t>сентябрь</t>
  </si>
  <si>
    <t>октябрь</t>
  </si>
  <si>
    <t>ноябрь</t>
  </si>
  <si>
    <t>декабрь</t>
  </si>
  <si>
    <t>в том числе:</t>
  </si>
  <si>
    <t>Исполнение мероприятия</t>
  </si>
  <si>
    <t>Причины отклонения  фактически исполненных расходных обязательств от запланированных</t>
  </si>
  <si>
    <t>Согласовано:</t>
  </si>
  <si>
    <t xml:space="preserve">Комитет по финансам администрации грода Урай </t>
  </si>
  <si>
    <t>Исполнитель Невская Ирина Евгеньевна</t>
  </si>
  <si>
    <t>Исполнение, %</t>
  </si>
  <si>
    <t>План</t>
  </si>
  <si>
    <t>Факт</t>
  </si>
  <si>
    <t>Местный бюджет</t>
  </si>
  <si>
    <t>1.</t>
  </si>
  <si>
    <t>2.1.</t>
  </si>
  <si>
    <t>2.</t>
  </si>
  <si>
    <t>2.2.</t>
  </si>
  <si>
    <t>2.3.</t>
  </si>
  <si>
    <t>2.5.</t>
  </si>
  <si>
    <t>2.6.</t>
  </si>
  <si>
    <t>3.</t>
  </si>
  <si>
    <t>3.1.</t>
  </si>
  <si>
    <t>3.2.</t>
  </si>
  <si>
    <t>3.3.</t>
  </si>
  <si>
    <t>3.4.</t>
  </si>
  <si>
    <t>3.5.</t>
  </si>
  <si>
    <t>3.6.</t>
  </si>
  <si>
    <t>3.7.</t>
  </si>
  <si>
    <t>3.8.</t>
  </si>
  <si>
    <t>3.9.</t>
  </si>
  <si>
    <t>3.10.</t>
  </si>
  <si>
    <t>4.</t>
  </si>
  <si>
    <t>4.1.</t>
  </si>
  <si>
    <t>4.2.</t>
  </si>
  <si>
    <t>4.3.</t>
  </si>
  <si>
    <t>4.4.</t>
  </si>
  <si>
    <t>4.5.</t>
  </si>
  <si>
    <t>4.6.</t>
  </si>
  <si>
    <t>5.</t>
  </si>
  <si>
    <t>5.1.</t>
  </si>
  <si>
    <t>5.2.</t>
  </si>
  <si>
    <t>5.3.</t>
  </si>
  <si>
    <t>5.4.</t>
  </si>
  <si>
    <t>5.5.</t>
  </si>
  <si>
    <t>6.</t>
  </si>
  <si>
    <t>6.1.</t>
  </si>
  <si>
    <t>6.3.</t>
  </si>
  <si>
    <t>7.</t>
  </si>
  <si>
    <t>7.1.</t>
  </si>
  <si>
    <t>7.2.</t>
  </si>
  <si>
    <t>7.3.</t>
  </si>
  <si>
    <t>Поддержка инновационной деятельности дошкольных образовательных организаций (проведение грантовых конкурсов и  др.) (1, 2, 3, 4, 5)</t>
  </si>
  <si>
    <t>Организация мероприятий, направленных на развитие воспитанников дошкольных образовательных организаций (ежегодный городской шахматный турнир «Алая ладья», соревнования «Губернаторские состязания», соревнования «Мы – спортивная семья» и др.) (1, 2, 3, 4, 5)</t>
  </si>
  <si>
    <t>Материальная поддержка воспитания и обучения детей, посещающих дошкольные образовательные организации (1, 2, 3, 4, 5)</t>
  </si>
  <si>
    <t>Создание безопасных условий доставки обучающихся на образовательные, культурно-массовые и спортивные мероприятия, к местам отдыха и обратно (обеспечение автобусным транспортом)  (6)</t>
  </si>
  <si>
    <t>Строительство, проведение капитального ремонта и реконструкции объектов образования (6, 7, 8, 9, 10,11)</t>
  </si>
  <si>
    <t>Обеспечение безопасных и комфортных условий обучения, в том числе устранение предписаний надзорных органов (6, 7, 8, 9, 10, 11)</t>
  </si>
  <si>
    <t>Информатизация системы образования  (8)</t>
  </si>
  <si>
    <t>Поддержка инновационной деятельности  образовательных организаций (проведение грантовых конкурсов, поддержка ресурсных центров и др.) (14, 18)</t>
  </si>
  <si>
    <t>Организация и проведение мероприятий по развитию талантливых  детей и молодежи (участие в муниципальных, региональных, федеральных  учебно-исследовательских и творческих мероприятиях: олимпиады, сессии, форумы, чемпионаты, конкурсы, слеты, профильные смены; награждение  с участием главы города Урай, Губернатора Ханты-Мансийского автономного округа - Югры, награждение именной премией общества с ограниченной ответственностью «ЛУКОЙЛ – Западная Сибирь»  учащихся общеобразовательных организаций за отличную учебу и примерное поведение, достижение значительных результатов в олимпиадах, смотрах и конкурсах и др.) (13, 16, 18)</t>
  </si>
  <si>
    <t>Организация и проведение городского бала выпускников и участие в бале выпускников регионального уровня (16, 18)</t>
  </si>
  <si>
    <t>Реализация мероприятий, направленных на гражданско-патриотическое воспитание  молодежи (16, 17, 18)</t>
  </si>
  <si>
    <t>Мероприятия по профилактике правонарушений правил дорожного движения (проведение  и участие в мероприятиях городского, окружного, федерального уровней), приобретение учебного оборудования по правилам дорожного движения (16, 18)</t>
  </si>
  <si>
    <t>Мероприятия, способствующие развитию детских органов самоуправления (проведение  и участие в мероприятиях городского, окружного, федерального уровней) (16, 18, 19)</t>
  </si>
  <si>
    <t>Персонифицированное финансирование дополнительного образования детей (12, 17)</t>
  </si>
  <si>
    <t>Расходы на обеспечение проведения государственной итоговой аттестации (15, 18)</t>
  </si>
  <si>
    <t>Создание условий для повышения компетенций педагогов в контексте национальной системы учительского роста (20)</t>
  </si>
  <si>
    <t>Проведение педагогических конференций, совещаний, методических дней, форумов муниципального уровня и участие в мероприятиях окружного и всероссийского уровня и др. (20, 21)</t>
  </si>
  <si>
    <t>Конкурсы в сфере образования. Организация и проведение профессиональных праздников  (20, 21)</t>
  </si>
  <si>
    <t>Расходы на обеспечение деятельности Управления образования и молодежной политики администрации города Урай  (20, 21)</t>
  </si>
  <si>
    <t>Организация и участие в мероприятиях различного уровня, направленных на повышение квалификации специалистов  в сфере государственной молодежной политики (семинары, курсы повышения квалификации и др.) (20, 21)</t>
  </si>
  <si>
    <t>Мероприятия, направленные на формирование здорового образа жизни (проведение  и участие в мероприятиях городского, окружного, федерального уровней состязания, спартакиады и др.) (23)</t>
  </si>
  <si>
    <t>Мероприятия, направленные на повышение культуры безопасности, на снижение уровня детского травматизма и смертности несовершеннолетних от управляемых причин (проведение  и участие в мероприятиях городского, окружного, федерального уровней) (23)</t>
  </si>
  <si>
    <t>Обеспечение деятельности медицинского  блока образовательных организаций   (23)</t>
  </si>
  <si>
    <t>Обеспечение информирования обучающихся о неблагоприятных погодных условиях  (23)</t>
  </si>
  <si>
    <t>Организация и проведение городских мероприятий, направленных на поддержку инициативы, развитие творческого, предпринимательского потенциала, повышение навыков и компетенций среди молодежи и общественных молодежных организаций (фестивали, форумы, конференции, конкурсы, встречи и др.). Награждение молодежи (выплата премий, стипендий, вознаграждений) (24)</t>
  </si>
  <si>
    <t>6.2.</t>
  </si>
  <si>
    <t>Организация участия детей и молодежи в возрасте от 14 до 30 лет во всероссийских, окружных молодежных мероприятиях (24)</t>
  </si>
  <si>
    <t>Организация и проведение мероприятий, направленных на формирование системы ценностей и мировоззрения (в том числе направленные на оказание поддержки добровольчеству/волонтерству), культуры безопасности и здорового образа жизни среди молодежи (конференции, форумы, сборы, походы, соревнования и др.) (24, 25, 26)</t>
  </si>
  <si>
    <t>Организация работы лагерей с дневным пребыванием детей и досуговых площадок (27)</t>
  </si>
  <si>
    <t>Организация выездного отдыха детей (27)</t>
  </si>
  <si>
    <t>Организация сплавов, походов (27)</t>
  </si>
  <si>
    <r>
      <t xml:space="preserve">Расходы на обеспечение деятельности (оказание услуг) муниципальных организаций  </t>
    </r>
    <r>
      <rPr>
        <b/>
        <sz val="9"/>
        <rFont val="Times New Roman"/>
        <family val="1"/>
        <charset val="204"/>
      </rPr>
      <t>дошкольного</t>
    </r>
    <r>
      <rPr>
        <sz val="9"/>
        <rFont val="Times New Roman"/>
        <family val="1"/>
        <charset val="204"/>
      </rPr>
      <t xml:space="preserve"> образования (1, 2, 3,.4, 5)</t>
    </r>
  </si>
  <si>
    <r>
      <t xml:space="preserve">Расходы на обеспечение деятельности (оказание услуг) муниципальных организаций  </t>
    </r>
    <r>
      <rPr>
        <b/>
        <sz val="9"/>
        <rFont val="Times New Roman"/>
        <family val="1"/>
        <charset val="204"/>
      </rPr>
      <t>дополнительного</t>
    </r>
    <r>
      <rPr>
        <sz val="9"/>
        <rFont val="Times New Roman"/>
        <family val="1"/>
        <charset val="204"/>
      </rPr>
      <t xml:space="preserve">  образования (12, 17)</t>
    </r>
  </si>
  <si>
    <t xml:space="preserve">№ </t>
  </si>
  <si>
    <t>Инвестиции в объекты муниципальной собственности</t>
  </si>
  <si>
    <t>Прочие расходы:</t>
  </si>
  <si>
    <t xml:space="preserve">В том числе: </t>
  </si>
  <si>
    <t xml:space="preserve">Соисполнитель 1
Муниципальное казенное учреждение «Управление капитального строительства города Урай»
</t>
  </si>
  <si>
    <t xml:space="preserve">Ответственный исполнитель
Управление образования и молодежной политики администрации города Урай
</t>
  </si>
  <si>
    <t>Муниципальное казенное учреждение «Управление капитального строительства города Урай»</t>
  </si>
  <si>
    <t>Управление образования и молодежной политики администрации города Урай; органы администрации города Урай: сводно-аналитический отдел администрации города Урай</t>
  </si>
  <si>
    <t>Управление образования и молодежной политики администрации города Урай; органы администрации города Урай: управление по культуре и социальным вопросам администрации города Урай, управление по физической культуре, спорту и туризму администрации города Урай</t>
  </si>
  <si>
    <t>Соисполнитель 2
Органы администрации города Урай (управление по культуре и социальным вопросам администрации города Урай, управление по физической культуре, спорту и туризму администрации города Урай, сводно-аналитический отдел администрации города Урай)</t>
  </si>
  <si>
    <t>тел.2-31-86 (822)</t>
  </si>
  <si>
    <t>Начальник УОиМП</t>
  </si>
  <si>
    <t>Остатки прошлых лет</t>
  </si>
  <si>
    <t>2.3.1.</t>
  </si>
  <si>
    <t>2.3.2.</t>
  </si>
  <si>
    <t>2.3.3.</t>
  </si>
  <si>
    <t>Реализация основного мероприятия регионального проекта «Современная школа» (6, 7, 8, 9), в том числе:</t>
  </si>
  <si>
    <t>Приобретение, создание, реконструкция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(«Средняя школа в мкр. 1А (Общеобразовательная организация с универсальной безбарьерной средой))») (6, 7, 8, 9)</t>
  </si>
  <si>
    <t>Приобретение, создание, реконструкция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 («Школа в микрорайоне Земля Санникова (Общеобразовательная организация с универсальной безбарьерной средой)») (6, 7, 8, 9)</t>
  </si>
  <si>
    <t>Проведение ремонтных работ муниципальных образовательных организаций (6, 8)</t>
  </si>
  <si>
    <t>3.11.</t>
  </si>
  <si>
    <t>3.12.</t>
  </si>
  <si>
    <t>Реализация основного мероприятия регионального проекта «Современная школа». Расходы на обеспечение деятельности Центра образования цифрового и гуманитарного профилей "Точка роста" (12, 17)</t>
  </si>
  <si>
    <t>Реализация основного мероприятия регионального проекта «Успех каждого ребенка». Расходы на создание новых мест дополнительного образования детей (12, 17)</t>
  </si>
  <si>
    <t>Управление образования и молодежной политики администрации города Урай; муниципальное казенное учреждение «Управление капитального строительства города Урай»</t>
  </si>
  <si>
    <t>1.4.</t>
  </si>
  <si>
    <t>1.3.</t>
  </si>
  <si>
    <t>Заместитель начальника УОиМП</t>
  </si>
  <si>
    <t>Ю.А. Чигинцева</t>
  </si>
  <si>
    <t>3.7.1.</t>
  </si>
  <si>
    <r>
      <t>Расходы на обеспечение деятельности (оказание услуг) муниципальных о</t>
    </r>
    <r>
      <rPr>
        <b/>
        <sz val="9"/>
        <rFont val="Times New Roman"/>
        <family val="1"/>
        <charset val="204"/>
      </rPr>
      <t>бщеобразовательных</t>
    </r>
    <r>
      <rPr>
        <sz val="9"/>
        <rFont val="Times New Roman"/>
        <family val="1"/>
        <charset val="204"/>
      </rPr>
      <t xml:space="preserve"> организаций (13, 18), в том числе:</t>
    </r>
  </si>
  <si>
    <t>Расходы на обеспечение выплаты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(13, 18)</t>
  </si>
  <si>
    <t>5.5.1.</t>
  </si>
  <si>
    <t>Организация питания обучающихся в муниципальных общеобразовательных организациях (23), в том числе:</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</si>
  <si>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(23)</t>
  </si>
  <si>
    <t>Основные мероприятия муниципальной программы (их взаимосвязь с целевыми показателями муниципальной программы)</t>
  </si>
  <si>
    <t>Ответственный исполнитель / соисполнитель</t>
  </si>
  <si>
    <t>Финансовые затараты на реализацию (тыс.рублей)</t>
  </si>
  <si>
    <t>Предоставление электронных услуг МАУ "Ресурсный центр системы образования"</t>
  </si>
  <si>
    <t>Обеспечение персонифицированного финансирования дополнительного образования детей</t>
  </si>
  <si>
    <t>Расходы на обеспечение деятельности (оказание услуг) муниципального автономного учреждения города Урай «Ресурсный центр сиситемы образования» (20, 21, 22)</t>
  </si>
  <si>
    <t>Приобретение кубков для проведения городской спартакиады школьников "Старты надежд"</t>
  </si>
  <si>
    <t>Обеспечение обучающихся шести общеобразовательных организаций завтраками и обедами (в том числе льготная категория)</t>
  </si>
  <si>
    <t xml:space="preserve">Обеспечение обучающихся, получающих начальное общее образование, шести общеобразовательных организаций завтраками </t>
  </si>
  <si>
    <t>Приобретение кухонного оборудования в МБОУ СОШ №4</t>
  </si>
  <si>
    <t>Экономия по фактически сложившимся расходам на оплату труда специалистов (с учетом больничных листов)</t>
  </si>
  <si>
    <t>Организация работы медицинского класса на базе МБОУ СОШ №4</t>
  </si>
  <si>
    <t xml:space="preserve">Участие в региональном треке Всероссийского конкурса научно-технологических проектов "Большие вызовы", участие в проектной Космической смене. Награждение именными премиями ООО "ЛУКойл-Западная Сибирь" учащихся общеобразовательных организаций </t>
  </si>
  <si>
    <t>Обеспечение защиты каналов связи. Приобретение оборудования и расходных материалов для проведения государственной итоговой аттестации. Выплата компенсации педагогам, привлекаемым к подготовке и проведению ГИА в пунктах проведения экзаменов</t>
  </si>
  <si>
    <t>Приобретение оборудования для медицинского блока общеобразовательных организаций</t>
  </si>
  <si>
    <t>Приобретение экипировки для Всероссийского общественного движения "Волонтеры Победы"</t>
  </si>
  <si>
    <t>Организация питания в лагерях дневного пребывания детей в период весенних и летних каникул</t>
  </si>
  <si>
    <t>Обеспечение организации каникулярного отдыха и оздоровление детей за пределами  города Урай (выездной отдых)</t>
  </si>
  <si>
    <t>Приобретение путевок для отдыха и оздоровление детей за пределами  города Урай (выездной отдых)</t>
  </si>
  <si>
    <t>Проведение работ по текущему ремонту и по обеспечению требований по антитеррористической защищенности образовательных организаций</t>
  </si>
  <si>
    <t>Организация и проведение городского педагогического совещания</t>
  </si>
  <si>
    <t>Приобретение мебели, оборудования, ремонт кабинета и обучение педагогов в рамках инициативного проекта "Территория равных"</t>
  </si>
  <si>
    <t>Организация городского молодежного профориентационного форума "Твое будущее". Вручение ежегодной  молодежной премии Главы "Лауреат премии главы города". Приобретение мебели, оборудования, ремонт кабинета и обучение педагогов в рамках инициативного проекта "Территория равных"</t>
  </si>
  <si>
    <t>Организация муниципального этапа окружного иолодежного проекта "Лига молодых управленцев"</t>
  </si>
  <si>
    <t>Организация и проведение образовательно-развлекательных игр "Инры разума", соревнований по киберспорту (Кубок Главы), городского молодежного фестиваля "ЖАРА"</t>
  </si>
  <si>
    <t>Л.В. Зайцева</t>
  </si>
  <si>
    <t xml:space="preserve"> Организация поездки поисковой экспедиции отряда "Патриот". Проведение военно-полевых сборов</t>
  </si>
  <si>
    <t>Обеспечение деятельности восьми дошкольных образовательных учреждений в части содержания здания и прочих общехозяйственных расходов за 12 месяцев 2021 года</t>
  </si>
  <si>
    <t>Выплата компенсации части родительской платы за 12 месяцев 2021 года</t>
  </si>
  <si>
    <t>Выплата ежемесячного денежного вознаграждения за классное руководство педагогическим работникам за 12 месяцев 2021 года</t>
  </si>
  <si>
    <t>Обеспечение деятельности 6-ти общеобразовательных учреждений в части реализации стандарта (выплаты заработной платы, начислений на нее, учебных расходов) и информационного обеспечения в части доступа к образовательным ресурсам сети Интернет за 12 месяцев 2021 года</t>
  </si>
  <si>
    <t>Обеспечение деятельности 6-ти общеобразовательных учреждений в части содержания зданий и сооружений и прочих общехозяйственных расходов за 12 месяцев 2021 года</t>
  </si>
  <si>
    <t>Обеспечение деятельности МБУ ДО "ЦМДО" в части содержания зданий и сооружений и прочих общехозяйственных расходов за 12 месяцев 2021 года</t>
  </si>
  <si>
    <t>Обеспечение деятельности МАУ "Ресурсный центр системы образования" в части исполнения муниципального  задания за 12 месяцев 2021 года</t>
  </si>
  <si>
    <t>Осуществление деятельности по выплате компенсации части родительской платы (администрирование) за 12 месяцев 2021 года</t>
  </si>
  <si>
    <t>Расходы по содержанию аппарата Управления образования и молодежной политики за 12 месяцев 2021 года</t>
  </si>
  <si>
    <t>Обеспечение деятельности восьми дошкольных образовательных учреждений в части выполнения стандарта дошкольного образования  за 12 месяцев 2021 года.     Приобретение ноутбуков в МБДОУ "Детский сад №6", оргтехники, мотокосы, строительных инструментов в МБДОУ "Детский сад №8", тримеров, тачки и прочего инвентаря в МБДОУ "Детский сад №12", кондиционера и логопедич.инструмента в МБДОУ "Детский сад №19"</t>
  </si>
  <si>
    <t>Финансирование по фактически начисленной компенсации части родительской платы</t>
  </si>
  <si>
    <t>Замена дверей в МБДОУ "Детский сад №12". Приобретение кух.гарнитуров в МБОУ "Детский сад №14". Приобретение детского уличного оборудования в МБДОУ "Детский сад №21". Замена окон в МБОУ СОШ №2</t>
  </si>
  <si>
    <t>Финансирование согласно фактически списанных средств с сертифткатов в рамках заключенных договоров на предоставление дополнительного образования</t>
  </si>
  <si>
    <t>Участие в в региональном этапе и организация муниципального этапа Всероссийского конкурса проф.мастерства в сфере образования ХМАО - Югры «Педагог года Югры-2021». Организация и проведение мероприятий в рамках празднования профессиональных праздников «День дошкольного работника» и «День учителя»</t>
  </si>
  <si>
    <t>Экономия за счет дней, пропущенных учащимися по причине болезни и в связи с проведением карантинных мероприятий в период коронавирусной инфекции COVID-2019</t>
  </si>
  <si>
    <t>Организация работы лагеря дневного пребывания детей в период весенних, летних и осенних каникул</t>
  </si>
  <si>
    <t>Установке наружных дверей в МБОУ СОШ №6</t>
  </si>
  <si>
    <t>Выполнение проектных работ и подготовительные работы по усилению перекрытий в МБОУ «Гимназия им А.И. Яковлева»</t>
  </si>
  <si>
    <t>И.В. Хусаинова</t>
  </si>
  <si>
    <t>Экономия по фактическим расходам на выплату ежемесячного денежного вознаграждения за классное руководство педагогическим работникам</t>
  </si>
  <si>
    <t>Остаток средств, в связи с проведением окружного этапа научно-практической конференции "Шаг в будущее" в он-лайн режиме</t>
  </si>
  <si>
    <t>Экономия по фактически начисленной  заработной плате работникам (с учетом больничных листов и наличием вакантных ставок), по оплате льготного проезда, путевок и проезда санаторно-курортного лечения, фактическим расходам по служебным командировкам</t>
  </si>
  <si>
    <t>По объекту «Реконструкция МБДОУ №19» не заключен договор на работы по оснащению помещением поста охраны на 1 этаже с переносом инженерно-технических средств защиты объекта на сумму 3 000,0 тыс. руб. в связи с неисполнением обязательств по договору на выполнение проектно-изыскательских работ. В адрес проектировщика были направлены претензии.                                            По объекту «Капитальный ремонт МБОУ «Гимназия им А.И. Яковлева» по извещениям на проведение электорнных аукционов на выполнение работ по устройству гидроизоляции и теплоизоляции фундамента и стен цокольного этажа от 26.11.2021 и от 13.12.2021 нет заявок. По извещению на проведение электорнного аукциона на выполнение работ по усилению железобетонного перекрытия от 13.12.2021 нет заявок. 28.12.2021 опубликованы электронные аукционы на выполнение работ по усилению железобетонного перекрытия композитными материалами, по усилению железобетонного перекрытия над гимнастическим залом и на выполнение работ по устройству гидроизоляции и теплоизоляции фундамента и стен цокольного этажа. Аукцион состоялся 17.01.2022. Заключаются договора</t>
  </si>
  <si>
    <t xml:space="preserve">По объекту «Реконструкция МБДОУ №19» по договору на выполнение проектно-изыскательских работ на сумму 1149,9 тыс. руб. работы не выполнены. Ведется претензионная работа.                                                 По объекту «Капитальный ремонт МБОУ СОШ №6» заключены договора  на технологическое присоединение энергопринимающих устройств в сумме 17,2 тыс.руб. со сроком исполнения 2 квартал 2022 года. А так же сложилась экономия по установке наружных дверных блоков в сумме 2,8 тыс.руб. </t>
  </si>
  <si>
    <t>Отчет о ходе исполнения комплексного плана (сетевого графика) реализации муниципальной программы "Развитие образования и молодежной политики в городе Урай " на 2019-2030 годы за 12 месяцев 2021 года</t>
  </si>
  <si>
    <t>Таблица 2</t>
  </si>
  <si>
    <t>ОТЧЕТ</t>
  </si>
  <si>
    <t>№</t>
  </si>
  <si>
    <t>Наименование целевого показателя муниципальной программы</t>
  </si>
  <si>
    <t>Ед. изм.</t>
  </si>
  <si>
    <t>Значение целевого показателя муниципальной программы</t>
  </si>
  <si>
    <t>Степень достижения целевого показателя &lt;2&gt;, %</t>
  </si>
  <si>
    <t>Обоснование отклонений значений целевого показателя на конец отчетного года (при наличии)</t>
  </si>
  <si>
    <t>отчетный год (план)</t>
  </si>
  <si>
    <t>отчетный год (факт)</t>
  </si>
  <si>
    <t>Численность воспитанников в возрасте до трех лет, посещающих муниципальные организации, осуществляющие образовательную деятельность по образовательным программам дошкольного образования, присмотр и уход</t>
  </si>
  <si>
    <t>Чел.</t>
  </si>
  <si>
    <t>Доля детей в возрасте от 2 месяцев до 7 лет, стоящих на учете для определения в муниципальные дошкольные образовательные организации, в общей численности детей в возрасте от 2 месяцев до 7 лет</t>
  </si>
  <si>
    <t>%</t>
  </si>
  <si>
    <t>Доля детей в возрасте от 1 до 6 лет, получающих дошкольную образовательную услугу и (или) услугу по их содержанию в муниципальных образовательных организациях, в общей численности детей в возрасте от 1до 6 лет</t>
  </si>
  <si>
    <t>Доля детей в возрасте от 1 до 6 лет, стоящих на учете для определения в муниципальные дошкольные образовательные организации, в общей численности детей в возрасте от 1 до 6 лет</t>
  </si>
  <si>
    <t xml:space="preserve">Доступность дошкольного образования для детей в возрасте от полутора до трех лет </t>
  </si>
  <si>
    <t>Доля муниципальных образовательных организаций, соответствующих современным требованиям обучения, в общем количестве муниципальных образовательных организаций</t>
  </si>
  <si>
    <t>Доля обучающихся в муниципальных общеобразовательных организациях, занимающихся во вторую (третью) смену, в общей численности обучающихся в муниципальных общеобразовательных организациях</t>
  </si>
  <si>
    <t>Доля муниципальных общеобразовательных организаций, имеющих современную и безопасную цифровую образовательную среду, в общем количестве муниципальных общеобразовательных организаций</t>
  </si>
  <si>
    <t>Доля муниципальных общеобразовательных организаций, здания которых находятся в аварийном состоянии или требуют капитального ремонта, в общем числе муниципальных общеобразовательных организаций</t>
  </si>
  <si>
    <t>Доля муниципальных дошкольных образовательных организаций, здания которых находятся в аварийном состоянии или требуют капитального ремонта, в общем числе муниципальных дошкольных образовательных организаций</t>
  </si>
  <si>
    <t>Доля детей в возрасте от 5 до 18 лет, обучающихся по дополнительным общеобразовательным программам естественнонаучной и технической направленности</t>
  </si>
  <si>
    <t>Доля обучающихся, воспитанников, ставших победителями и призерами в мероприятиях на региональном, всероссийском уровне, от общего количества участников от города Урай</t>
  </si>
  <si>
    <t>Доля образовательных организаций, реализующих инновационные программы, обеспечивающих отработку новых технологий содержания обучения и воспитания по итогам конкурса</t>
  </si>
  <si>
    <t>Доля выпускников муниципальных общеобразовательных организаций, сдавших единый государственный экзамен по русскому языку и математике, в общей численности выпускников муниципальных общеобразовательных организаций, сдававших единый государственный экзамен по данным предметам</t>
  </si>
  <si>
    <t xml:space="preserve">Доля обучающихся, участвующих в мероприятиях и проектах различного уровня, направленных на развитие и  воспитание детей и подростков, в общей численности обучающихся в муниципальных общеобразовательных организациях    </t>
  </si>
  <si>
    <t>Расходы бюджета муниципального образования на общее образование в расчете на 1 обучающегося в муниципальных общеобразовательных организациях</t>
  </si>
  <si>
    <t>Тыс.руб.</t>
  </si>
  <si>
    <t>Численность обучающихся, вовлеченных в деятельность общественных объединений на базе образовательных организаций общего образования, среднего и высшего  профессионального образования</t>
  </si>
  <si>
    <t>Доля педагогических работников, повысивших уровень квалификации через участие в курсах повышения квалификации, стажировках, семинарах</t>
  </si>
  <si>
    <t>22.</t>
  </si>
  <si>
    <t>Доля детей, получивших психолого-педагогическую, диагностическую помощь, от общего числа детей, обучающихся в муниципальных образовательных организациях</t>
  </si>
  <si>
    <t>23.</t>
  </si>
  <si>
    <t>Доля детей первой и второй групп здоровья в общей численности обучающихся в муниципальных общеобразовательных организациях</t>
  </si>
  <si>
    <t>24.</t>
  </si>
  <si>
    <t>25.</t>
  </si>
  <si>
    <t>26.</t>
  </si>
  <si>
    <t>27.</t>
  </si>
  <si>
    <t>Ответственный исполнитель (соисполнитель) муниципальной программы:</t>
  </si>
  <si>
    <t>Исполнитель: Грунина И.Ю.</t>
  </si>
  <si>
    <t>Тел.: 8(34676) 23169 (доб.803)</t>
  </si>
  <si>
    <t>о достижении целевых показателей муниципальной программы за 2021 год</t>
  </si>
  <si>
    <t xml:space="preserve">Экономия средств в связи с проведением курсов профессиональной переподготовки, стажировки в режиме он-лайн (отменой выезда по причине неблагопрятной эпид.обстановки) и экономией по итогам проведения торгов на приобретение оборудования для людей с нарушениями здоровья в рамках проекта "Территория равных" </t>
  </si>
  <si>
    <t>Доля детей в возрасте от 5 до 18 лет, охваченных дополнительным  образованием</t>
  </si>
  <si>
    <t xml:space="preserve">Доля педагогических работников общеобразовательных организаций, прошедших повышение квалификации, в том числе в центрах непрерывного повышения </t>
  </si>
  <si>
    <t>Доля детей и молодежи (14-35 лет), задействованной в мероприятиях по вовлечению в творческую деятельность, от общей численности указанной категории</t>
  </si>
  <si>
    <t>Доля детей и молодежи в возрасте от 14 до 35 лет, вовлеченных в мероприятия, направленные на пропаганду здорового образа жизни, по отношению к общей численности указанной категории</t>
  </si>
  <si>
    <t>Общая численность граждан, вовлеченных центрами (сообществами, объединениями) поддержки добровольчества (волонтерства) на базе образовательных организаций, некоммерческих организаций, государственных и муниципальных учреждений в добровольческую (волонтерскую) деятельность</t>
  </si>
  <si>
    <t xml:space="preserve">Доля детей в возрасте от 6 до 17 лет (включительно), охваченных всеми формами отдыха и оздоровления, от общей численности детей, нуждающихся в оздоровлении </t>
  </si>
  <si>
    <t>28.</t>
  </si>
  <si>
    <t>29.</t>
  </si>
  <si>
    <t xml:space="preserve">Доля обучающихся по программам основного и среднего общего образования, охваченных мероприятиями, направленным на раннюю профессиональную ориентацию, в том числе в рамках программы «Билет в будущее» </t>
  </si>
  <si>
    <t>Охват детей деятельностью региональных центров выявления, поддержки и развития способностей и талантов у детей, молодежи, технопарков «Кванториум», «IT-куб»</t>
  </si>
  <si>
    <t>Млн.чел.</t>
  </si>
  <si>
    <t>Перенос сроков выполнения работ по комплексному ремонту оконных блоков в МБДОУ "Детский сад №12" с оплатой до 15.02.2022 (464,6 тыс .руб.).                Средства, выделенные на  ремонт входных групп МБДОУ "Детский сад №12" (861,5 тыс.руб.) и на ремонт крылец МБДОУ "Детский сад №14" (1 161,5 тыс. руб.) не освоены в связи с признанием специализированной организацией состояние входных групп и крылец авврийным и подлежащим сносу</t>
  </si>
  <si>
    <t>Показатель перевыполнен</t>
  </si>
  <si>
    <t>Показатель перевыполнен. По данным актуального спроса (число желающих родителей посещать детский сад в 2021 году)</t>
  </si>
  <si>
    <t>Показатель  не выполнен ввиду выполнения Постановления Главного санитарного врача от 30.06.2020 №16 в условиях пандемии и увеличением общего количества обучающихся (1572 чел. из 5344 чел.)</t>
  </si>
  <si>
    <t>Показатель выполнен</t>
  </si>
  <si>
    <t>Показатель выполнен. Требуется капитальный ремонт МБДОУ №19</t>
  </si>
  <si>
    <t>Показатель  не выполнен ввиду  увеличения количества участников при снижении доли победителей и призеров (972 чел. из 2072 чел.)</t>
  </si>
  <si>
    <t>Показатель выполнен (2 из 7 организаций)</t>
  </si>
  <si>
    <t>Показатель перевыполнен за счет  увеличения обучающихся, участвующих в мероприятиях и проектах различного уровня (3247 чел. из 5344 чел.)</t>
  </si>
  <si>
    <t>Показатель перевыполнен за счет увеличения количества педагогических работников, повысивших уровень квалификации (585 чел. из 690 чел.)</t>
  </si>
  <si>
    <t>Показатель выполнен за счет увеличения количества детей, прошедших обследование в территориальной психолого – медико – педагогической комиссии города Урай (479 чел. из 7785 чел.)</t>
  </si>
  <si>
    <t>Показатель перевыполнен (4913 чел. из 5344 чел.)</t>
  </si>
  <si>
    <t>Показатель не выполнен ввиду снижения количества мероприятий в условиях пандемии</t>
  </si>
  <si>
    <t xml:space="preserve">Доля граждан, получивших услуги в негосударственных, в том числе некоммерческих организациях, в общем числе граждан, получивших услуги в сфере образования </t>
  </si>
  <si>
    <t>11.   </t>
  </si>
  <si>
    <t>Показатель перевыполнен за счет увеличения мероприятий, направленных на раннюю профориентацию (1350 чел. от 3111 чел.). Показатель является целевым согласно Паспорту национального проекта "Образование"</t>
  </si>
  <si>
    <t>Показатель перевыполнен за счет функционирования технопарка "Кванториум" г. Ханты-Мансийска  (913 чел. от 6810 чел.). Показатель является целевым согласно Паспорту национального проекта "Образование"</t>
  </si>
  <si>
    <r>
      <t>18.</t>
    </r>
    <r>
      <rPr>
        <sz val="7"/>
        <rFont val="Times New Roman"/>
        <family val="1"/>
        <charset val="204"/>
      </rPr>
      <t xml:space="preserve">  </t>
    </r>
    <r>
      <rPr>
        <sz val="12"/>
        <rFont val="Times New Roman"/>
        <family val="1"/>
        <charset val="204"/>
      </rPr>
      <t> </t>
    </r>
  </si>
  <si>
    <t xml:space="preserve">Неисполнение по причине: перенос сроков проведения капитального ремонта в МБОУ Гимназия им А.И. Яковлева на 2022 год по итогам проведенного аукциона от 17.01.2022. Остаток средств, в связи с проведением окружного этапа научно-практической конференции "Шаг в будущее" в он-лайн режиме. Экономия по фактическим расходам на выплату ежемесячного денежного вознаграждения за классное руководство педагогическим работникам. Экономия по организации питания за счет дней, пропущенных учащимися по причине болезни и в связи с проведением карантинных мероприятий в период коронавирусной инфекции COVID-2019 </t>
  </si>
  <si>
    <t>Показатель перевыполнен (6812 чел. от 8256 чел. по демографии)</t>
  </si>
  <si>
    <r>
      <t>1.</t>
    </r>
    <r>
      <rPr>
        <sz val="7"/>
        <rFont val="Times New Roman"/>
        <family val="1"/>
        <charset val="204"/>
      </rPr>
      <t xml:space="preserve">      </t>
    </r>
    <r>
      <rPr>
        <sz val="12"/>
        <rFont val="Times New Roman"/>
        <family val="1"/>
        <charset val="204"/>
      </rPr>
      <t> </t>
    </r>
  </si>
  <si>
    <r>
      <t>2.</t>
    </r>
    <r>
      <rPr>
        <sz val="7"/>
        <rFont val="Times New Roman"/>
        <family val="1"/>
        <charset val="204"/>
      </rPr>
      <t xml:space="preserve">      </t>
    </r>
    <r>
      <rPr>
        <sz val="12"/>
        <rFont val="Times New Roman"/>
        <family val="1"/>
        <charset val="204"/>
      </rPr>
      <t> </t>
    </r>
  </si>
  <si>
    <r>
      <t>3.</t>
    </r>
    <r>
      <rPr>
        <sz val="7"/>
        <rFont val="Times New Roman"/>
        <family val="1"/>
        <charset val="204"/>
      </rPr>
      <t xml:space="preserve">      </t>
    </r>
    <r>
      <rPr>
        <sz val="12"/>
        <rFont val="Times New Roman"/>
        <family val="1"/>
        <charset val="204"/>
      </rPr>
      <t> </t>
    </r>
  </si>
  <si>
    <r>
      <t>4.</t>
    </r>
    <r>
      <rPr>
        <sz val="7"/>
        <rFont val="Times New Roman"/>
        <family val="1"/>
        <charset val="204"/>
      </rPr>
      <t xml:space="preserve">      </t>
    </r>
    <r>
      <rPr>
        <sz val="12"/>
        <rFont val="Times New Roman"/>
        <family val="1"/>
        <charset val="204"/>
      </rPr>
      <t> </t>
    </r>
  </si>
  <si>
    <r>
      <t>5.</t>
    </r>
    <r>
      <rPr>
        <sz val="7"/>
        <rFont val="Times New Roman"/>
        <family val="1"/>
        <charset val="204"/>
      </rPr>
      <t xml:space="preserve">      </t>
    </r>
    <r>
      <rPr>
        <sz val="12"/>
        <rFont val="Times New Roman"/>
        <family val="1"/>
        <charset val="204"/>
      </rPr>
      <t> </t>
    </r>
  </si>
  <si>
    <r>
      <t>6.</t>
    </r>
    <r>
      <rPr>
        <sz val="7"/>
        <rFont val="Times New Roman"/>
        <family val="1"/>
        <charset val="204"/>
      </rPr>
      <t xml:space="preserve">      </t>
    </r>
    <r>
      <rPr>
        <sz val="12"/>
        <rFont val="Times New Roman"/>
        <family val="1"/>
        <charset val="204"/>
      </rPr>
      <t> </t>
    </r>
  </si>
  <si>
    <r>
      <t>7.</t>
    </r>
    <r>
      <rPr>
        <sz val="7"/>
        <rFont val="Times New Roman"/>
        <family val="1"/>
        <charset val="204"/>
      </rPr>
      <t xml:space="preserve">      </t>
    </r>
    <r>
      <rPr>
        <sz val="12"/>
        <rFont val="Times New Roman"/>
        <family val="1"/>
        <charset val="204"/>
      </rPr>
      <t> </t>
    </r>
  </si>
  <si>
    <r>
      <t>8.</t>
    </r>
    <r>
      <rPr>
        <sz val="7"/>
        <rFont val="Times New Roman"/>
        <family val="1"/>
        <charset val="204"/>
      </rPr>
      <t xml:space="preserve">      </t>
    </r>
    <r>
      <rPr>
        <sz val="12"/>
        <rFont val="Times New Roman"/>
        <family val="1"/>
        <charset val="204"/>
      </rPr>
      <t> </t>
    </r>
  </si>
  <si>
    <r>
      <t>9.</t>
    </r>
    <r>
      <rPr>
        <sz val="7"/>
        <rFont val="Times New Roman"/>
        <family val="1"/>
        <charset val="204"/>
      </rPr>
      <t xml:space="preserve">      </t>
    </r>
    <r>
      <rPr>
        <sz val="12"/>
        <rFont val="Times New Roman"/>
        <family val="1"/>
        <charset val="204"/>
      </rPr>
      <t> </t>
    </r>
  </si>
  <si>
    <r>
      <t>10.</t>
    </r>
    <r>
      <rPr>
        <sz val="7"/>
        <rFont val="Times New Roman"/>
        <family val="1"/>
        <charset val="204"/>
      </rPr>
      <t xml:space="preserve">  </t>
    </r>
    <r>
      <rPr>
        <sz val="12"/>
        <rFont val="Times New Roman"/>
        <family val="1"/>
        <charset val="204"/>
      </rPr>
      <t> </t>
    </r>
  </si>
  <si>
    <r>
      <t>12.</t>
    </r>
    <r>
      <rPr>
        <sz val="7"/>
        <rFont val="Times New Roman"/>
        <family val="1"/>
        <charset val="204"/>
      </rPr>
      <t xml:space="preserve">  </t>
    </r>
    <r>
      <rPr>
        <sz val="12"/>
        <rFont val="Times New Roman"/>
        <family val="1"/>
        <charset val="204"/>
      </rPr>
      <t> </t>
    </r>
  </si>
  <si>
    <r>
      <t>13.</t>
    </r>
    <r>
      <rPr>
        <sz val="7"/>
        <rFont val="Times New Roman"/>
        <family val="1"/>
        <charset val="204"/>
      </rPr>
      <t xml:space="preserve">  </t>
    </r>
    <r>
      <rPr>
        <sz val="12"/>
        <rFont val="Times New Roman"/>
        <family val="1"/>
        <charset val="204"/>
      </rPr>
      <t> </t>
    </r>
  </si>
  <si>
    <r>
      <t>14.</t>
    </r>
    <r>
      <rPr>
        <sz val="7"/>
        <rFont val="Times New Roman"/>
        <family val="1"/>
        <charset val="204"/>
      </rPr>
      <t xml:space="preserve">  </t>
    </r>
    <r>
      <rPr>
        <sz val="12"/>
        <rFont val="Times New Roman"/>
        <family val="1"/>
        <charset val="204"/>
      </rPr>
      <t> </t>
    </r>
  </si>
  <si>
    <r>
      <t>15.</t>
    </r>
    <r>
      <rPr>
        <sz val="7"/>
        <rFont val="Times New Roman"/>
        <family val="1"/>
        <charset val="204"/>
      </rPr>
      <t xml:space="preserve">  </t>
    </r>
    <r>
      <rPr>
        <sz val="12"/>
        <rFont val="Times New Roman"/>
        <family val="1"/>
        <charset val="204"/>
      </rPr>
      <t> </t>
    </r>
  </si>
  <si>
    <r>
      <t>16.</t>
    </r>
    <r>
      <rPr>
        <sz val="7"/>
        <rFont val="Times New Roman"/>
        <family val="1"/>
        <charset val="204"/>
      </rPr>
      <t xml:space="preserve">  </t>
    </r>
    <r>
      <rPr>
        <sz val="12"/>
        <rFont val="Times New Roman"/>
        <family val="1"/>
        <charset val="204"/>
      </rPr>
      <t> </t>
    </r>
  </si>
  <si>
    <r>
      <t>17.</t>
    </r>
    <r>
      <rPr>
        <sz val="7"/>
        <rFont val="Times New Roman"/>
        <family val="1"/>
        <charset val="204"/>
      </rPr>
      <t xml:space="preserve">  </t>
    </r>
    <r>
      <rPr>
        <sz val="12"/>
        <rFont val="Times New Roman"/>
        <family val="1"/>
        <charset val="204"/>
      </rPr>
      <t> </t>
    </r>
  </si>
  <si>
    <r>
      <t>19.</t>
    </r>
    <r>
      <rPr>
        <sz val="7"/>
        <rFont val="Times New Roman"/>
        <family val="1"/>
        <charset val="204"/>
      </rPr>
      <t xml:space="preserve">  </t>
    </r>
    <r>
      <rPr>
        <sz val="12"/>
        <rFont val="Times New Roman"/>
        <family val="1"/>
        <charset val="204"/>
      </rPr>
      <t> </t>
    </r>
  </si>
  <si>
    <r>
      <t>20.</t>
    </r>
    <r>
      <rPr>
        <sz val="7"/>
        <rFont val="Times New Roman"/>
        <family val="1"/>
        <charset val="204"/>
      </rPr>
      <t xml:space="preserve">  </t>
    </r>
    <r>
      <rPr>
        <sz val="12"/>
        <rFont val="Times New Roman"/>
        <family val="1"/>
        <charset val="204"/>
      </rPr>
      <t> </t>
    </r>
  </si>
  <si>
    <r>
      <t>21.</t>
    </r>
    <r>
      <rPr>
        <sz val="7"/>
        <rFont val="Times New Roman"/>
        <family val="1"/>
        <charset val="204"/>
      </rPr>
      <t xml:space="preserve">  </t>
    </r>
    <r>
      <rPr>
        <sz val="12"/>
        <rFont val="Times New Roman"/>
        <family val="1"/>
        <charset val="204"/>
      </rPr>
      <t> </t>
    </r>
  </si>
  <si>
    <r>
      <t>«</t>
    </r>
    <r>
      <rPr>
        <u/>
        <sz val="12"/>
        <rFont val="Times New Roman"/>
        <family val="1"/>
        <charset val="204"/>
      </rPr>
      <t>27</t>
    </r>
    <r>
      <rPr>
        <sz val="12"/>
        <rFont val="Times New Roman"/>
        <family val="1"/>
        <charset val="204"/>
      </rPr>
      <t>» января 2022г.  подпись____________Л.В. Зайцева</t>
    </r>
  </si>
  <si>
    <t>Показатель перевыполнен (2402 чел. от 3287 чел. по демографии)</t>
  </si>
  <si>
    <t>Показатель перевыполнен (1896 чел. из 8737 чел.)</t>
  </si>
  <si>
    <t>Показатель перевыполнен за счет увеличения количества педагогических работников, прошедших повышение квалификации в центрах непрерывного повышения квалификации. Показатель является целевым согласно Паспорту национального проекта "Образование".</t>
  </si>
  <si>
    <t>Показатель перевыполнен за счет  увеличения детей и молодежи, вовлеченных в мероприятия, направленные на пропаганду здорового образа жизни (4859 чел. из 9509 чел.)</t>
  </si>
  <si>
    <t>Показатель не выполнен в связи со снижением фактической численности детей по организации выездного отдыха за счет средств субвенции по причине распространения коронавирусной инфекции (7428 чел. от 7650 чел.)</t>
  </si>
  <si>
    <t xml:space="preserve">Показатель перевыполнен ввиду увеличения количества организаций, предоставляющих услуги в сфере образования ("Успех" - 15, "Духовное просвещение" - 160, "Киберван" - 0). Итого 175 из 5344 человек.  </t>
  </si>
  <si>
    <t>Показатель перевыполнен за счет  увеличения детей и молодежи, участвующих в творческих проектах и мероприятиях (6900 чел. из 9509 чел.). Показатель является целевым согласно Паспорту регионального проекта "Социальная активность" национального проекта "Образование"</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</si>
</sst>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р_._-;\-* #,##0.00_р_._-;_-* &quot;-&quot;??_р_._-;_-@_-"/>
    <numFmt numFmtId="164" formatCode="_-* #,##0.0_р_._-;\-* #,##0.0_р_._-;_-* &quot;-&quot;??_р_._-;_-@_-"/>
    <numFmt numFmtId="165" formatCode="_-* #,##0.0_р_._-;\-* #,##0.0_р_._-;_-* &quot;-&quot;?_р_._-;_-@_-"/>
    <numFmt numFmtId="166" formatCode="_-* #,##0.000_р_._-;\-* #,##0.000_р_._-;_-* &quot;-&quot;??_р_._-;_-@_-"/>
    <numFmt numFmtId="167" formatCode="_-* #,##0.000_р_._-;\-* #,##0.000_р_._-;_-* &quot;-&quot;?_р_._-;_-@_-"/>
    <numFmt numFmtId="168" formatCode="_(* #,##0.00_);_(* \(#,##0.00\);_(* &quot;-&quot;??_);_(@_)"/>
    <numFmt numFmtId="169" formatCode="0.0%"/>
    <numFmt numFmtId="170" formatCode="_-* #,##0.00000_р_._-;\-* #,##0.00000_р_._-;_-* &quot;-&quot;?_р_._-;_-@_-"/>
    <numFmt numFmtId="171" formatCode="_-* #,##0.000000_р_._-;\-* #,##0.000000_р_._-;_-* &quot;-&quot;?_р_._-;_-@_-"/>
    <numFmt numFmtId="172" formatCode="_-* #,##0.00000_р_._-;\-* #,##0.00000_р_._-;_-* &quot;-&quot;??_р_._-;_-@_-"/>
    <numFmt numFmtId="173" formatCode="_-* #,##0.00000_р_._-;\-* #,##0.00000_р_._-;_-* &quot;-&quot;???_р_._-;_-@_-"/>
    <numFmt numFmtId="174" formatCode="_-* #,##0.0000_р_._-;\-* #,##0.0000_р_._-;_-* &quot;-&quot;??_р_._-;_-@_-"/>
    <numFmt numFmtId="175" formatCode="0.0"/>
  </numFmts>
  <fonts count="21" x14ac:knownFonts="1">
    <font>
      <sz val="11"/>
      <color theme="1"/>
      <name val="Calibri"/>
      <charset val="204"/>
      <scheme val="minor"/>
    </font>
    <font>
      <sz val="11"/>
      <name val="Calibri"/>
      <family val="2"/>
      <charset val="204"/>
      <scheme val="minor"/>
    </font>
    <font>
      <sz val="9"/>
      <name val="Times New Roman"/>
      <family val="1"/>
      <charset val="204"/>
    </font>
    <font>
      <sz val="8"/>
      <name val="Times New Roman"/>
      <family val="1"/>
      <charset val="204"/>
    </font>
    <font>
      <sz val="11"/>
      <color theme="1"/>
      <name val="Calibri"/>
      <family val="2"/>
      <charset val="204"/>
      <scheme val="minor"/>
    </font>
    <font>
      <sz val="10"/>
      <name val="Times New Roman"/>
      <family val="1"/>
      <charset val="204"/>
    </font>
    <font>
      <sz val="12"/>
      <name val="Times New Roman"/>
      <family val="1"/>
      <charset val="204"/>
    </font>
    <font>
      <sz val="11"/>
      <name val="Times New Roman"/>
      <family val="1"/>
      <charset val="204"/>
    </font>
    <font>
      <sz val="10"/>
      <name val="Arial"/>
      <family val="2"/>
      <charset val="204"/>
    </font>
    <font>
      <sz val="11"/>
      <color theme="1"/>
      <name val="Calibri"/>
      <family val="2"/>
      <charset val="204"/>
      <scheme val="minor"/>
    </font>
    <font>
      <b/>
      <sz val="8"/>
      <name val="Times New Roman"/>
      <family val="1"/>
      <charset val="204"/>
    </font>
    <font>
      <b/>
      <sz val="9"/>
      <name val="Times New Roman"/>
      <family val="1"/>
      <charset val="204"/>
    </font>
    <font>
      <b/>
      <sz val="11"/>
      <name val="Times New Roman"/>
      <family val="1"/>
      <charset val="204"/>
    </font>
    <font>
      <b/>
      <sz val="10"/>
      <name val="Times New Roman"/>
      <family val="1"/>
      <charset val="204"/>
    </font>
    <font>
      <b/>
      <sz val="12"/>
      <name val="Times New Roman"/>
      <family val="1"/>
      <charset val="204"/>
    </font>
    <font>
      <sz val="10"/>
      <name val="Calibri"/>
      <family val="2"/>
      <charset val="204"/>
      <scheme val="minor"/>
    </font>
    <font>
      <b/>
      <sz val="10"/>
      <name val="Calibri"/>
      <family val="2"/>
      <charset val="204"/>
      <scheme val="minor"/>
    </font>
    <font>
      <sz val="9"/>
      <color indexed="81"/>
      <name val="Tahoma"/>
      <family val="2"/>
      <charset val="204"/>
    </font>
    <font>
      <b/>
      <sz val="9"/>
      <color indexed="81"/>
      <name val="Tahoma"/>
      <family val="2"/>
      <charset val="204"/>
    </font>
    <font>
      <sz val="7"/>
      <name val="Times New Roman"/>
      <family val="1"/>
      <charset val="204"/>
    </font>
    <font>
      <u/>
      <sz val="12"/>
      <name val="Times New Roman"/>
      <family val="1"/>
      <charset val="204"/>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medium">
        <color indexed="64"/>
      </top>
      <bottom/>
      <diagonal/>
    </border>
    <border>
      <left style="thin">
        <color auto="1"/>
      </left>
      <right style="thin">
        <color auto="1"/>
      </right>
      <top/>
      <bottom style="medium">
        <color indexed="64"/>
      </bottom>
      <diagonal/>
    </border>
  </borders>
  <cellStyleXfs count="4">
    <xf numFmtId="0" fontId="0" fillId="0" borderId="0"/>
    <xf numFmtId="43" fontId="4" fillId="0" borderId="0" applyFont="0" applyFill="0" applyBorder="0" applyAlignment="0" applyProtection="0"/>
    <xf numFmtId="168" fontId="8" fillId="0" borderId="0" applyFont="0" applyFill="0" applyBorder="0" applyAlignment="0" applyProtection="0"/>
    <xf numFmtId="9" fontId="9" fillId="0" borderId="0" applyFont="0" applyFill="0" applyBorder="0" applyAlignment="0" applyProtection="0"/>
  </cellStyleXfs>
  <cellXfs count="175">
    <xf numFmtId="0" fontId="0" fillId="0" borderId="0" xfId="0"/>
    <xf numFmtId="166" fontId="6" fillId="2" borderId="0" xfId="1" applyNumberFormat="1" applyFont="1" applyFill="1" applyBorder="1" applyAlignment="1">
      <alignment vertical="center" wrapText="1"/>
    </xf>
    <xf numFmtId="166" fontId="6" fillId="2" borderId="0" xfId="1" applyNumberFormat="1" applyFont="1" applyFill="1" applyAlignment="1">
      <alignment vertical="center"/>
    </xf>
    <xf numFmtId="166" fontId="6" fillId="2" borderId="0" xfId="1" applyNumberFormat="1" applyFont="1" applyFill="1" applyAlignment="1">
      <alignment horizontal="left" vertical="center"/>
    </xf>
    <xf numFmtId="166" fontId="6" fillId="2" borderId="0" xfId="1" applyNumberFormat="1" applyFont="1" applyFill="1" applyBorder="1" applyAlignment="1">
      <alignment vertical="center"/>
    </xf>
    <xf numFmtId="166" fontId="6" fillId="2" borderId="0" xfId="1" applyNumberFormat="1" applyFont="1" applyFill="1" applyBorder="1" applyAlignment="1">
      <alignment horizontal="right" vertical="center"/>
    </xf>
    <xf numFmtId="166" fontId="7" fillId="2" borderId="0" xfId="1" applyNumberFormat="1" applyFont="1" applyFill="1" applyBorder="1" applyAlignment="1">
      <alignment vertical="center" wrapText="1"/>
    </xf>
    <xf numFmtId="0" fontId="7" fillId="2" borderId="0" xfId="0" applyFont="1" applyFill="1" applyBorder="1" applyAlignment="1">
      <alignment vertical="center"/>
    </xf>
    <xf numFmtId="0" fontId="6" fillId="2" borderId="0" xfId="0" applyFont="1" applyFill="1" applyBorder="1" applyAlignment="1">
      <alignment vertical="center"/>
    </xf>
    <xf numFmtId="166" fontId="6" fillId="2" borderId="0" xfId="0" applyNumberFormat="1" applyFont="1" applyFill="1" applyBorder="1" applyAlignment="1">
      <alignment vertical="center"/>
    </xf>
    <xf numFmtId="166" fontId="7" fillId="2" borderId="0" xfId="1" applyNumberFormat="1" applyFont="1" applyFill="1" applyBorder="1" applyAlignment="1">
      <alignment vertical="center"/>
    </xf>
    <xf numFmtId="166" fontId="6" fillId="2" borderId="0" xfId="1" applyNumberFormat="1" applyFont="1" applyFill="1" applyAlignment="1">
      <alignment horizontal="right" vertical="center"/>
    </xf>
    <xf numFmtId="166" fontId="7" fillId="2" borderId="0" xfId="1" applyNumberFormat="1" applyFont="1" applyFill="1" applyAlignment="1">
      <alignment vertical="center"/>
    </xf>
    <xf numFmtId="0" fontId="5" fillId="2" borderId="0" xfId="0" applyFont="1" applyFill="1" applyBorder="1" applyAlignment="1">
      <alignment vertical="center"/>
    </xf>
    <xf numFmtId="166" fontId="2" fillId="2" borderId="0" xfId="1" applyNumberFormat="1" applyFont="1" applyFill="1" applyAlignment="1">
      <alignment horizontal="left"/>
    </xf>
    <xf numFmtId="166" fontId="2" fillId="2" borderId="0" xfId="1" applyNumberFormat="1" applyFont="1" applyFill="1" applyBorder="1" applyAlignment="1">
      <alignment horizontal="left" vertical="center"/>
    </xf>
    <xf numFmtId="166" fontId="2" fillId="2" borderId="0" xfId="1" applyNumberFormat="1" applyFont="1" applyFill="1" applyAlignment="1">
      <alignment horizontal="right" vertical="center"/>
    </xf>
    <xf numFmtId="166" fontId="5" fillId="2" borderId="0" xfId="1" applyNumberFormat="1" applyFont="1" applyFill="1" applyAlignment="1">
      <alignment horizontal="right" vertical="center"/>
    </xf>
    <xf numFmtId="164" fontId="2" fillId="2" borderId="0" xfId="1" applyNumberFormat="1" applyFont="1" applyFill="1" applyAlignment="1">
      <alignment horizontal="right" vertical="center"/>
    </xf>
    <xf numFmtId="164" fontId="3" fillId="2" borderId="0" xfId="1" applyNumberFormat="1" applyFont="1" applyFill="1" applyAlignment="1">
      <alignment vertical="center"/>
    </xf>
    <xf numFmtId="164" fontId="2" fillId="2" borderId="0" xfId="1" applyNumberFormat="1" applyFont="1" applyFill="1" applyAlignment="1">
      <alignment vertical="center"/>
    </xf>
    <xf numFmtId="166" fontId="5" fillId="2" borderId="0" xfId="1" applyNumberFormat="1" applyFont="1" applyFill="1" applyBorder="1" applyAlignment="1">
      <alignment horizontal="left" vertical="center" wrapText="1"/>
    </xf>
    <xf numFmtId="169" fontId="3" fillId="2" borderId="1" xfId="3" applyNumberFormat="1" applyFont="1" applyFill="1" applyBorder="1" applyAlignment="1">
      <alignment horizontal="center" vertical="top" wrapText="1"/>
    </xf>
    <xf numFmtId="169" fontId="10" fillId="2" borderId="1" xfId="3" applyNumberFormat="1" applyFont="1" applyFill="1" applyBorder="1" applyAlignment="1">
      <alignment horizontal="center" vertical="top" wrapText="1"/>
    </xf>
    <xf numFmtId="164" fontId="3" fillId="2" borderId="1" xfId="1" applyNumberFormat="1" applyFont="1" applyFill="1" applyBorder="1" applyAlignment="1">
      <alignment horizontal="center" vertical="top" wrapText="1"/>
    </xf>
    <xf numFmtId="164" fontId="3" fillId="2" borderId="1" xfId="1" applyNumberFormat="1" applyFont="1" applyFill="1" applyBorder="1" applyAlignment="1">
      <alignment horizontal="center" vertical="top"/>
    </xf>
    <xf numFmtId="164" fontId="10" fillId="2" borderId="1" xfId="1" applyNumberFormat="1" applyFont="1" applyFill="1" applyBorder="1" applyAlignment="1">
      <alignment horizontal="center" vertical="top"/>
    </xf>
    <xf numFmtId="0" fontId="1" fillId="2" borderId="0" xfId="0" applyFont="1" applyFill="1"/>
    <xf numFmtId="0" fontId="12" fillId="2" borderId="8" xfId="0" applyFont="1" applyFill="1" applyBorder="1" applyAlignment="1">
      <alignment horizontal="center"/>
    </xf>
    <xf numFmtId="164" fontId="11" fillId="2" borderId="8" xfId="0" applyNumberFormat="1" applyFont="1" applyFill="1" applyBorder="1" applyAlignment="1">
      <alignment horizontal="center"/>
    </xf>
    <xf numFmtId="0" fontId="13" fillId="2" borderId="8" xfId="0" applyFont="1" applyFill="1" applyBorder="1" applyAlignment="1">
      <alignment horizontal="center"/>
    </xf>
    <xf numFmtId="164" fontId="12" fillId="2" borderId="8" xfId="0" applyNumberFormat="1" applyFont="1" applyFill="1" applyBorder="1" applyAlignment="1">
      <alignment horizontal="center"/>
    </xf>
    <xf numFmtId="0" fontId="7" fillId="2" borderId="8" xfId="0" applyFont="1" applyFill="1" applyBorder="1" applyAlignment="1">
      <alignment horizontal="right"/>
    </xf>
    <xf numFmtId="0" fontId="7" fillId="2" borderId="0" xfId="0" applyFont="1" applyFill="1" applyBorder="1" applyAlignment="1">
      <alignment horizontal="right"/>
    </xf>
    <xf numFmtId="0" fontId="1" fillId="2" borderId="1" xfId="0" applyFont="1" applyFill="1" applyBorder="1"/>
    <xf numFmtId="0" fontId="14" fillId="2" borderId="1" xfId="0" applyFont="1" applyFill="1" applyBorder="1" applyAlignment="1">
      <alignment vertical="top"/>
    </xf>
    <xf numFmtId="0" fontId="2" fillId="2" borderId="1" xfId="0" applyFont="1" applyFill="1" applyBorder="1" applyAlignment="1">
      <alignment horizontal="justify" vertical="top" wrapText="1"/>
    </xf>
    <xf numFmtId="0" fontId="11" fillId="2" borderId="1" xfId="0" applyFont="1" applyFill="1" applyBorder="1" applyAlignment="1">
      <alignment horizontal="justify" vertical="top" wrapText="1"/>
    </xf>
    <xf numFmtId="164" fontId="10" fillId="2" borderId="1" xfId="1" applyNumberFormat="1" applyFont="1" applyFill="1" applyBorder="1" applyAlignment="1">
      <alignment horizontal="center" vertical="top" wrapText="1"/>
    </xf>
    <xf numFmtId="164" fontId="3" fillId="2" borderId="1" xfId="1" applyNumberFormat="1" applyFont="1" applyFill="1" applyBorder="1" applyAlignment="1">
      <alignment horizontal="justify" vertical="top" wrapText="1"/>
    </xf>
    <xf numFmtId="0" fontId="3" fillId="2" borderId="1" xfId="0" applyFont="1" applyFill="1" applyBorder="1" applyAlignment="1">
      <alignment horizontal="center" vertical="top" wrapText="1"/>
    </xf>
    <xf numFmtId="0" fontId="2" fillId="2" borderId="1" xfId="0" applyFont="1" applyFill="1" applyBorder="1" applyAlignment="1">
      <alignment wrapText="1"/>
    </xf>
    <xf numFmtId="14" fontId="2" fillId="2" borderId="1" xfId="0" applyNumberFormat="1" applyFont="1" applyFill="1" applyBorder="1" applyAlignment="1">
      <alignment horizontal="justify" vertical="top" wrapText="1"/>
    </xf>
    <xf numFmtId="164" fontId="2" fillId="2" borderId="1" xfId="1" applyNumberFormat="1" applyFont="1" applyFill="1" applyBorder="1" applyAlignment="1">
      <alignment horizontal="center" vertical="top" wrapText="1"/>
    </xf>
    <xf numFmtId="0" fontId="2" fillId="2" borderId="1" xfId="0" applyFont="1" applyFill="1" applyBorder="1" applyAlignment="1">
      <alignment horizontal="justify" vertical="top"/>
    </xf>
    <xf numFmtId="164" fontId="10" fillId="2" borderId="1" xfId="1" applyNumberFormat="1" applyFont="1" applyFill="1" applyBorder="1" applyAlignment="1">
      <alignment horizontal="justify" vertical="top" wrapText="1"/>
    </xf>
    <xf numFmtId="0" fontId="3" fillId="2" borderId="1" xfId="0" applyFont="1" applyFill="1" applyBorder="1" applyAlignment="1">
      <alignment horizontal="justify" vertical="top" wrapText="1"/>
    </xf>
    <xf numFmtId="0" fontId="10" fillId="2" borderId="1" xfId="0" applyFont="1" applyFill="1" applyBorder="1" applyAlignment="1">
      <alignment vertical="top"/>
    </xf>
    <xf numFmtId="164" fontId="11" fillId="2" borderId="1" xfId="1" applyNumberFormat="1" applyFont="1" applyFill="1" applyBorder="1" applyAlignment="1">
      <alignment horizontal="center" vertical="top" wrapText="1"/>
    </xf>
    <xf numFmtId="0" fontId="6" fillId="2" borderId="0" xfId="0" applyFont="1" applyFill="1" applyAlignment="1">
      <alignment horizontal="justify"/>
    </xf>
    <xf numFmtId="0" fontId="1" fillId="2" borderId="0" xfId="0" applyFont="1" applyFill="1" applyAlignment="1">
      <alignment horizontal="center"/>
    </xf>
    <xf numFmtId="165" fontId="11" fillId="2" borderId="8" xfId="0" applyNumberFormat="1" applyFont="1" applyFill="1" applyBorder="1" applyAlignment="1">
      <alignment horizontal="center"/>
    </xf>
    <xf numFmtId="173" fontId="1" fillId="2" borderId="0" xfId="0" applyNumberFormat="1" applyFont="1" applyFill="1"/>
    <xf numFmtId="174" fontId="11" fillId="2" borderId="8" xfId="0" applyNumberFormat="1"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center" wrapText="1"/>
    </xf>
    <xf numFmtId="165" fontId="1" fillId="2" borderId="1" xfId="0" applyNumberFormat="1" applyFont="1" applyFill="1" applyBorder="1"/>
    <xf numFmtId="164" fontId="10" fillId="2" borderId="1" xfId="1" applyNumberFormat="1" applyFont="1" applyFill="1" applyBorder="1" applyAlignment="1">
      <alignment horizontal="justify" vertical="top"/>
    </xf>
    <xf numFmtId="0" fontId="2" fillId="2" borderId="1" xfId="0" applyNumberFormat="1" applyFont="1" applyFill="1" applyBorder="1" applyAlignment="1">
      <alignment horizontal="left" vertical="top" wrapText="1"/>
    </xf>
    <xf numFmtId="164" fontId="1" fillId="2" borderId="0" xfId="0" applyNumberFormat="1" applyFont="1" applyFill="1"/>
    <xf numFmtId="43" fontId="3" fillId="2" borderId="1" xfId="1" applyFont="1" applyFill="1" applyBorder="1" applyAlignment="1">
      <alignment horizontal="center" vertical="top" wrapText="1"/>
    </xf>
    <xf numFmtId="172" fontId="3" fillId="2" borderId="1" xfId="1" applyNumberFormat="1" applyFont="1" applyFill="1" applyBorder="1" applyAlignment="1">
      <alignment horizontal="center" vertical="top" wrapText="1"/>
    </xf>
    <xf numFmtId="0" fontId="2" fillId="2" borderId="4" xfId="0" applyFont="1" applyFill="1" applyBorder="1" applyAlignment="1">
      <alignment vertical="top" wrapText="1"/>
    </xf>
    <xf numFmtId="0" fontId="1" fillId="2" borderId="0" xfId="0" applyFont="1" applyFill="1" applyBorder="1"/>
    <xf numFmtId="166" fontId="6" fillId="2" borderId="0" xfId="1" applyNumberFormat="1" applyFont="1" applyFill="1" applyAlignment="1"/>
    <xf numFmtId="166" fontId="6" fillId="2" borderId="8" xfId="1" applyNumberFormat="1" applyFont="1" applyFill="1" applyBorder="1" applyAlignment="1">
      <alignment horizontal="left"/>
    </xf>
    <xf numFmtId="0" fontId="6" fillId="2" borderId="8" xfId="0" applyFont="1" applyFill="1" applyBorder="1" applyAlignment="1"/>
    <xf numFmtId="166" fontId="6" fillId="2" borderId="8" xfId="0" applyNumberFormat="1" applyFont="1" applyFill="1" applyBorder="1" applyAlignment="1">
      <alignment horizontal="left"/>
    </xf>
    <xf numFmtId="166" fontId="6" fillId="2" borderId="0" xfId="0" applyNumberFormat="1" applyFont="1" applyFill="1" applyBorder="1" applyAlignment="1">
      <alignment horizontal="left"/>
    </xf>
    <xf numFmtId="166" fontId="6" fillId="2" borderId="0" xfId="1" applyNumberFormat="1" applyFont="1" applyFill="1" applyAlignment="1">
      <alignment horizontal="left"/>
    </xf>
    <xf numFmtId="166" fontId="6" fillId="2" borderId="0" xfId="1" applyNumberFormat="1" applyFont="1" applyFill="1" applyBorder="1" applyAlignment="1">
      <alignment horizontal="left"/>
    </xf>
    <xf numFmtId="0" fontId="6" fillId="2" borderId="0" xfId="0" applyFont="1" applyFill="1" applyBorder="1" applyAlignment="1"/>
    <xf numFmtId="166" fontId="6" fillId="2" borderId="0" xfId="1" applyNumberFormat="1" applyFont="1" applyFill="1" applyBorder="1" applyAlignment="1"/>
    <xf numFmtId="166" fontId="6" fillId="2" borderId="0" xfId="1" applyNumberFormat="1" applyFont="1" applyFill="1" applyAlignment="1">
      <alignment horizontal="right"/>
    </xf>
    <xf numFmtId="0" fontId="6" fillId="2" borderId="0" xfId="0" applyFont="1" applyFill="1"/>
    <xf numFmtId="0" fontId="6" fillId="2" borderId="0" xfId="0" applyFont="1" applyFill="1" applyAlignment="1">
      <alignment horizontal="right"/>
    </xf>
    <xf numFmtId="166" fontId="6" fillId="2" borderId="8" xfId="1" applyNumberFormat="1" applyFont="1" applyFill="1" applyBorder="1" applyAlignment="1">
      <alignment horizontal="left" vertical="center"/>
    </xf>
    <xf numFmtId="0" fontId="6" fillId="2" borderId="8" xfId="0" applyFont="1" applyFill="1" applyBorder="1" applyAlignment="1">
      <alignment vertical="center"/>
    </xf>
    <xf numFmtId="166" fontId="5" fillId="2" borderId="8" xfId="1" applyNumberFormat="1" applyFont="1" applyFill="1" applyBorder="1" applyAlignment="1">
      <alignment horizontal="left" vertical="center" wrapText="1"/>
    </xf>
    <xf numFmtId="174" fontId="3" fillId="2" borderId="1" xfId="1" applyNumberFormat="1" applyFont="1" applyFill="1" applyBorder="1" applyAlignment="1">
      <alignment horizontal="center" vertical="top" wrapText="1"/>
    </xf>
    <xf numFmtId="0" fontId="6" fillId="2" borderId="0" xfId="0" applyFont="1" applyFill="1" applyBorder="1"/>
    <xf numFmtId="165" fontId="2" fillId="2" borderId="1" xfId="0" applyNumberFormat="1" applyFont="1" applyFill="1" applyBorder="1" applyAlignment="1">
      <alignment horizontal="left" vertical="top" wrapText="1"/>
    </xf>
    <xf numFmtId="0" fontId="15" fillId="2" borderId="0" xfId="0" applyFont="1" applyFill="1"/>
    <xf numFmtId="167" fontId="15" fillId="2" borderId="0" xfId="0" applyNumberFormat="1" applyFont="1" applyFill="1"/>
    <xf numFmtId="167" fontId="16" fillId="2" borderId="0" xfId="0" applyNumberFormat="1" applyFont="1" applyFill="1"/>
    <xf numFmtId="170" fontId="15" fillId="2" borderId="0" xfId="0" applyNumberFormat="1" applyFont="1" applyFill="1"/>
    <xf numFmtId="171" fontId="15" fillId="2" borderId="0" xfId="0" applyNumberFormat="1" applyFont="1" applyFill="1"/>
    <xf numFmtId="166" fontId="6" fillId="2" borderId="0" xfId="1" applyNumberFormat="1" applyFont="1" applyFill="1" applyAlignment="1">
      <alignment wrapText="1"/>
    </xf>
    <xf numFmtId="0" fontId="2" fillId="2" borderId="1" xfId="0" applyFont="1" applyFill="1" applyBorder="1" applyAlignment="1">
      <alignment vertical="top" wrapText="1"/>
    </xf>
    <xf numFmtId="0" fontId="12" fillId="2" borderId="0" xfId="0" applyFont="1" applyFill="1" applyBorder="1" applyAlignment="1">
      <alignment horizontal="center"/>
    </xf>
    <xf numFmtId="0" fontId="2" fillId="2" borderId="1"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1" xfId="0" applyFont="1" applyFill="1" applyBorder="1" applyAlignment="1">
      <alignment horizontal="left" vertical="top"/>
    </xf>
    <xf numFmtId="166" fontId="2" fillId="2" borderId="0" xfId="1" applyNumberFormat="1" applyFont="1" applyFill="1" applyBorder="1" applyAlignment="1">
      <alignment horizontal="left" vertical="center" wrapText="1"/>
    </xf>
    <xf numFmtId="165" fontId="12" fillId="2" borderId="0" xfId="0" applyNumberFormat="1" applyFont="1" applyFill="1" applyBorder="1" applyAlignment="1">
      <alignment horizontal="center"/>
    </xf>
    <xf numFmtId="164" fontId="12" fillId="2" borderId="0" xfId="0" applyNumberFormat="1" applyFont="1" applyFill="1" applyBorder="1" applyAlignment="1">
      <alignment horizontal="center"/>
    </xf>
    <xf numFmtId="164" fontId="13" fillId="2" borderId="0" xfId="0" applyNumberFormat="1" applyFont="1" applyFill="1" applyBorder="1" applyAlignment="1">
      <alignment horizontal="center"/>
    </xf>
    <xf numFmtId="165" fontId="12" fillId="2" borderId="8" xfId="0" applyNumberFormat="1" applyFont="1" applyFill="1" applyBorder="1" applyAlignment="1">
      <alignment horizontal="center"/>
    </xf>
    <xf numFmtId="0" fontId="2" fillId="2" borderId="0" xfId="0" applyFont="1" applyFill="1" applyBorder="1" applyAlignment="1">
      <alignment horizontal="center" vertical="center" wrapText="1"/>
    </xf>
    <xf numFmtId="0" fontId="14" fillId="2" borderId="1" xfId="0" applyFont="1" applyFill="1" applyBorder="1" applyAlignment="1">
      <alignment vertical="top" wrapText="1"/>
    </xf>
    <xf numFmtId="9" fontId="1" fillId="2" borderId="0" xfId="3" applyFont="1" applyFill="1" applyBorder="1"/>
    <xf numFmtId="166" fontId="3" fillId="2" borderId="1" xfId="1" applyNumberFormat="1" applyFont="1" applyFill="1" applyBorder="1" applyAlignment="1">
      <alignment horizontal="center" vertical="top" wrapText="1"/>
    </xf>
    <xf numFmtId="9" fontId="1" fillId="2" borderId="0" xfId="3" applyNumberFormat="1" applyFont="1" applyFill="1" applyBorder="1"/>
    <xf numFmtId="0" fontId="10" fillId="2" borderId="1" xfId="0" applyFont="1" applyFill="1" applyBorder="1" applyAlignment="1">
      <alignment vertical="top" wrapText="1"/>
    </xf>
    <xf numFmtId="164" fontId="1" fillId="2" borderId="0" xfId="0" applyNumberFormat="1" applyFont="1" applyFill="1" applyBorder="1"/>
    <xf numFmtId="164" fontId="15" fillId="2" borderId="0" xfId="0" applyNumberFormat="1" applyFont="1" applyFill="1"/>
    <xf numFmtId="0" fontId="2" fillId="0" borderId="1" xfId="0" applyFont="1" applyFill="1" applyBorder="1" applyAlignment="1">
      <alignment horizontal="left" vertical="top" wrapText="1"/>
    </xf>
    <xf numFmtId="175" fontId="6" fillId="2" borderId="1" xfId="0" applyNumberFormat="1" applyFont="1" applyFill="1" applyBorder="1" applyAlignment="1">
      <alignment horizontal="center" vertical="top" wrapText="1"/>
    </xf>
    <xf numFmtId="0" fontId="6" fillId="2" borderId="1" xfId="0" applyFont="1" applyFill="1" applyBorder="1" applyAlignment="1">
      <alignment horizontal="center" vertical="top" wrapText="1"/>
    </xf>
    <xf numFmtId="0" fontId="6" fillId="2" borderId="1" xfId="0" applyFont="1" applyFill="1" applyBorder="1" applyAlignment="1">
      <alignment vertical="top" wrapText="1"/>
    </xf>
    <xf numFmtId="0" fontId="6" fillId="2" borderId="1" xfId="0" applyFont="1" applyFill="1" applyBorder="1" applyAlignment="1">
      <alignment horizontal="center" vertical="top"/>
    </xf>
    <xf numFmtId="0" fontId="6" fillId="2" borderId="1" xfId="0" applyFont="1" applyFill="1" applyBorder="1" applyAlignment="1">
      <alignment horizontal="justify" vertical="top" wrapText="1"/>
    </xf>
    <xf numFmtId="0" fontId="6" fillId="2" borderId="0" xfId="0" applyFont="1" applyFill="1" applyAlignment="1">
      <alignment horizontal="center"/>
    </xf>
    <xf numFmtId="0" fontId="5" fillId="2" borderId="1" xfId="0" applyFont="1" applyFill="1" applyBorder="1" applyAlignment="1">
      <alignment horizontal="center" vertical="top" wrapText="1"/>
    </xf>
    <xf numFmtId="0" fontId="6" fillId="2" borderId="2" xfId="0" applyFont="1" applyFill="1" applyBorder="1" applyAlignment="1">
      <alignment horizontal="center" vertical="top"/>
    </xf>
    <xf numFmtId="0" fontId="6" fillId="2" borderId="2" xfId="0" applyFont="1" applyFill="1" applyBorder="1" applyAlignment="1">
      <alignment horizontal="justify" vertical="top" wrapText="1"/>
    </xf>
    <xf numFmtId="0" fontId="6" fillId="2" borderId="2" xfId="0" applyFont="1" applyFill="1" applyBorder="1" applyAlignment="1">
      <alignment horizontal="center" vertical="top" wrapText="1"/>
    </xf>
    <xf numFmtId="0" fontId="6" fillId="2" borderId="0" xfId="0" applyFont="1" applyFill="1" applyAlignment="1">
      <alignment horizontal="left"/>
    </xf>
    <xf numFmtId="0" fontId="6" fillId="2" borderId="0" xfId="0" applyFont="1" applyFill="1" applyAlignment="1">
      <alignment horizontal="left" vertical="top"/>
    </xf>
    <xf numFmtId="0" fontId="7" fillId="2" borderId="0" xfId="0" applyFont="1" applyFill="1" applyAlignment="1">
      <alignment horizontal="justify"/>
    </xf>
    <xf numFmtId="0" fontId="7" fillId="2" borderId="0" xfId="0" applyFont="1" applyFill="1" applyAlignment="1">
      <alignment horizontal="left"/>
    </xf>
    <xf numFmtId="175" fontId="6" fillId="2" borderId="2" xfId="0" applyNumberFormat="1" applyFont="1" applyFill="1" applyBorder="1" applyAlignment="1">
      <alignment horizontal="center" vertical="top" wrapText="1"/>
    </xf>
    <xf numFmtId="175" fontId="6" fillId="2" borderId="1" xfId="0" applyNumberFormat="1" applyFont="1" applyFill="1" applyBorder="1" applyAlignment="1">
      <alignment horizontal="center" vertical="top"/>
    </xf>
    <xf numFmtId="0" fontId="2" fillId="2" borderId="2" xfId="0" applyFont="1" applyFill="1" applyBorder="1" applyAlignment="1">
      <alignment horizontal="left" vertical="top" wrapText="1"/>
    </xf>
    <xf numFmtId="0" fontId="2" fillId="2" borderId="4"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2" borderId="10" xfId="0" applyFont="1" applyFill="1" applyBorder="1" applyAlignment="1">
      <alignment horizontal="left" vertical="top" wrapText="1"/>
    </xf>
    <xf numFmtId="0" fontId="10" fillId="2" borderId="11" xfId="0" applyFont="1" applyFill="1" applyBorder="1" applyAlignment="1">
      <alignment horizontal="left" vertical="top" wrapText="1"/>
    </xf>
    <xf numFmtId="0" fontId="10" fillId="2" borderId="12"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13" xfId="0" applyFont="1" applyFill="1" applyBorder="1" applyAlignment="1">
      <alignment horizontal="left" vertical="top" wrapText="1"/>
    </xf>
    <xf numFmtId="0" fontId="10" fillId="2" borderId="14"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2" borderId="15" xfId="0" applyFont="1" applyFill="1" applyBorder="1" applyAlignment="1">
      <alignment horizontal="left" vertical="top" wrapText="1"/>
    </xf>
    <xf numFmtId="0" fontId="10" fillId="2" borderId="5"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7" xfId="0" applyFont="1" applyFill="1" applyBorder="1" applyAlignment="1">
      <alignment horizontal="left" vertical="top" wrapText="1"/>
    </xf>
    <xf numFmtId="0" fontId="10" fillId="2" borderId="1" xfId="0" applyFont="1" applyFill="1" applyBorder="1" applyAlignment="1">
      <alignment horizontal="left" vertical="top" wrapText="1"/>
    </xf>
    <xf numFmtId="166" fontId="2" fillId="2" borderId="0" xfId="1" applyNumberFormat="1" applyFont="1" applyFill="1" applyBorder="1" applyAlignment="1">
      <alignment horizontal="left" vertical="center" wrapText="1"/>
    </xf>
    <xf numFmtId="0" fontId="3"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2" fillId="2" borderId="3" xfId="0" applyFont="1" applyFill="1" applyBorder="1" applyAlignment="1">
      <alignment horizontal="left" vertical="top" wrapText="1"/>
    </xf>
    <xf numFmtId="0" fontId="2" fillId="2" borderId="1" xfId="0" applyFont="1" applyFill="1" applyBorder="1" applyAlignment="1">
      <alignment horizontal="center" vertical="top"/>
    </xf>
    <xf numFmtId="0" fontId="11" fillId="2" borderId="1" xfId="0" applyFont="1" applyFill="1" applyBorder="1" applyAlignment="1">
      <alignment horizontal="left" vertical="top"/>
    </xf>
    <xf numFmtId="0" fontId="2" fillId="2" borderId="1" xfId="0" applyFont="1" applyFill="1" applyBorder="1" applyAlignment="1">
      <alignment horizontal="left" vertical="top"/>
    </xf>
    <xf numFmtId="0" fontId="11" fillId="2" borderId="1" xfId="0" applyFont="1" applyFill="1" applyBorder="1" applyAlignment="1">
      <alignment horizontal="left" vertical="top" wrapText="1"/>
    </xf>
    <xf numFmtId="0" fontId="2" fillId="2" borderId="16" xfId="0" applyFont="1" applyFill="1" applyBorder="1" applyAlignment="1">
      <alignment horizontal="left" vertical="top" wrapText="1"/>
    </xf>
    <xf numFmtId="0" fontId="2" fillId="2" borderId="17" xfId="0" applyFont="1" applyFill="1" applyBorder="1" applyAlignment="1">
      <alignment horizontal="left" vertical="top" wrapText="1"/>
    </xf>
    <xf numFmtId="14" fontId="2" fillId="2" borderId="1" xfId="0" applyNumberFormat="1" applyFont="1" applyFill="1" applyBorder="1" applyAlignment="1">
      <alignment horizontal="left" vertical="top" wrapText="1"/>
    </xf>
    <xf numFmtId="0" fontId="11" fillId="2" borderId="9" xfId="0" applyFont="1" applyFill="1" applyBorder="1" applyAlignment="1">
      <alignment horizontal="left" vertical="top" wrapText="1"/>
    </xf>
    <xf numFmtId="0" fontId="11" fillId="2" borderId="10" xfId="0" applyFont="1" applyFill="1" applyBorder="1" applyAlignment="1">
      <alignment horizontal="left" vertical="top" wrapText="1"/>
    </xf>
    <xf numFmtId="0" fontId="11" fillId="2" borderId="11" xfId="0" applyFont="1" applyFill="1" applyBorder="1" applyAlignment="1">
      <alignment horizontal="left" vertical="top" wrapText="1"/>
    </xf>
    <xf numFmtId="0" fontId="11" fillId="2" borderId="12"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13" xfId="0" applyFont="1" applyFill="1" applyBorder="1" applyAlignment="1">
      <alignment horizontal="left" vertical="top" wrapText="1"/>
    </xf>
    <xf numFmtId="0" fontId="11" fillId="2" borderId="14" xfId="0" applyFont="1" applyFill="1" applyBorder="1" applyAlignment="1">
      <alignment horizontal="left" vertical="top" wrapText="1"/>
    </xf>
    <xf numFmtId="0" fontId="11" fillId="2" borderId="8" xfId="0" applyFont="1" applyFill="1" applyBorder="1" applyAlignment="1">
      <alignment horizontal="left" vertical="top" wrapText="1"/>
    </xf>
    <xf numFmtId="0" fontId="11" fillId="2" borderId="15" xfId="0" applyFont="1" applyFill="1" applyBorder="1" applyAlignment="1">
      <alignment horizontal="left" vertical="top" wrapText="1"/>
    </xf>
    <xf numFmtId="16" fontId="2" fillId="2" borderId="1" xfId="0" applyNumberFormat="1" applyFont="1" applyFill="1" applyBorder="1" applyAlignment="1">
      <alignment horizontal="left" vertical="top" wrapText="1"/>
    </xf>
    <xf numFmtId="0" fontId="12" fillId="2" borderId="0" xfId="0" applyFont="1" applyFill="1" applyBorder="1" applyAlignment="1">
      <alignment horizontal="center"/>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6" fillId="2" borderId="0" xfId="0" applyFont="1" applyFill="1" applyAlignment="1">
      <alignment horizontal="right" vertical="top"/>
    </xf>
    <xf numFmtId="0" fontId="6" fillId="2" borderId="0" xfId="0" applyFont="1" applyFill="1" applyAlignment="1">
      <alignment horizontal="center"/>
    </xf>
    <xf numFmtId="0" fontId="6" fillId="2" borderId="2"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1" xfId="0" applyFont="1" applyFill="1" applyBorder="1" applyAlignment="1">
      <alignment horizontal="center" vertical="top" wrapText="1"/>
    </xf>
  </cellXfs>
  <cellStyles count="4">
    <cellStyle name="Обычный" xfId="0" builtinId="0"/>
    <cellStyle name="Процентный" xfId="3" builtinId="5"/>
    <cellStyle name="Финансовый" xfId="1" builtinId="3"/>
    <cellStyle name="Финансовый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pageSetUpPr fitToPage="1"/>
  </sheetPr>
  <dimension ref="A1:BU313"/>
  <sheetViews>
    <sheetView tabSelected="1" zoomScaleNormal="100" zoomScaleSheetLayoutView="80" workbookViewId="0">
      <pane xSplit="7" ySplit="7" topLeftCell="H8" activePane="bottomRight" state="frozen"/>
      <selection pane="topRight" activeCell="H1" sqref="H1"/>
      <selection pane="bottomLeft" activeCell="A8" sqref="A8"/>
      <selection pane="bottomRight" activeCell="AR126" sqref="AR126"/>
    </sheetView>
  </sheetViews>
  <sheetFormatPr defaultColWidth="9.109375" defaultRowHeight="14.4" x14ac:dyDescent="0.3"/>
  <cols>
    <col min="1" max="1" width="4.5546875" style="27" customWidth="1"/>
    <col min="2" max="2" width="42.6640625" style="27" customWidth="1"/>
    <col min="3" max="3" width="24.88671875" style="27" customWidth="1"/>
    <col min="4" max="4" width="23.33203125" style="27" customWidth="1"/>
    <col min="5" max="6" width="9.21875" style="27" customWidth="1"/>
    <col min="7" max="7" width="6.77734375" style="27" customWidth="1"/>
    <col min="8" max="9" width="7.21875" style="27" customWidth="1"/>
    <col min="10" max="10" width="7.109375" style="27" customWidth="1"/>
    <col min="11" max="11" width="8.6640625" style="27" customWidth="1"/>
    <col min="12" max="12" width="8.109375" style="27" customWidth="1"/>
    <col min="13" max="13" width="7.109375" style="27" customWidth="1"/>
    <col min="14" max="14" width="8" style="27" customWidth="1"/>
    <col min="15" max="15" width="8.21875" style="27" customWidth="1"/>
    <col min="16" max="16" width="6.88671875" style="27" customWidth="1"/>
    <col min="17" max="17" width="8.33203125" style="27" customWidth="1"/>
    <col min="18" max="18" width="8.109375" style="27" customWidth="1"/>
    <col min="19" max="19" width="6.6640625" style="27" customWidth="1"/>
    <col min="20" max="21" width="8" style="27" customWidth="1"/>
    <col min="22" max="22" width="7.109375" style="27" customWidth="1"/>
    <col min="23" max="23" width="8.109375" style="27" customWidth="1"/>
    <col min="24" max="24" width="8" style="27" customWidth="1"/>
    <col min="25" max="25" width="6.77734375" style="27" customWidth="1"/>
    <col min="26" max="26" width="8.21875" style="27" customWidth="1"/>
    <col min="27" max="27" width="8" style="27" customWidth="1"/>
    <col min="28" max="28" width="6.88671875" style="27" customWidth="1"/>
    <col min="29" max="30" width="7.44140625" style="27" customWidth="1"/>
    <col min="31" max="31" width="7" style="27" customWidth="1"/>
    <col min="32" max="32" width="7.6640625" style="27" customWidth="1"/>
    <col min="33" max="33" width="7.5546875" style="27" customWidth="1"/>
    <col min="34" max="34" width="6.44140625" style="27" customWidth="1"/>
    <col min="35" max="35" width="8" style="27" customWidth="1"/>
    <col min="36" max="36" width="8.21875" style="27" customWidth="1"/>
    <col min="37" max="37" width="6.6640625" style="27" customWidth="1"/>
    <col min="38" max="38" width="8.109375" style="27" customWidth="1"/>
    <col min="39" max="39" width="8" style="27" customWidth="1"/>
    <col min="40" max="40" width="6.6640625" style="27" customWidth="1"/>
    <col min="41" max="41" width="8" style="27" customWidth="1"/>
    <col min="42" max="42" width="8.44140625" style="27" customWidth="1"/>
    <col min="43" max="43" width="7" style="27" customWidth="1"/>
    <col min="44" max="44" width="24.44140625" style="27" customWidth="1"/>
    <col min="45" max="45" width="33" style="27" customWidth="1"/>
    <col min="46" max="46" width="6" style="27" hidden="1" customWidth="1"/>
    <col min="47" max="50" width="15.33203125" style="27" hidden="1" customWidth="1"/>
    <col min="51" max="16384" width="9.109375" style="27"/>
  </cols>
  <sheetData>
    <row r="1" spans="1:50" x14ac:dyDescent="0.3">
      <c r="A1" s="162" t="s">
        <v>202</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89"/>
    </row>
    <row r="2" spans="1:50" x14ac:dyDescent="0.3">
      <c r="A2" s="89"/>
      <c r="B2" s="89"/>
      <c r="C2" s="94"/>
      <c r="D2" s="95"/>
      <c r="E2" s="94"/>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96"/>
      <c r="AM2" s="89"/>
      <c r="AN2" s="89"/>
      <c r="AO2" s="89"/>
      <c r="AP2" s="89"/>
      <c r="AQ2" s="89"/>
      <c r="AR2" s="89"/>
      <c r="AS2" s="89"/>
      <c r="AT2" s="89"/>
    </row>
    <row r="3" spans="1:50" x14ac:dyDescent="0.3">
      <c r="A3" s="162" t="s">
        <v>5</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89"/>
    </row>
    <row r="4" spans="1:50" x14ac:dyDescent="0.3">
      <c r="A4" s="28"/>
      <c r="B4" s="28"/>
      <c r="C4" s="28"/>
      <c r="D4" s="28"/>
      <c r="E4" s="29"/>
      <c r="F4" s="53"/>
      <c r="G4" s="29"/>
      <c r="H4" s="30"/>
      <c r="I4" s="30"/>
      <c r="J4" s="30"/>
      <c r="K4" s="31"/>
      <c r="L4" s="31"/>
      <c r="M4" s="31"/>
      <c r="N4" s="28"/>
      <c r="O4" s="28"/>
      <c r="P4" s="28"/>
      <c r="Q4" s="29"/>
      <c r="R4" s="29"/>
      <c r="S4" s="97"/>
      <c r="T4" s="28"/>
      <c r="U4" s="28"/>
      <c r="V4" s="28"/>
      <c r="W4" s="51"/>
      <c r="X4" s="28"/>
      <c r="Y4" s="28"/>
      <c r="Z4" s="28"/>
      <c r="AA4" s="28"/>
      <c r="AB4" s="28"/>
      <c r="AC4" s="28"/>
      <c r="AD4" s="28"/>
      <c r="AE4" s="28"/>
      <c r="AF4" s="28"/>
      <c r="AG4" s="28"/>
      <c r="AH4" s="28"/>
      <c r="AI4" s="28"/>
      <c r="AJ4" s="28"/>
      <c r="AK4" s="28"/>
      <c r="AL4" s="28"/>
      <c r="AM4" s="28"/>
      <c r="AN4" s="28"/>
      <c r="AO4" s="32"/>
      <c r="AP4" s="33"/>
      <c r="AQ4" s="33"/>
      <c r="AU4" s="52"/>
    </row>
    <row r="5" spans="1:50" ht="15" customHeight="1" x14ac:dyDescent="0.3">
      <c r="A5" s="163" t="s">
        <v>116</v>
      </c>
      <c r="B5" s="163" t="s">
        <v>151</v>
      </c>
      <c r="C5" s="163" t="s">
        <v>152</v>
      </c>
      <c r="D5" s="163" t="s">
        <v>0</v>
      </c>
      <c r="E5" s="163" t="s">
        <v>153</v>
      </c>
      <c r="F5" s="163"/>
      <c r="G5" s="163"/>
      <c r="H5" s="164" t="s">
        <v>35</v>
      </c>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6"/>
      <c r="AR5" s="167" t="s">
        <v>36</v>
      </c>
      <c r="AS5" s="167" t="s">
        <v>37</v>
      </c>
      <c r="AT5" s="98"/>
    </row>
    <row r="6" spans="1:50" ht="15" customHeight="1" x14ac:dyDescent="0.3">
      <c r="A6" s="163"/>
      <c r="B6" s="163"/>
      <c r="C6" s="163"/>
      <c r="D6" s="163"/>
      <c r="E6" s="163"/>
      <c r="F6" s="163"/>
      <c r="G6" s="163"/>
      <c r="H6" s="163" t="s">
        <v>23</v>
      </c>
      <c r="I6" s="163"/>
      <c r="J6" s="163"/>
      <c r="K6" s="163" t="s">
        <v>24</v>
      </c>
      <c r="L6" s="163"/>
      <c r="M6" s="163"/>
      <c r="N6" s="163" t="s">
        <v>25</v>
      </c>
      <c r="O6" s="163"/>
      <c r="P6" s="163"/>
      <c r="Q6" s="163" t="s">
        <v>26</v>
      </c>
      <c r="R6" s="163"/>
      <c r="S6" s="163"/>
      <c r="T6" s="163" t="s">
        <v>27</v>
      </c>
      <c r="U6" s="163"/>
      <c r="V6" s="163"/>
      <c r="W6" s="163" t="s">
        <v>28</v>
      </c>
      <c r="X6" s="163"/>
      <c r="Y6" s="163"/>
      <c r="Z6" s="163" t="s">
        <v>29</v>
      </c>
      <c r="AA6" s="163"/>
      <c r="AB6" s="163"/>
      <c r="AC6" s="163" t="s">
        <v>30</v>
      </c>
      <c r="AD6" s="163"/>
      <c r="AE6" s="163"/>
      <c r="AF6" s="163" t="s">
        <v>31</v>
      </c>
      <c r="AG6" s="163"/>
      <c r="AH6" s="163"/>
      <c r="AI6" s="163" t="s">
        <v>32</v>
      </c>
      <c r="AJ6" s="163"/>
      <c r="AK6" s="163"/>
      <c r="AL6" s="163" t="s">
        <v>33</v>
      </c>
      <c r="AM6" s="163"/>
      <c r="AN6" s="163"/>
      <c r="AO6" s="163" t="s">
        <v>34</v>
      </c>
      <c r="AP6" s="163"/>
      <c r="AQ6" s="163"/>
      <c r="AR6" s="168"/>
      <c r="AS6" s="168"/>
      <c r="AT6" s="98"/>
    </row>
    <row r="7" spans="1:50" ht="21.6" customHeight="1" x14ac:dyDescent="0.3">
      <c r="A7" s="163"/>
      <c r="B7" s="163"/>
      <c r="C7" s="163"/>
      <c r="D7" s="163"/>
      <c r="E7" s="54" t="s">
        <v>42</v>
      </c>
      <c r="F7" s="54" t="s">
        <v>43</v>
      </c>
      <c r="G7" s="55" t="s">
        <v>41</v>
      </c>
      <c r="H7" s="54" t="s">
        <v>42</v>
      </c>
      <c r="I7" s="54" t="s">
        <v>43</v>
      </c>
      <c r="J7" s="55" t="s">
        <v>41</v>
      </c>
      <c r="K7" s="54" t="s">
        <v>42</v>
      </c>
      <c r="L7" s="54" t="s">
        <v>43</v>
      </c>
      <c r="M7" s="55" t="s">
        <v>41</v>
      </c>
      <c r="N7" s="54" t="s">
        <v>42</v>
      </c>
      <c r="O7" s="54" t="s">
        <v>43</v>
      </c>
      <c r="P7" s="55" t="s">
        <v>41</v>
      </c>
      <c r="Q7" s="54" t="s">
        <v>42</v>
      </c>
      <c r="R7" s="54" t="s">
        <v>43</v>
      </c>
      <c r="S7" s="55" t="s">
        <v>41</v>
      </c>
      <c r="T7" s="54" t="s">
        <v>42</v>
      </c>
      <c r="U7" s="54" t="s">
        <v>43</v>
      </c>
      <c r="V7" s="55" t="s">
        <v>41</v>
      </c>
      <c r="W7" s="54" t="s">
        <v>42</v>
      </c>
      <c r="X7" s="54" t="s">
        <v>43</v>
      </c>
      <c r="Y7" s="55" t="s">
        <v>41</v>
      </c>
      <c r="Z7" s="54" t="s">
        <v>42</v>
      </c>
      <c r="AA7" s="54" t="s">
        <v>43</v>
      </c>
      <c r="AB7" s="55" t="s">
        <v>41</v>
      </c>
      <c r="AC7" s="54" t="s">
        <v>42</v>
      </c>
      <c r="AD7" s="54" t="s">
        <v>43</v>
      </c>
      <c r="AE7" s="55" t="s">
        <v>41</v>
      </c>
      <c r="AF7" s="54" t="s">
        <v>42</v>
      </c>
      <c r="AG7" s="54" t="s">
        <v>43</v>
      </c>
      <c r="AH7" s="55" t="s">
        <v>41</v>
      </c>
      <c r="AI7" s="54" t="s">
        <v>42</v>
      </c>
      <c r="AJ7" s="54" t="s">
        <v>43</v>
      </c>
      <c r="AK7" s="55" t="s">
        <v>41</v>
      </c>
      <c r="AL7" s="54" t="s">
        <v>42</v>
      </c>
      <c r="AM7" s="54" t="s">
        <v>43</v>
      </c>
      <c r="AN7" s="55" t="s">
        <v>41</v>
      </c>
      <c r="AO7" s="54" t="s">
        <v>42</v>
      </c>
      <c r="AP7" s="54" t="s">
        <v>43</v>
      </c>
      <c r="AQ7" s="55" t="s">
        <v>41</v>
      </c>
      <c r="AR7" s="169"/>
      <c r="AS7" s="169"/>
      <c r="AT7" s="98"/>
      <c r="AU7" s="50">
        <v>1</v>
      </c>
      <c r="AV7" s="50">
        <v>2</v>
      </c>
      <c r="AW7" s="50">
        <v>3</v>
      </c>
      <c r="AX7" s="50">
        <v>4</v>
      </c>
    </row>
    <row r="8" spans="1:50" ht="13.2" customHeight="1" x14ac:dyDescent="0.3">
      <c r="A8" s="90" t="s">
        <v>45</v>
      </c>
      <c r="B8" s="35" t="s">
        <v>2</v>
      </c>
      <c r="C8" s="35"/>
      <c r="D8" s="35"/>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35"/>
      <c r="AQ8" s="35"/>
      <c r="AR8" s="34"/>
      <c r="AS8" s="34"/>
      <c r="AT8" s="63"/>
      <c r="AU8" s="82"/>
      <c r="AV8" s="82"/>
      <c r="AW8" s="82"/>
      <c r="AX8" s="82"/>
    </row>
    <row r="9" spans="1:50" ht="13.2" customHeight="1" x14ac:dyDescent="0.3">
      <c r="A9" s="140" t="s">
        <v>1</v>
      </c>
      <c r="B9" s="140" t="s">
        <v>83</v>
      </c>
      <c r="C9" s="140" t="s">
        <v>5</v>
      </c>
      <c r="D9" s="36" t="s">
        <v>3</v>
      </c>
      <c r="E9" s="24">
        <f>H9+K9+N9+Q9+T9+W9+Z9+AC9+AF9+AI9+AL9+AO9</f>
        <v>0</v>
      </c>
      <c r="F9" s="24">
        <f>I9+L9+O9+R9+U9+X9+AA9+AD9+AG9+AJ9+AM9+AP9</f>
        <v>0</v>
      </c>
      <c r="G9" s="24"/>
      <c r="H9" s="24">
        <f>H10+H11+H12+H13</f>
        <v>0</v>
      </c>
      <c r="I9" s="24"/>
      <c r="J9" s="24"/>
      <c r="K9" s="24">
        <f t="shared" ref="K9:AO9" si="0">K10+K11+K12+K13</f>
        <v>0</v>
      </c>
      <c r="L9" s="24"/>
      <c r="M9" s="24"/>
      <c r="N9" s="24">
        <f t="shared" si="0"/>
        <v>0</v>
      </c>
      <c r="O9" s="24"/>
      <c r="P9" s="24"/>
      <c r="Q9" s="24">
        <f t="shared" si="0"/>
        <v>0</v>
      </c>
      <c r="R9" s="24">
        <f t="shared" si="0"/>
        <v>0</v>
      </c>
      <c r="S9" s="24"/>
      <c r="T9" s="24">
        <f t="shared" si="0"/>
        <v>0</v>
      </c>
      <c r="U9" s="24"/>
      <c r="V9" s="24"/>
      <c r="W9" s="24">
        <f t="shared" si="0"/>
        <v>0</v>
      </c>
      <c r="X9" s="24">
        <f t="shared" si="0"/>
        <v>0</v>
      </c>
      <c r="Y9" s="24"/>
      <c r="Z9" s="24">
        <f t="shared" si="0"/>
        <v>0</v>
      </c>
      <c r="AA9" s="24">
        <f t="shared" si="0"/>
        <v>0</v>
      </c>
      <c r="AB9" s="24"/>
      <c r="AC9" s="24">
        <f t="shared" si="0"/>
        <v>0</v>
      </c>
      <c r="AD9" s="24">
        <f t="shared" si="0"/>
        <v>0</v>
      </c>
      <c r="AE9" s="24"/>
      <c r="AF9" s="24">
        <f t="shared" si="0"/>
        <v>0</v>
      </c>
      <c r="AG9" s="24"/>
      <c r="AH9" s="24"/>
      <c r="AI9" s="24">
        <f t="shared" si="0"/>
        <v>0</v>
      </c>
      <c r="AJ9" s="24"/>
      <c r="AK9" s="24"/>
      <c r="AL9" s="24">
        <f t="shared" si="0"/>
        <v>0</v>
      </c>
      <c r="AM9" s="24"/>
      <c r="AN9" s="24"/>
      <c r="AO9" s="24">
        <f t="shared" si="0"/>
        <v>0</v>
      </c>
      <c r="AP9" s="24"/>
      <c r="AQ9" s="24"/>
      <c r="AR9" s="34"/>
      <c r="AS9" s="34"/>
      <c r="AT9" s="100"/>
      <c r="AU9" s="83">
        <f>H9+K9+N9</f>
        <v>0</v>
      </c>
      <c r="AV9" s="83">
        <f>Q9+T9+W9</f>
        <v>0</v>
      </c>
      <c r="AW9" s="83">
        <f>Z9+AC9+AF9</f>
        <v>0</v>
      </c>
      <c r="AX9" s="83">
        <f>AI9+AL9+AO9</f>
        <v>0</v>
      </c>
    </row>
    <row r="10" spans="1:50" x14ac:dyDescent="0.3">
      <c r="A10" s="140"/>
      <c r="B10" s="140"/>
      <c r="C10" s="140"/>
      <c r="D10" s="36" t="s">
        <v>21</v>
      </c>
      <c r="E10" s="24">
        <f t="shared" ref="E10:F28" si="1">H10+K10+N10+Q10+T10+W10+Z10+AC10+AF10+AI10+AL10+AO10</f>
        <v>0</v>
      </c>
      <c r="F10" s="24">
        <f t="shared" si="1"/>
        <v>0</v>
      </c>
      <c r="G10" s="22"/>
      <c r="H10" s="24"/>
      <c r="I10" s="24"/>
      <c r="J10" s="24"/>
      <c r="K10" s="24"/>
      <c r="L10" s="24"/>
      <c r="M10" s="24"/>
      <c r="N10" s="24"/>
      <c r="O10" s="24"/>
      <c r="P10" s="24"/>
      <c r="Q10" s="24"/>
      <c r="R10" s="24"/>
      <c r="S10" s="22"/>
      <c r="T10" s="24"/>
      <c r="U10" s="24"/>
      <c r="V10" s="24"/>
      <c r="W10" s="24"/>
      <c r="X10" s="24"/>
      <c r="Y10" s="22"/>
      <c r="Z10" s="24"/>
      <c r="AA10" s="24"/>
      <c r="AB10" s="24"/>
      <c r="AC10" s="24"/>
      <c r="AD10" s="24"/>
      <c r="AE10" s="24"/>
      <c r="AF10" s="24"/>
      <c r="AG10" s="24"/>
      <c r="AH10" s="24"/>
      <c r="AI10" s="24"/>
      <c r="AJ10" s="24"/>
      <c r="AK10" s="24"/>
      <c r="AL10" s="24"/>
      <c r="AM10" s="24"/>
      <c r="AN10" s="24"/>
      <c r="AO10" s="24"/>
      <c r="AP10" s="24"/>
      <c r="AQ10" s="24"/>
      <c r="AR10" s="34"/>
      <c r="AS10" s="34"/>
      <c r="AT10" s="100"/>
      <c r="AU10" s="83">
        <f t="shared" ref="AU10:AU86" si="2">H10+K10+N10</f>
        <v>0</v>
      </c>
      <c r="AV10" s="83">
        <f t="shared" ref="AV10:AV86" si="3">Q10+T10+W10</f>
        <v>0</v>
      </c>
      <c r="AW10" s="83">
        <f t="shared" ref="AW10:AW86" si="4">Z10+AC10+AF10</f>
        <v>0</v>
      </c>
      <c r="AX10" s="83">
        <f t="shared" ref="AX10:AX86" si="5">AI10+AL10+AO10</f>
        <v>0</v>
      </c>
    </row>
    <row r="11" spans="1:50" ht="24.6" customHeight="1" x14ac:dyDescent="0.3">
      <c r="A11" s="140"/>
      <c r="B11" s="140"/>
      <c r="C11" s="140"/>
      <c r="D11" s="36" t="s">
        <v>4</v>
      </c>
      <c r="E11" s="24">
        <f t="shared" si="1"/>
        <v>0</v>
      </c>
      <c r="F11" s="24">
        <f t="shared" si="1"/>
        <v>0</v>
      </c>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88"/>
      <c r="AS11" s="34"/>
      <c r="AT11" s="100"/>
      <c r="AU11" s="83">
        <f t="shared" si="2"/>
        <v>0</v>
      </c>
      <c r="AV11" s="83">
        <f t="shared" si="3"/>
        <v>0</v>
      </c>
      <c r="AW11" s="83">
        <f t="shared" si="4"/>
        <v>0</v>
      </c>
      <c r="AX11" s="83">
        <f t="shared" si="5"/>
        <v>0</v>
      </c>
    </row>
    <row r="12" spans="1:50" x14ac:dyDescent="0.3">
      <c r="A12" s="140"/>
      <c r="B12" s="140"/>
      <c r="C12" s="140"/>
      <c r="D12" s="36" t="s">
        <v>44</v>
      </c>
      <c r="E12" s="24">
        <f t="shared" si="1"/>
        <v>0</v>
      </c>
      <c r="F12" s="24">
        <f t="shared" si="1"/>
        <v>0</v>
      </c>
      <c r="G12" s="22"/>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34"/>
      <c r="AS12" s="34"/>
      <c r="AT12" s="100"/>
      <c r="AU12" s="83">
        <f t="shared" si="2"/>
        <v>0</v>
      </c>
      <c r="AV12" s="83">
        <f t="shared" si="3"/>
        <v>0</v>
      </c>
      <c r="AW12" s="83">
        <f t="shared" si="4"/>
        <v>0</v>
      </c>
      <c r="AX12" s="83">
        <f t="shared" si="5"/>
        <v>0</v>
      </c>
    </row>
    <row r="13" spans="1:50" x14ac:dyDescent="0.3">
      <c r="A13" s="140"/>
      <c r="B13" s="140"/>
      <c r="C13" s="140"/>
      <c r="D13" s="36" t="s">
        <v>22</v>
      </c>
      <c r="E13" s="24">
        <f t="shared" si="1"/>
        <v>0</v>
      </c>
      <c r="F13" s="24">
        <f t="shared" si="1"/>
        <v>0</v>
      </c>
      <c r="G13" s="22"/>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34"/>
      <c r="AS13" s="34"/>
      <c r="AT13" s="100"/>
      <c r="AU13" s="83">
        <f t="shared" si="2"/>
        <v>0</v>
      </c>
      <c r="AV13" s="83">
        <f t="shared" si="3"/>
        <v>0</v>
      </c>
      <c r="AW13" s="83">
        <f t="shared" si="4"/>
        <v>0</v>
      </c>
      <c r="AX13" s="83">
        <f t="shared" si="5"/>
        <v>0</v>
      </c>
    </row>
    <row r="14" spans="1:50" ht="13.2" customHeight="1" x14ac:dyDescent="0.3">
      <c r="A14" s="140" t="s">
        <v>20</v>
      </c>
      <c r="B14" s="140" t="s">
        <v>84</v>
      </c>
      <c r="C14" s="140" t="s">
        <v>5</v>
      </c>
      <c r="D14" s="36" t="s">
        <v>3</v>
      </c>
      <c r="E14" s="24">
        <f t="shared" si="1"/>
        <v>0</v>
      </c>
      <c r="F14" s="24">
        <f t="shared" si="1"/>
        <v>0</v>
      </c>
      <c r="G14" s="22"/>
      <c r="H14" s="24">
        <f>H15+H16+H17+H18</f>
        <v>0</v>
      </c>
      <c r="I14" s="24"/>
      <c r="J14" s="24"/>
      <c r="K14" s="24">
        <f t="shared" ref="K14:AO14" si="6">K15+K16+K17+K18</f>
        <v>0</v>
      </c>
      <c r="L14" s="24"/>
      <c r="M14" s="24"/>
      <c r="N14" s="24">
        <f t="shared" si="6"/>
        <v>0</v>
      </c>
      <c r="O14" s="24"/>
      <c r="P14" s="24"/>
      <c r="Q14" s="24">
        <f t="shared" si="6"/>
        <v>0</v>
      </c>
      <c r="R14" s="24"/>
      <c r="S14" s="24"/>
      <c r="T14" s="24">
        <f t="shared" si="6"/>
        <v>0</v>
      </c>
      <c r="U14" s="24"/>
      <c r="V14" s="24"/>
      <c r="W14" s="24">
        <f t="shared" si="6"/>
        <v>0</v>
      </c>
      <c r="X14" s="24"/>
      <c r="Y14" s="24"/>
      <c r="Z14" s="24">
        <f t="shared" si="6"/>
        <v>0</v>
      </c>
      <c r="AA14" s="24"/>
      <c r="AB14" s="24"/>
      <c r="AC14" s="24">
        <f t="shared" si="6"/>
        <v>0</v>
      </c>
      <c r="AD14" s="24">
        <f t="shared" si="6"/>
        <v>0</v>
      </c>
      <c r="AE14" s="24"/>
      <c r="AF14" s="24">
        <f t="shared" si="6"/>
        <v>0</v>
      </c>
      <c r="AG14" s="24"/>
      <c r="AH14" s="24"/>
      <c r="AI14" s="24">
        <f t="shared" si="6"/>
        <v>0</v>
      </c>
      <c r="AJ14" s="24"/>
      <c r="AK14" s="24"/>
      <c r="AL14" s="24">
        <f t="shared" si="6"/>
        <v>0</v>
      </c>
      <c r="AM14" s="24"/>
      <c r="AN14" s="24"/>
      <c r="AO14" s="24">
        <f t="shared" si="6"/>
        <v>0</v>
      </c>
      <c r="AP14" s="24"/>
      <c r="AQ14" s="24"/>
      <c r="AR14" s="34"/>
      <c r="AS14" s="34"/>
      <c r="AT14" s="100"/>
      <c r="AU14" s="83">
        <f t="shared" si="2"/>
        <v>0</v>
      </c>
      <c r="AV14" s="83">
        <f t="shared" si="3"/>
        <v>0</v>
      </c>
      <c r="AW14" s="83">
        <f t="shared" si="4"/>
        <v>0</v>
      </c>
      <c r="AX14" s="83">
        <f t="shared" si="5"/>
        <v>0</v>
      </c>
    </row>
    <row r="15" spans="1:50" x14ac:dyDescent="0.3">
      <c r="A15" s="140"/>
      <c r="B15" s="140"/>
      <c r="C15" s="140"/>
      <c r="D15" s="36" t="s">
        <v>21</v>
      </c>
      <c r="E15" s="24">
        <f t="shared" si="1"/>
        <v>0</v>
      </c>
      <c r="F15" s="24">
        <f t="shared" si="1"/>
        <v>0</v>
      </c>
      <c r="G15" s="22"/>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34"/>
      <c r="AS15" s="34"/>
      <c r="AT15" s="100"/>
      <c r="AU15" s="83">
        <f t="shared" si="2"/>
        <v>0</v>
      </c>
      <c r="AV15" s="83">
        <f t="shared" si="3"/>
        <v>0</v>
      </c>
      <c r="AW15" s="83">
        <f t="shared" si="4"/>
        <v>0</v>
      </c>
      <c r="AX15" s="83">
        <f t="shared" si="5"/>
        <v>0</v>
      </c>
    </row>
    <row r="16" spans="1:50" ht="24" x14ac:dyDescent="0.3">
      <c r="A16" s="140"/>
      <c r="B16" s="140"/>
      <c r="C16" s="140"/>
      <c r="D16" s="36" t="s">
        <v>4</v>
      </c>
      <c r="E16" s="24">
        <f t="shared" si="1"/>
        <v>0</v>
      </c>
      <c r="F16" s="24">
        <f t="shared" si="1"/>
        <v>0</v>
      </c>
      <c r="G16" s="22"/>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34"/>
      <c r="AS16" s="34"/>
      <c r="AT16" s="100"/>
      <c r="AU16" s="83">
        <f t="shared" si="2"/>
        <v>0</v>
      </c>
      <c r="AV16" s="83">
        <f t="shared" si="3"/>
        <v>0</v>
      </c>
      <c r="AW16" s="83">
        <f t="shared" si="4"/>
        <v>0</v>
      </c>
      <c r="AX16" s="83">
        <f t="shared" si="5"/>
        <v>0</v>
      </c>
    </row>
    <row r="17" spans="1:50" x14ac:dyDescent="0.3">
      <c r="A17" s="140"/>
      <c r="B17" s="140"/>
      <c r="C17" s="140"/>
      <c r="D17" s="36" t="s">
        <v>44</v>
      </c>
      <c r="E17" s="24">
        <f t="shared" si="1"/>
        <v>0</v>
      </c>
      <c r="F17" s="24">
        <f t="shared" si="1"/>
        <v>0</v>
      </c>
      <c r="G17" s="22"/>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34"/>
      <c r="AS17" s="34"/>
      <c r="AT17" s="100"/>
      <c r="AU17" s="83">
        <f t="shared" si="2"/>
        <v>0</v>
      </c>
      <c r="AV17" s="83">
        <f t="shared" si="3"/>
        <v>0</v>
      </c>
      <c r="AW17" s="83">
        <f t="shared" si="4"/>
        <v>0</v>
      </c>
      <c r="AX17" s="83">
        <f t="shared" si="5"/>
        <v>0</v>
      </c>
    </row>
    <row r="18" spans="1:50" x14ac:dyDescent="0.3">
      <c r="A18" s="140"/>
      <c r="B18" s="140"/>
      <c r="C18" s="140"/>
      <c r="D18" s="36" t="s">
        <v>22</v>
      </c>
      <c r="E18" s="24">
        <f t="shared" si="1"/>
        <v>0</v>
      </c>
      <c r="F18" s="24">
        <f t="shared" si="1"/>
        <v>0</v>
      </c>
      <c r="G18" s="22"/>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34"/>
      <c r="AS18" s="34"/>
      <c r="AT18" s="100"/>
      <c r="AU18" s="83">
        <f t="shared" si="2"/>
        <v>0</v>
      </c>
      <c r="AV18" s="83">
        <f t="shared" si="3"/>
        <v>0</v>
      </c>
      <c r="AW18" s="83">
        <f t="shared" si="4"/>
        <v>0</v>
      </c>
      <c r="AX18" s="83">
        <f t="shared" si="5"/>
        <v>0</v>
      </c>
    </row>
    <row r="19" spans="1:50" ht="13.2" customHeight="1" x14ac:dyDescent="0.3">
      <c r="A19" s="140" t="s">
        <v>142</v>
      </c>
      <c r="B19" s="140" t="s">
        <v>114</v>
      </c>
      <c r="C19" s="140" t="s">
        <v>5</v>
      </c>
      <c r="D19" s="36" t="s">
        <v>3</v>
      </c>
      <c r="E19" s="24">
        <f>H19+K19+N19+Q19+T19+W19+Z19+AC19+AF19+AI19+AL19+AO19</f>
        <v>703380.2</v>
      </c>
      <c r="F19" s="24">
        <f>I19+L19+O19+R19+U19+X19+AA19+AD19+AG19+AJ19+AM19+AP19</f>
        <v>703380.2</v>
      </c>
      <c r="G19" s="24">
        <f>F19/E19*100</f>
        <v>100</v>
      </c>
      <c r="H19" s="24">
        <f>H20+H21+H22+H23</f>
        <v>15294.5</v>
      </c>
      <c r="I19" s="24">
        <f>I20+I21+I22+I23</f>
        <v>15294.5</v>
      </c>
      <c r="J19" s="24">
        <f>I19/H19*100</f>
        <v>100</v>
      </c>
      <c r="K19" s="24">
        <f t="shared" ref="K19:AP19" si="7">K20+K21+K22+K23</f>
        <v>59063.6</v>
      </c>
      <c r="L19" s="24">
        <f t="shared" si="7"/>
        <v>59063.6</v>
      </c>
      <c r="M19" s="24">
        <f>L19/K19*100</f>
        <v>100</v>
      </c>
      <c r="N19" s="24">
        <f t="shared" si="7"/>
        <v>53609.8</v>
      </c>
      <c r="O19" s="24">
        <f t="shared" si="7"/>
        <v>53609.8</v>
      </c>
      <c r="P19" s="24">
        <f>O19/N19*100</f>
        <v>100</v>
      </c>
      <c r="Q19" s="24">
        <f t="shared" si="7"/>
        <v>87946.4</v>
      </c>
      <c r="R19" s="24">
        <f t="shared" si="7"/>
        <v>87946.4</v>
      </c>
      <c r="S19" s="24">
        <f>R19/Q19*100</f>
        <v>100</v>
      </c>
      <c r="T19" s="24">
        <f t="shared" si="7"/>
        <v>55057.1</v>
      </c>
      <c r="U19" s="24">
        <f t="shared" si="7"/>
        <v>55057.1</v>
      </c>
      <c r="V19" s="24">
        <f>U19/T19*100</f>
        <v>100</v>
      </c>
      <c r="W19" s="24">
        <f t="shared" si="7"/>
        <v>73408.400000000009</v>
      </c>
      <c r="X19" s="24">
        <f t="shared" si="7"/>
        <v>73408.400000000009</v>
      </c>
      <c r="Y19" s="24">
        <f>X19/W19*100</f>
        <v>100</v>
      </c>
      <c r="Z19" s="24">
        <f t="shared" si="7"/>
        <v>61973.599999999999</v>
      </c>
      <c r="AA19" s="24">
        <f t="shared" si="7"/>
        <v>62063.6</v>
      </c>
      <c r="AB19" s="24">
        <f>AA19/Z19*100</f>
        <v>100.1452231272671</v>
      </c>
      <c r="AC19" s="24">
        <f t="shared" si="7"/>
        <v>41450.400000000001</v>
      </c>
      <c r="AD19" s="24">
        <f t="shared" si="7"/>
        <v>41860.400000000001</v>
      </c>
      <c r="AE19" s="24">
        <f>AD19/AC19*100</f>
        <v>100.98913400111942</v>
      </c>
      <c r="AF19" s="24">
        <f t="shared" si="7"/>
        <v>44129.5</v>
      </c>
      <c r="AG19" s="24">
        <f t="shared" si="7"/>
        <v>43629.5</v>
      </c>
      <c r="AH19" s="24">
        <f>AG19/AF19*100</f>
        <v>98.866971073771509</v>
      </c>
      <c r="AI19" s="24">
        <f t="shared" si="7"/>
        <v>52256.800000000003</v>
      </c>
      <c r="AJ19" s="24">
        <f t="shared" si="7"/>
        <v>52256.800000000003</v>
      </c>
      <c r="AK19" s="24">
        <f>AJ19/AI19*100</f>
        <v>100</v>
      </c>
      <c r="AL19" s="24">
        <f>AL20+AL21+AL22+AL23</f>
        <v>49560.5</v>
      </c>
      <c r="AM19" s="24">
        <f>AM20+AM21+AM22+AM23</f>
        <v>49560.5</v>
      </c>
      <c r="AN19" s="24">
        <f>AM19/AL19*100</f>
        <v>100</v>
      </c>
      <c r="AO19" s="24">
        <f t="shared" si="7"/>
        <v>109629.59999999999</v>
      </c>
      <c r="AP19" s="24">
        <f t="shared" si="7"/>
        <v>109629.59999999999</v>
      </c>
      <c r="AQ19" s="24">
        <f>AP19/AO19*100</f>
        <v>100</v>
      </c>
      <c r="AR19" s="34"/>
      <c r="AS19" s="34"/>
      <c r="AT19" s="100">
        <f t="shared" ref="AT19:AT80" si="8">(I19+L19+O19+R19+U19+X19+AA19+AD19+AG19+AJ19+AM19+AP19)/(H19+K19+N19+Q19+T19+W19+Z19+AC19+AF19+AI19+AL19+AO19)</f>
        <v>1</v>
      </c>
      <c r="AU19" s="83">
        <f t="shared" si="2"/>
        <v>127967.90000000001</v>
      </c>
      <c r="AV19" s="83">
        <f t="shared" si="3"/>
        <v>216411.90000000002</v>
      </c>
      <c r="AW19" s="83">
        <f t="shared" si="4"/>
        <v>147553.5</v>
      </c>
      <c r="AX19" s="83">
        <f>AI19+AL19+AO19</f>
        <v>211446.9</v>
      </c>
    </row>
    <row r="20" spans="1:50" ht="12" customHeight="1" x14ac:dyDescent="0.3">
      <c r="A20" s="140"/>
      <c r="B20" s="140"/>
      <c r="C20" s="140"/>
      <c r="D20" s="36" t="s">
        <v>21</v>
      </c>
      <c r="E20" s="24">
        <f t="shared" si="1"/>
        <v>0</v>
      </c>
      <c r="F20" s="24">
        <f t="shared" si="1"/>
        <v>0</v>
      </c>
      <c r="G20" s="22"/>
      <c r="H20" s="24"/>
      <c r="I20" s="24"/>
      <c r="J20" s="22"/>
      <c r="K20" s="24"/>
      <c r="L20" s="24"/>
      <c r="M20" s="22"/>
      <c r="N20" s="24"/>
      <c r="O20" s="24"/>
      <c r="P20" s="22"/>
      <c r="Q20" s="24"/>
      <c r="R20" s="24"/>
      <c r="S20" s="22"/>
      <c r="T20" s="24"/>
      <c r="U20" s="24"/>
      <c r="V20" s="22"/>
      <c r="W20" s="24"/>
      <c r="X20" s="24"/>
      <c r="Y20" s="22"/>
      <c r="Z20" s="24"/>
      <c r="AA20" s="24"/>
      <c r="AB20" s="22"/>
      <c r="AC20" s="24"/>
      <c r="AD20" s="24"/>
      <c r="AE20" s="22"/>
      <c r="AF20" s="24"/>
      <c r="AG20" s="24"/>
      <c r="AH20" s="22"/>
      <c r="AI20" s="24"/>
      <c r="AJ20" s="24"/>
      <c r="AK20" s="22"/>
      <c r="AL20" s="24"/>
      <c r="AM20" s="24"/>
      <c r="AN20" s="22"/>
      <c r="AO20" s="24"/>
      <c r="AP20" s="24"/>
      <c r="AQ20" s="22"/>
      <c r="AR20" s="34"/>
      <c r="AS20" s="34"/>
      <c r="AT20" s="100"/>
      <c r="AU20" s="83">
        <f t="shared" si="2"/>
        <v>0</v>
      </c>
      <c r="AV20" s="83">
        <f t="shared" si="3"/>
        <v>0</v>
      </c>
      <c r="AW20" s="83">
        <f t="shared" si="4"/>
        <v>0</v>
      </c>
      <c r="AX20" s="83">
        <f t="shared" si="5"/>
        <v>0</v>
      </c>
    </row>
    <row r="21" spans="1:50" ht="195.6" customHeight="1" x14ac:dyDescent="0.3">
      <c r="A21" s="140"/>
      <c r="B21" s="140"/>
      <c r="C21" s="140"/>
      <c r="D21" s="36" t="s">
        <v>4</v>
      </c>
      <c r="E21" s="24">
        <f t="shared" si="1"/>
        <v>587004.4</v>
      </c>
      <c r="F21" s="24">
        <f t="shared" si="1"/>
        <v>587004.4</v>
      </c>
      <c r="G21" s="24">
        <f>F21/E21*100</f>
        <v>100</v>
      </c>
      <c r="H21" s="24">
        <v>13071</v>
      </c>
      <c r="I21" s="24">
        <v>13071</v>
      </c>
      <c r="J21" s="24">
        <f>I21/H21*100</f>
        <v>100</v>
      </c>
      <c r="K21" s="24">
        <v>43843</v>
      </c>
      <c r="L21" s="24">
        <v>43843</v>
      </c>
      <c r="M21" s="24">
        <f>L21/K21*100</f>
        <v>100</v>
      </c>
      <c r="N21" s="24">
        <v>46036</v>
      </c>
      <c r="O21" s="24">
        <v>46036</v>
      </c>
      <c r="P21" s="24">
        <f>O21/N21*100</f>
        <v>100</v>
      </c>
      <c r="Q21" s="24">
        <f>51131-575.8+25302.8</f>
        <v>75858</v>
      </c>
      <c r="R21" s="24">
        <v>75858</v>
      </c>
      <c r="S21" s="24">
        <f>R21/Q21*100</f>
        <v>100</v>
      </c>
      <c r="T21" s="24">
        <f>71783-25302.8</f>
        <v>46480.2</v>
      </c>
      <c r="U21" s="24">
        <v>46480.2</v>
      </c>
      <c r="V21" s="24">
        <f>U21/T21*100</f>
        <v>100</v>
      </c>
      <c r="W21" s="24">
        <f>69736+171.3+42-5600</f>
        <v>64349.3</v>
      </c>
      <c r="X21" s="24">
        <v>64349.3</v>
      </c>
      <c r="Y21" s="24">
        <f>X21/W21*100</f>
        <v>100</v>
      </c>
      <c r="Z21" s="24">
        <f>46739.2+176.5+3000</f>
        <v>49915.7</v>
      </c>
      <c r="AA21" s="24">
        <v>50005.7</v>
      </c>
      <c r="AB21" s="24">
        <f>AA21/Z21*100</f>
        <v>100.18030399253142</v>
      </c>
      <c r="AC21" s="24">
        <v>33315</v>
      </c>
      <c r="AD21" s="24">
        <v>33725</v>
      </c>
      <c r="AE21" s="24">
        <f>AD21/AC21*100</f>
        <v>101.23067687227976</v>
      </c>
      <c r="AF21" s="24">
        <f>35137.2+100</f>
        <v>35237.199999999997</v>
      </c>
      <c r="AG21" s="24">
        <v>34737.199999999997</v>
      </c>
      <c r="AH21" s="24">
        <f>AG21/AF21*100</f>
        <v>98.581045031954858</v>
      </c>
      <c r="AI21" s="24">
        <v>42338.5</v>
      </c>
      <c r="AJ21" s="24">
        <v>42338.5</v>
      </c>
      <c r="AK21" s="24">
        <f>AJ21/AI21*100</f>
        <v>100</v>
      </c>
      <c r="AL21" s="24">
        <v>41297.300000000003</v>
      </c>
      <c r="AM21" s="24">
        <v>41297.300000000003</v>
      </c>
      <c r="AN21" s="24">
        <f>AM21/AL21*100</f>
        <v>100</v>
      </c>
      <c r="AO21" s="24">
        <v>95263.2</v>
      </c>
      <c r="AP21" s="24">
        <v>95263.2</v>
      </c>
      <c r="AQ21" s="24">
        <f>AP21/AO21*100</f>
        <v>100</v>
      </c>
      <c r="AR21" s="90" t="s">
        <v>187</v>
      </c>
      <c r="AS21" s="34"/>
      <c r="AT21" s="100">
        <f t="shared" si="8"/>
        <v>1</v>
      </c>
      <c r="AU21" s="83">
        <f t="shared" si="2"/>
        <v>102950</v>
      </c>
      <c r="AV21" s="83">
        <f t="shared" si="3"/>
        <v>186687.5</v>
      </c>
      <c r="AW21" s="83">
        <f t="shared" si="4"/>
        <v>118467.9</v>
      </c>
      <c r="AX21" s="83">
        <f t="shared" si="5"/>
        <v>178899</v>
      </c>
    </row>
    <row r="22" spans="1:50" ht="75" customHeight="1" x14ac:dyDescent="0.3">
      <c r="A22" s="140"/>
      <c r="B22" s="140"/>
      <c r="C22" s="140"/>
      <c r="D22" s="36" t="s">
        <v>44</v>
      </c>
      <c r="E22" s="24">
        <f t="shared" si="1"/>
        <v>116375.79999999999</v>
      </c>
      <c r="F22" s="24">
        <f t="shared" si="1"/>
        <v>116375.79999999999</v>
      </c>
      <c r="G22" s="24">
        <f>F22/E22*100</f>
        <v>100</v>
      </c>
      <c r="H22" s="24">
        <v>2223.5</v>
      </c>
      <c r="I22" s="24">
        <v>2223.5</v>
      </c>
      <c r="J22" s="24">
        <f>I22/H22*100</f>
        <v>100</v>
      </c>
      <c r="K22" s="24">
        <v>15220.6</v>
      </c>
      <c r="L22" s="24">
        <v>15220.6</v>
      </c>
      <c r="M22" s="24">
        <f>L22/K22*100</f>
        <v>100</v>
      </c>
      <c r="N22" s="24">
        <v>7573.8</v>
      </c>
      <c r="O22" s="24">
        <v>7573.8</v>
      </c>
      <c r="P22" s="24">
        <f>O22/N22*100</f>
        <v>100</v>
      </c>
      <c r="Q22" s="24">
        <f>11363.4+725</f>
        <v>12088.4</v>
      </c>
      <c r="R22" s="24">
        <v>12088.4</v>
      </c>
      <c r="S22" s="24">
        <f>R22/Q22*100</f>
        <v>100</v>
      </c>
      <c r="T22" s="24">
        <f>9301.9-725</f>
        <v>8576.9</v>
      </c>
      <c r="U22" s="24">
        <v>8576.9</v>
      </c>
      <c r="V22" s="24">
        <f>U22/T22*100</f>
        <v>100</v>
      </c>
      <c r="W22" s="24">
        <f>9585.6-526.5</f>
        <v>9059.1</v>
      </c>
      <c r="X22" s="24">
        <v>9059.1</v>
      </c>
      <c r="Y22" s="24">
        <f>X22/W22*100</f>
        <v>100</v>
      </c>
      <c r="Z22" s="24">
        <v>12057.9</v>
      </c>
      <c r="AA22" s="24">
        <v>12057.9</v>
      </c>
      <c r="AB22" s="24">
        <f>AA22/Z22*100</f>
        <v>100</v>
      </c>
      <c r="AC22" s="24">
        <v>8135.4</v>
      </c>
      <c r="AD22" s="24">
        <v>8135.4</v>
      </c>
      <c r="AE22" s="24">
        <f>AD22/AC22*100</f>
        <v>100</v>
      </c>
      <c r="AF22" s="24">
        <v>8892.2999999999993</v>
      </c>
      <c r="AG22" s="24">
        <v>8892.2999999999993</v>
      </c>
      <c r="AH22" s="24">
        <f>AG22/AF22*100</f>
        <v>100</v>
      </c>
      <c r="AI22" s="24">
        <v>9918.2999999999993</v>
      </c>
      <c r="AJ22" s="24">
        <v>9918.2999999999993</v>
      </c>
      <c r="AK22" s="24">
        <f>AJ22/AI22*100</f>
        <v>100</v>
      </c>
      <c r="AL22" s="24">
        <f>8619.9-356.7</f>
        <v>8263.1999999999989</v>
      </c>
      <c r="AM22" s="24">
        <v>8263.2000000000007</v>
      </c>
      <c r="AN22" s="24">
        <f>AM22/AL22*100</f>
        <v>100.00000000000003</v>
      </c>
      <c r="AO22" s="24">
        <v>14366.4</v>
      </c>
      <c r="AP22" s="24">
        <v>14366.4</v>
      </c>
      <c r="AQ22" s="24">
        <f>AP22/AO22*100</f>
        <v>100</v>
      </c>
      <c r="AR22" s="90" t="s">
        <v>178</v>
      </c>
      <c r="AS22" s="34"/>
      <c r="AT22" s="100">
        <f t="shared" si="8"/>
        <v>1</v>
      </c>
      <c r="AU22" s="83">
        <f t="shared" si="2"/>
        <v>25017.899999999998</v>
      </c>
      <c r="AV22" s="83">
        <f t="shared" si="3"/>
        <v>29724.400000000001</v>
      </c>
      <c r="AW22" s="83">
        <f t="shared" si="4"/>
        <v>29085.599999999999</v>
      </c>
      <c r="AX22" s="83">
        <f t="shared" si="5"/>
        <v>32547.9</v>
      </c>
    </row>
    <row r="23" spans="1:50" x14ac:dyDescent="0.3">
      <c r="A23" s="140"/>
      <c r="B23" s="140"/>
      <c r="C23" s="140"/>
      <c r="D23" s="36" t="s">
        <v>22</v>
      </c>
      <c r="E23" s="24">
        <f t="shared" si="1"/>
        <v>0</v>
      </c>
      <c r="F23" s="24">
        <f t="shared" si="1"/>
        <v>0</v>
      </c>
      <c r="G23" s="22"/>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2"/>
      <c r="AI23" s="24"/>
      <c r="AJ23" s="24"/>
      <c r="AK23" s="22"/>
      <c r="AL23" s="24"/>
      <c r="AM23" s="24"/>
      <c r="AN23" s="24"/>
      <c r="AO23" s="24"/>
      <c r="AP23" s="24"/>
      <c r="AQ23" s="24"/>
      <c r="AR23" s="34"/>
      <c r="AS23" s="34"/>
      <c r="AT23" s="100"/>
      <c r="AU23" s="83">
        <f t="shared" si="2"/>
        <v>0</v>
      </c>
      <c r="AV23" s="83">
        <f t="shared" si="3"/>
        <v>0</v>
      </c>
      <c r="AW23" s="83">
        <f t="shared" si="4"/>
        <v>0</v>
      </c>
      <c r="AX23" s="83">
        <f t="shared" si="5"/>
        <v>0</v>
      </c>
    </row>
    <row r="24" spans="1:50" ht="12.6" customHeight="1" x14ac:dyDescent="0.3">
      <c r="A24" s="161" t="s">
        <v>141</v>
      </c>
      <c r="B24" s="140" t="s">
        <v>85</v>
      </c>
      <c r="C24" s="140" t="s">
        <v>5</v>
      </c>
      <c r="D24" s="36" t="s">
        <v>3</v>
      </c>
      <c r="E24" s="24">
        <f t="shared" si="1"/>
        <v>30732</v>
      </c>
      <c r="F24" s="24">
        <f t="shared" si="1"/>
        <v>28031.9</v>
      </c>
      <c r="G24" s="24">
        <f>F24/E24*100</f>
        <v>91.214043993231826</v>
      </c>
      <c r="H24" s="24">
        <f>H25+H26+H27+H28</f>
        <v>0</v>
      </c>
      <c r="I24" s="24"/>
      <c r="J24" s="24"/>
      <c r="K24" s="24">
        <f t="shared" ref="K24:AP24" si="9">K25+K26+K27+K28</f>
        <v>4032</v>
      </c>
      <c r="L24" s="24">
        <f t="shared" si="9"/>
        <v>3999.2</v>
      </c>
      <c r="M24" s="24">
        <f t="shared" ref="M24" si="10">L24/K24*100</f>
        <v>99.186507936507923</v>
      </c>
      <c r="N24" s="24">
        <f t="shared" si="9"/>
        <v>3500</v>
      </c>
      <c r="O24" s="24">
        <f t="shared" si="9"/>
        <v>2719.1</v>
      </c>
      <c r="P24" s="24">
        <f t="shared" ref="P24:P26" si="11">O24/N24*100</f>
        <v>77.688571428571436</v>
      </c>
      <c r="Q24" s="24">
        <f t="shared" si="9"/>
        <v>3015.8</v>
      </c>
      <c r="R24" s="24">
        <f t="shared" si="9"/>
        <v>3015.8</v>
      </c>
      <c r="S24" s="24">
        <f>R24/Q24*100</f>
        <v>100</v>
      </c>
      <c r="T24" s="24">
        <f t="shared" si="9"/>
        <v>2878.4</v>
      </c>
      <c r="U24" s="24">
        <f t="shared" si="9"/>
        <v>2878.4</v>
      </c>
      <c r="V24" s="24">
        <f>U24/T24*100</f>
        <v>100</v>
      </c>
      <c r="W24" s="24">
        <f t="shared" si="9"/>
        <v>1435.6000000000001</v>
      </c>
      <c r="X24" s="24">
        <f t="shared" si="9"/>
        <v>2249.3000000000002</v>
      </c>
      <c r="Y24" s="24">
        <f>X24/W24*100</f>
        <v>156.68013374198941</v>
      </c>
      <c r="Z24" s="24">
        <f t="shared" si="9"/>
        <v>1600.9</v>
      </c>
      <c r="AA24" s="24">
        <f t="shared" si="9"/>
        <v>1600.9</v>
      </c>
      <c r="AB24" s="24">
        <f>AA24/Z24*100</f>
        <v>100</v>
      </c>
      <c r="AC24" s="24">
        <f t="shared" si="9"/>
        <v>1277.4000000000001</v>
      </c>
      <c r="AD24" s="24">
        <f t="shared" si="9"/>
        <v>1277.4000000000001</v>
      </c>
      <c r="AE24" s="24">
        <f>AD24/AC24*100</f>
        <v>100</v>
      </c>
      <c r="AF24" s="24">
        <f t="shared" si="9"/>
        <v>1289.0999999999999</v>
      </c>
      <c r="AG24" s="24">
        <f t="shared" si="9"/>
        <v>1286.3</v>
      </c>
      <c r="AH24" s="24">
        <f>AG24/AF24*100</f>
        <v>99.782794197502128</v>
      </c>
      <c r="AI24" s="24">
        <f t="shared" si="9"/>
        <v>3000</v>
      </c>
      <c r="AJ24" s="24">
        <f t="shared" si="9"/>
        <v>2174.1999999999998</v>
      </c>
      <c r="AK24" s="24">
        <f>AJ24/AI24*100</f>
        <v>72.473333333333329</v>
      </c>
      <c r="AL24" s="24">
        <f t="shared" si="9"/>
        <v>3632.6</v>
      </c>
      <c r="AM24" s="24">
        <f t="shared" si="9"/>
        <v>2436.8000000000002</v>
      </c>
      <c r="AN24" s="24">
        <f>AM24/AL24*100</f>
        <v>67.081429279304089</v>
      </c>
      <c r="AO24" s="24">
        <f t="shared" si="9"/>
        <v>5070.2</v>
      </c>
      <c r="AP24" s="24">
        <f t="shared" si="9"/>
        <v>4394.5</v>
      </c>
      <c r="AQ24" s="24">
        <f>AP24/AO24*100</f>
        <v>86.673109542029906</v>
      </c>
      <c r="AR24" s="34"/>
      <c r="AS24" s="34"/>
      <c r="AT24" s="100">
        <f t="shared" si="8"/>
        <v>0.91214043993231819</v>
      </c>
      <c r="AU24" s="83">
        <f t="shared" si="2"/>
        <v>7532</v>
      </c>
      <c r="AV24" s="83">
        <f t="shared" si="3"/>
        <v>7329.8000000000011</v>
      </c>
      <c r="AW24" s="83">
        <f t="shared" si="4"/>
        <v>4167.3999999999996</v>
      </c>
      <c r="AX24" s="83">
        <f t="shared" si="5"/>
        <v>11702.8</v>
      </c>
    </row>
    <row r="25" spans="1:50" x14ac:dyDescent="0.3">
      <c r="A25" s="140"/>
      <c r="B25" s="140"/>
      <c r="C25" s="140"/>
      <c r="D25" s="36" t="s">
        <v>21</v>
      </c>
      <c r="E25" s="24">
        <f t="shared" si="1"/>
        <v>0</v>
      </c>
      <c r="F25" s="24">
        <f t="shared" si="1"/>
        <v>0</v>
      </c>
      <c r="G25" s="22"/>
      <c r="H25" s="24"/>
      <c r="I25" s="24"/>
      <c r="J25" s="24"/>
      <c r="K25" s="24"/>
      <c r="L25" s="24"/>
      <c r="M25" s="24"/>
      <c r="N25" s="24"/>
      <c r="O25" s="24"/>
      <c r="P25" s="24"/>
      <c r="Q25" s="24"/>
      <c r="R25" s="24"/>
      <c r="S25" s="22"/>
      <c r="T25" s="24"/>
      <c r="U25" s="24"/>
      <c r="V25" s="22"/>
      <c r="W25" s="24"/>
      <c r="X25" s="24"/>
      <c r="Y25" s="22"/>
      <c r="Z25" s="24"/>
      <c r="AA25" s="24"/>
      <c r="AB25" s="22"/>
      <c r="AC25" s="24"/>
      <c r="AD25" s="24"/>
      <c r="AE25" s="22"/>
      <c r="AF25" s="24"/>
      <c r="AG25" s="24"/>
      <c r="AH25" s="22"/>
      <c r="AI25" s="24"/>
      <c r="AJ25" s="24"/>
      <c r="AK25" s="22"/>
      <c r="AL25" s="24"/>
      <c r="AM25" s="24"/>
      <c r="AN25" s="22"/>
      <c r="AO25" s="24"/>
      <c r="AP25" s="24"/>
      <c r="AQ25" s="22"/>
      <c r="AR25" s="34"/>
      <c r="AS25" s="34"/>
      <c r="AT25" s="100"/>
      <c r="AU25" s="83">
        <f t="shared" si="2"/>
        <v>0</v>
      </c>
      <c r="AV25" s="83">
        <f t="shared" si="3"/>
        <v>0</v>
      </c>
      <c r="AW25" s="83">
        <f t="shared" si="4"/>
        <v>0</v>
      </c>
      <c r="AX25" s="83">
        <f t="shared" si="5"/>
        <v>0</v>
      </c>
    </row>
    <row r="26" spans="1:50" ht="37.200000000000003" customHeight="1" x14ac:dyDescent="0.3">
      <c r="A26" s="140"/>
      <c r="B26" s="140"/>
      <c r="C26" s="140"/>
      <c r="D26" s="36" t="s">
        <v>4</v>
      </c>
      <c r="E26" s="24">
        <f t="shared" si="1"/>
        <v>30732</v>
      </c>
      <c r="F26" s="24">
        <f t="shared" si="1"/>
        <v>28031.9</v>
      </c>
      <c r="G26" s="24">
        <f>F26/E26*100</f>
        <v>91.214043993231826</v>
      </c>
      <c r="H26" s="24"/>
      <c r="I26" s="24"/>
      <c r="J26" s="24"/>
      <c r="K26" s="24">
        <f>3632+400</f>
        <v>4032</v>
      </c>
      <c r="L26" s="24">
        <v>3999.2</v>
      </c>
      <c r="M26" s="24">
        <f t="shared" ref="M26" si="12">L26/K26*100</f>
        <v>99.186507936507923</v>
      </c>
      <c r="N26" s="24">
        <f>2600+900</f>
        <v>3500</v>
      </c>
      <c r="O26" s="24">
        <v>2719.1</v>
      </c>
      <c r="P26" s="24">
        <f t="shared" si="11"/>
        <v>77.688571428571436</v>
      </c>
      <c r="Q26" s="24">
        <v>3015.8</v>
      </c>
      <c r="R26" s="24">
        <v>3015.8</v>
      </c>
      <c r="S26" s="24">
        <f>R26/Q26*100</f>
        <v>100</v>
      </c>
      <c r="T26" s="24">
        <v>2878.4</v>
      </c>
      <c r="U26" s="24">
        <v>2878.4</v>
      </c>
      <c r="V26" s="24">
        <f>U26/T26*100</f>
        <v>100</v>
      </c>
      <c r="W26" s="24">
        <f>2249.3-813.7</f>
        <v>1435.6000000000001</v>
      </c>
      <c r="X26" s="24">
        <v>2249.3000000000002</v>
      </c>
      <c r="Y26" s="24">
        <f>X26/W26*100</f>
        <v>156.68013374198941</v>
      </c>
      <c r="Z26" s="24">
        <v>1600.9</v>
      </c>
      <c r="AA26" s="24">
        <v>1600.9</v>
      </c>
      <c r="AB26" s="24">
        <f>AA26/Z26*100</f>
        <v>100</v>
      </c>
      <c r="AC26" s="24">
        <v>1277.4000000000001</v>
      </c>
      <c r="AD26" s="24">
        <v>1277.4000000000001</v>
      </c>
      <c r="AE26" s="24">
        <f>AD26/AC26*100</f>
        <v>100</v>
      </c>
      <c r="AF26" s="24">
        <v>1289.0999999999999</v>
      </c>
      <c r="AG26" s="24">
        <v>1286.3</v>
      </c>
      <c r="AH26" s="24">
        <f>AG26/AF26*100</f>
        <v>99.782794197502128</v>
      </c>
      <c r="AI26" s="24">
        <v>3000</v>
      </c>
      <c r="AJ26" s="24">
        <v>2174.1999999999998</v>
      </c>
      <c r="AK26" s="24">
        <f>AJ26/AI26*100</f>
        <v>72.473333333333329</v>
      </c>
      <c r="AL26" s="24">
        <f>2800+832.6</f>
        <v>3632.6</v>
      </c>
      <c r="AM26" s="24">
        <v>2436.8000000000002</v>
      </c>
      <c r="AN26" s="24">
        <f>AM26/AL26*100</f>
        <v>67.081429279304089</v>
      </c>
      <c r="AO26" s="24">
        <f>4400-3000+2170.2+1500</f>
        <v>5070.2</v>
      </c>
      <c r="AP26" s="24">
        <v>4394.5</v>
      </c>
      <c r="AQ26" s="24">
        <f>AP26/AO26*100</f>
        <v>86.673109542029906</v>
      </c>
      <c r="AR26" s="90" t="s">
        <v>179</v>
      </c>
      <c r="AS26" s="90" t="s">
        <v>188</v>
      </c>
      <c r="AT26" s="100">
        <f t="shared" si="8"/>
        <v>0.91214043993231819</v>
      </c>
      <c r="AU26" s="83">
        <f t="shared" si="2"/>
        <v>7532</v>
      </c>
      <c r="AV26" s="83">
        <f t="shared" si="3"/>
        <v>7329.8000000000011</v>
      </c>
      <c r="AW26" s="83">
        <f t="shared" si="4"/>
        <v>4167.3999999999996</v>
      </c>
      <c r="AX26" s="83">
        <f t="shared" si="5"/>
        <v>11702.8</v>
      </c>
    </row>
    <row r="27" spans="1:50" x14ac:dyDescent="0.3">
      <c r="A27" s="140"/>
      <c r="B27" s="140"/>
      <c r="C27" s="140"/>
      <c r="D27" s="36" t="s">
        <v>44</v>
      </c>
      <c r="E27" s="24">
        <f t="shared" si="1"/>
        <v>0</v>
      </c>
      <c r="F27" s="24">
        <f t="shared" si="1"/>
        <v>0</v>
      </c>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34"/>
      <c r="AS27" s="34"/>
      <c r="AT27" s="100"/>
      <c r="AU27" s="83">
        <f t="shared" si="2"/>
        <v>0</v>
      </c>
      <c r="AV27" s="83">
        <f t="shared" si="3"/>
        <v>0</v>
      </c>
      <c r="AW27" s="83">
        <f t="shared" si="4"/>
        <v>0</v>
      </c>
      <c r="AX27" s="83">
        <f t="shared" si="5"/>
        <v>0</v>
      </c>
    </row>
    <row r="28" spans="1:50" x14ac:dyDescent="0.3">
      <c r="A28" s="140"/>
      <c r="B28" s="140"/>
      <c r="C28" s="140"/>
      <c r="D28" s="36" t="s">
        <v>22</v>
      </c>
      <c r="E28" s="24">
        <f t="shared" si="1"/>
        <v>0</v>
      </c>
      <c r="F28" s="24">
        <f t="shared" si="1"/>
        <v>0</v>
      </c>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34"/>
      <c r="AS28" s="34"/>
      <c r="AT28" s="100"/>
      <c r="AU28" s="83">
        <f t="shared" si="2"/>
        <v>0</v>
      </c>
      <c r="AV28" s="83">
        <f t="shared" si="3"/>
        <v>0</v>
      </c>
      <c r="AW28" s="83">
        <f t="shared" si="4"/>
        <v>0</v>
      </c>
      <c r="AX28" s="83">
        <f t="shared" si="5"/>
        <v>0</v>
      </c>
    </row>
    <row r="29" spans="1:50" ht="12" customHeight="1" x14ac:dyDescent="0.3">
      <c r="A29" s="148" t="s">
        <v>6</v>
      </c>
      <c r="B29" s="148"/>
      <c r="C29" s="148"/>
      <c r="D29" s="37" t="s">
        <v>3</v>
      </c>
      <c r="E29" s="38">
        <f t="shared" ref="E29:F33" si="13">H29+K29+N29+Q29+T29+W29+Z29+AC29+AF29+AI29+AL29+AO29</f>
        <v>734112.2</v>
      </c>
      <c r="F29" s="38">
        <f t="shared" si="13"/>
        <v>731412.1</v>
      </c>
      <c r="G29" s="38">
        <f>F29/E29*100</f>
        <v>99.632195187602107</v>
      </c>
      <c r="H29" s="38">
        <f>H31+H30+H32+H33</f>
        <v>15294.5</v>
      </c>
      <c r="I29" s="38">
        <f>I31+I30+I32+I33</f>
        <v>15294.5</v>
      </c>
      <c r="J29" s="38">
        <f>I29/H29*100</f>
        <v>100</v>
      </c>
      <c r="K29" s="38">
        <f t="shared" ref="K29:AO29" si="14">K31+K30+K32+K33</f>
        <v>63095.6</v>
      </c>
      <c r="L29" s="38">
        <f t="shared" si="14"/>
        <v>63062.799999999996</v>
      </c>
      <c r="M29" s="38">
        <f>L29/K29*100</f>
        <v>99.948015392515472</v>
      </c>
      <c r="N29" s="38">
        <f t="shared" si="14"/>
        <v>57109.8</v>
      </c>
      <c r="O29" s="38">
        <f t="shared" si="14"/>
        <v>56328.9</v>
      </c>
      <c r="P29" s="38">
        <f>O29/N29*100</f>
        <v>98.632633978756715</v>
      </c>
      <c r="Q29" s="38">
        <f t="shared" si="14"/>
        <v>90962.2</v>
      </c>
      <c r="R29" s="38">
        <f t="shared" si="14"/>
        <v>90962.2</v>
      </c>
      <c r="S29" s="38">
        <f>R29/Q29*100</f>
        <v>100</v>
      </c>
      <c r="T29" s="38">
        <f t="shared" si="14"/>
        <v>57935.5</v>
      </c>
      <c r="U29" s="38">
        <f t="shared" si="14"/>
        <v>57935.5</v>
      </c>
      <c r="V29" s="38">
        <f>U29/T29*100</f>
        <v>100</v>
      </c>
      <c r="W29" s="38">
        <f t="shared" si="14"/>
        <v>74844.000000000015</v>
      </c>
      <c r="X29" s="38">
        <f t="shared" si="14"/>
        <v>75657.700000000012</v>
      </c>
      <c r="Y29" s="38">
        <f>X29/W29*100</f>
        <v>101.08719469830581</v>
      </c>
      <c r="Z29" s="38">
        <f t="shared" si="14"/>
        <v>63574.5</v>
      </c>
      <c r="AA29" s="38">
        <f t="shared" si="14"/>
        <v>63664.5</v>
      </c>
      <c r="AB29" s="38">
        <f>AA29/Z29*100</f>
        <v>100.14156619399289</v>
      </c>
      <c r="AC29" s="38">
        <f t="shared" si="14"/>
        <v>42727.8</v>
      </c>
      <c r="AD29" s="38">
        <f t="shared" si="14"/>
        <v>43137.8</v>
      </c>
      <c r="AE29" s="38">
        <f>AD29/AC29*100</f>
        <v>100.95956262667396</v>
      </c>
      <c r="AF29" s="38">
        <f t="shared" si="14"/>
        <v>45418.599999999991</v>
      </c>
      <c r="AG29" s="38">
        <f t="shared" si="14"/>
        <v>44915.8</v>
      </c>
      <c r="AH29" s="38">
        <f>AG29/AF29*100</f>
        <v>98.892964556371197</v>
      </c>
      <c r="AI29" s="38">
        <f t="shared" si="14"/>
        <v>55256.800000000003</v>
      </c>
      <c r="AJ29" s="38">
        <f t="shared" si="14"/>
        <v>54431</v>
      </c>
      <c r="AK29" s="38">
        <f>AJ29/AI29*100</f>
        <v>98.505523302109424</v>
      </c>
      <c r="AL29" s="38">
        <f t="shared" si="14"/>
        <v>53193.1</v>
      </c>
      <c r="AM29" s="38">
        <f t="shared" si="14"/>
        <v>51997.3</v>
      </c>
      <c r="AN29" s="38">
        <f>AM29/AL29*100</f>
        <v>97.751964070527947</v>
      </c>
      <c r="AO29" s="38">
        <f t="shared" si="14"/>
        <v>114699.79999999999</v>
      </c>
      <c r="AP29" s="38">
        <f t="shared" ref="AP29" si="15">AP31+AP30+AP32+AP33</f>
        <v>114024.09999999999</v>
      </c>
      <c r="AQ29" s="38">
        <f>AP29/AO29*100</f>
        <v>99.41089696756228</v>
      </c>
      <c r="AR29" s="34"/>
      <c r="AS29" s="34"/>
      <c r="AT29" s="100">
        <f t="shared" si="8"/>
        <v>0.99632195187602113</v>
      </c>
      <c r="AU29" s="84">
        <f t="shared" si="2"/>
        <v>135499.90000000002</v>
      </c>
      <c r="AV29" s="84">
        <f t="shared" si="3"/>
        <v>223741.7</v>
      </c>
      <c r="AW29" s="84">
        <f t="shared" si="4"/>
        <v>151720.9</v>
      </c>
      <c r="AX29" s="84">
        <f t="shared" si="5"/>
        <v>223149.69999999998</v>
      </c>
    </row>
    <row r="30" spans="1:50" ht="13.5" customHeight="1" x14ac:dyDescent="0.3">
      <c r="A30" s="148"/>
      <c r="B30" s="148"/>
      <c r="C30" s="148"/>
      <c r="D30" s="37" t="s">
        <v>21</v>
      </c>
      <c r="E30" s="38">
        <f t="shared" si="13"/>
        <v>0</v>
      </c>
      <c r="F30" s="38">
        <f t="shared" si="13"/>
        <v>0</v>
      </c>
      <c r="G30" s="23"/>
      <c r="H30" s="38">
        <f t="shared" ref="H30:I33" si="16">H10+H15+H20+H25</f>
        <v>0</v>
      </c>
      <c r="I30" s="38">
        <f t="shared" si="16"/>
        <v>0</v>
      </c>
      <c r="J30" s="23"/>
      <c r="K30" s="38">
        <f t="shared" ref="K30:AO33" si="17">K10+K15+K20+K25</f>
        <v>0</v>
      </c>
      <c r="L30" s="38">
        <f t="shared" si="17"/>
        <v>0</v>
      </c>
      <c r="M30" s="23"/>
      <c r="N30" s="38">
        <f t="shared" si="17"/>
        <v>0</v>
      </c>
      <c r="O30" s="38">
        <f t="shared" si="17"/>
        <v>0</v>
      </c>
      <c r="P30" s="23"/>
      <c r="Q30" s="38">
        <f t="shared" si="17"/>
        <v>0</v>
      </c>
      <c r="R30" s="38">
        <f t="shared" si="17"/>
        <v>0</v>
      </c>
      <c r="S30" s="23"/>
      <c r="T30" s="38">
        <f t="shared" si="17"/>
        <v>0</v>
      </c>
      <c r="U30" s="38">
        <f t="shared" si="17"/>
        <v>0</v>
      </c>
      <c r="V30" s="23"/>
      <c r="W30" s="38">
        <f t="shared" si="17"/>
        <v>0</v>
      </c>
      <c r="X30" s="38">
        <f t="shared" si="17"/>
        <v>0</v>
      </c>
      <c r="Y30" s="23"/>
      <c r="Z30" s="38">
        <f t="shared" si="17"/>
        <v>0</v>
      </c>
      <c r="AA30" s="38">
        <f t="shared" si="17"/>
        <v>0</v>
      </c>
      <c r="AB30" s="23"/>
      <c r="AC30" s="38">
        <f t="shared" si="17"/>
        <v>0</v>
      </c>
      <c r="AD30" s="38">
        <f t="shared" si="17"/>
        <v>0</v>
      </c>
      <c r="AE30" s="23"/>
      <c r="AF30" s="38">
        <f t="shared" si="17"/>
        <v>0</v>
      </c>
      <c r="AG30" s="38">
        <f t="shared" si="17"/>
        <v>0</v>
      </c>
      <c r="AH30" s="23"/>
      <c r="AI30" s="38">
        <f t="shared" si="17"/>
        <v>0</v>
      </c>
      <c r="AJ30" s="38">
        <f t="shared" si="17"/>
        <v>0</v>
      </c>
      <c r="AK30" s="23"/>
      <c r="AL30" s="38">
        <f t="shared" si="17"/>
        <v>0</v>
      </c>
      <c r="AM30" s="38">
        <f t="shared" si="17"/>
        <v>0</v>
      </c>
      <c r="AN30" s="23"/>
      <c r="AO30" s="38">
        <f t="shared" si="17"/>
        <v>0</v>
      </c>
      <c r="AP30" s="38">
        <f t="shared" ref="AP30" si="18">AP10+AP15+AP20+AP25</f>
        <v>0</v>
      </c>
      <c r="AQ30" s="23"/>
      <c r="AR30" s="34"/>
      <c r="AS30" s="34"/>
      <c r="AT30" s="100"/>
      <c r="AU30" s="84">
        <f t="shared" si="2"/>
        <v>0</v>
      </c>
      <c r="AV30" s="84">
        <f t="shared" si="3"/>
        <v>0</v>
      </c>
      <c r="AW30" s="84">
        <f t="shared" si="4"/>
        <v>0</v>
      </c>
      <c r="AX30" s="84">
        <f t="shared" si="5"/>
        <v>0</v>
      </c>
    </row>
    <row r="31" spans="1:50" ht="23.25" customHeight="1" x14ac:dyDescent="0.3">
      <c r="A31" s="148"/>
      <c r="B31" s="148"/>
      <c r="C31" s="148"/>
      <c r="D31" s="37" t="s">
        <v>4</v>
      </c>
      <c r="E31" s="38">
        <f t="shared" si="13"/>
        <v>617736.4</v>
      </c>
      <c r="F31" s="38">
        <f t="shared" si="13"/>
        <v>615036.29999999993</v>
      </c>
      <c r="G31" s="38">
        <f>F31/E31*100</f>
        <v>99.562904177250985</v>
      </c>
      <c r="H31" s="38">
        <f t="shared" si="16"/>
        <v>13071</v>
      </c>
      <c r="I31" s="38">
        <f t="shared" si="16"/>
        <v>13071</v>
      </c>
      <c r="J31" s="38">
        <f>I31/H31*100</f>
        <v>100</v>
      </c>
      <c r="K31" s="38">
        <f t="shared" si="17"/>
        <v>47875</v>
      </c>
      <c r="L31" s="38">
        <f t="shared" si="17"/>
        <v>47842.2</v>
      </c>
      <c r="M31" s="38">
        <f>L31/K31*100</f>
        <v>99.931488250652734</v>
      </c>
      <c r="N31" s="38">
        <f t="shared" si="17"/>
        <v>49536</v>
      </c>
      <c r="O31" s="38">
        <f t="shared" si="17"/>
        <v>48755.1</v>
      </c>
      <c r="P31" s="38">
        <f>O31/N31*100</f>
        <v>98.423570736434101</v>
      </c>
      <c r="Q31" s="38">
        <f t="shared" si="17"/>
        <v>78873.8</v>
      </c>
      <c r="R31" s="38">
        <f t="shared" si="17"/>
        <v>78873.8</v>
      </c>
      <c r="S31" s="38">
        <f>R31/Q31*100</f>
        <v>100</v>
      </c>
      <c r="T31" s="38">
        <f t="shared" si="17"/>
        <v>49358.6</v>
      </c>
      <c r="U31" s="38">
        <f t="shared" si="17"/>
        <v>49358.6</v>
      </c>
      <c r="V31" s="38">
        <f>U31/T31*100</f>
        <v>100</v>
      </c>
      <c r="W31" s="38">
        <f t="shared" si="17"/>
        <v>65784.900000000009</v>
      </c>
      <c r="X31" s="38">
        <f t="shared" si="17"/>
        <v>66598.600000000006</v>
      </c>
      <c r="Y31" s="38">
        <f>X31/W31*100</f>
        <v>101.23690998998249</v>
      </c>
      <c r="Z31" s="38">
        <f t="shared" si="17"/>
        <v>51516.6</v>
      </c>
      <c r="AA31" s="38">
        <f t="shared" si="17"/>
        <v>51606.6</v>
      </c>
      <c r="AB31" s="38">
        <f>AA31/Z31*100</f>
        <v>100.17470097017271</v>
      </c>
      <c r="AC31" s="38">
        <f t="shared" si="17"/>
        <v>34592.400000000001</v>
      </c>
      <c r="AD31" s="38">
        <f t="shared" si="17"/>
        <v>35002.400000000001</v>
      </c>
      <c r="AE31" s="38">
        <f>AD31/AC31*100</f>
        <v>101.18523143811935</v>
      </c>
      <c r="AF31" s="38">
        <f t="shared" si="17"/>
        <v>36526.299999999996</v>
      </c>
      <c r="AG31" s="38">
        <f t="shared" si="17"/>
        <v>36023.5</v>
      </c>
      <c r="AH31" s="38">
        <f>AG31/AF31*100</f>
        <v>98.623457618209358</v>
      </c>
      <c r="AI31" s="38">
        <f t="shared" si="17"/>
        <v>45338.5</v>
      </c>
      <c r="AJ31" s="38">
        <f t="shared" si="17"/>
        <v>44512.7</v>
      </c>
      <c r="AK31" s="38">
        <f>AJ31/AI31*100</f>
        <v>98.178589940117106</v>
      </c>
      <c r="AL31" s="38">
        <f t="shared" si="17"/>
        <v>44929.9</v>
      </c>
      <c r="AM31" s="38">
        <f t="shared" si="17"/>
        <v>43734.100000000006</v>
      </c>
      <c r="AN31" s="38">
        <f>AM31/AL31*100</f>
        <v>97.338520673315557</v>
      </c>
      <c r="AO31" s="38">
        <f t="shared" si="17"/>
        <v>100333.4</v>
      </c>
      <c r="AP31" s="38">
        <f t="shared" ref="AP31" si="19">AP11+AP16+AP21+AP26</f>
        <v>99657.7</v>
      </c>
      <c r="AQ31" s="38">
        <f>AP31/AO31*100</f>
        <v>99.326545297976551</v>
      </c>
      <c r="AR31" s="34"/>
      <c r="AS31" s="34"/>
      <c r="AT31" s="100">
        <f t="shared" si="8"/>
        <v>0.99562904177250988</v>
      </c>
      <c r="AU31" s="84">
        <f t="shared" si="2"/>
        <v>110482</v>
      </c>
      <c r="AV31" s="84">
        <f t="shared" si="3"/>
        <v>194017.3</v>
      </c>
      <c r="AW31" s="84">
        <f t="shared" si="4"/>
        <v>122635.29999999999</v>
      </c>
      <c r="AX31" s="84">
        <f t="shared" si="5"/>
        <v>190601.8</v>
      </c>
    </row>
    <row r="32" spans="1:50" ht="13.5" customHeight="1" x14ac:dyDescent="0.3">
      <c r="A32" s="148"/>
      <c r="B32" s="148"/>
      <c r="C32" s="148"/>
      <c r="D32" s="37" t="s">
        <v>44</v>
      </c>
      <c r="E32" s="38">
        <f t="shared" si="13"/>
        <v>116375.79999999999</v>
      </c>
      <c r="F32" s="38">
        <f t="shared" si="13"/>
        <v>116375.79999999999</v>
      </c>
      <c r="G32" s="38">
        <f>F32/E32*100</f>
        <v>100</v>
      </c>
      <c r="H32" s="38">
        <f t="shared" si="16"/>
        <v>2223.5</v>
      </c>
      <c r="I32" s="38">
        <f t="shared" si="16"/>
        <v>2223.5</v>
      </c>
      <c r="J32" s="38">
        <f>I32/H32*100</f>
        <v>100</v>
      </c>
      <c r="K32" s="38">
        <f t="shared" si="17"/>
        <v>15220.6</v>
      </c>
      <c r="L32" s="38">
        <f t="shared" si="17"/>
        <v>15220.6</v>
      </c>
      <c r="M32" s="38">
        <f>L32/K32*100</f>
        <v>100</v>
      </c>
      <c r="N32" s="38">
        <f t="shared" si="17"/>
        <v>7573.8</v>
      </c>
      <c r="O32" s="38">
        <f t="shared" si="17"/>
        <v>7573.8</v>
      </c>
      <c r="P32" s="38">
        <f>O32/N32*100</f>
        <v>100</v>
      </c>
      <c r="Q32" s="38">
        <f t="shared" si="17"/>
        <v>12088.4</v>
      </c>
      <c r="R32" s="38">
        <f t="shared" si="17"/>
        <v>12088.4</v>
      </c>
      <c r="S32" s="38">
        <f>R32/Q32*100</f>
        <v>100</v>
      </c>
      <c r="T32" s="38">
        <f t="shared" si="17"/>
        <v>8576.9</v>
      </c>
      <c r="U32" s="38">
        <f t="shared" si="17"/>
        <v>8576.9</v>
      </c>
      <c r="V32" s="38">
        <f>U32/T32*100</f>
        <v>100</v>
      </c>
      <c r="W32" s="38">
        <f t="shared" si="17"/>
        <v>9059.1</v>
      </c>
      <c r="X32" s="38">
        <f t="shared" si="17"/>
        <v>9059.1</v>
      </c>
      <c r="Y32" s="38">
        <f>X32/W32*100</f>
        <v>100</v>
      </c>
      <c r="Z32" s="38">
        <f t="shared" si="17"/>
        <v>12057.9</v>
      </c>
      <c r="AA32" s="38">
        <f t="shared" si="17"/>
        <v>12057.9</v>
      </c>
      <c r="AB32" s="38">
        <f>AA32/Z32*100</f>
        <v>100</v>
      </c>
      <c r="AC32" s="38">
        <f t="shared" si="17"/>
        <v>8135.4</v>
      </c>
      <c r="AD32" s="38">
        <f t="shared" si="17"/>
        <v>8135.4</v>
      </c>
      <c r="AE32" s="38">
        <f>AD32/AC32*100</f>
        <v>100</v>
      </c>
      <c r="AF32" s="38">
        <f t="shared" si="17"/>
        <v>8892.2999999999993</v>
      </c>
      <c r="AG32" s="38">
        <f t="shared" si="17"/>
        <v>8892.2999999999993</v>
      </c>
      <c r="AH32" s="38">
        <f>AG32/AF32*100</f>
        <v>100</v>
      </c>
      <c r="AI32" s="38">
        <f t="shared" si="17"/>
        <v>9918.2999999999993</v>
      </c>
      <c r="AJ32" s="38">
        <f t="shared" si="17"/>
        <v>9918.2999999999993</v>
      </c>
      <c r="AK32" s="38">
        <f>AJ32/AI32*100</f>
        <v>100</v>
      </c>
      <c r="AL32" s="38">
        <f t="shared" si="17"/>
        <v>8263.1999999999989</v>
      </c>
      <c r="AM32" s="38">
        <f t="shared" si="17"/>
        <v>8263.2000000000007</v>
      </c>
      <c r="AN32" s="38">
        <f>AM32/AL32*100</f>
        <v>100.00000000000003</v>
      </c>
      <c r="AO32" s="38">
        <f t="shared" si="17"/>
        <v>14366.4</v>
      </c>
      <c r="AP32" s="38">
        <f t="shared" ref="AP32" si="20">AP12+AP17+AP22+AP27</f>
        <v>14366.4</v>
      </c>
      <c r="AQ32" s="38">
        <f>AP32/AO32*100</f>
        <v>100</v>
      </c>
      <c r="AR32" s="34"/>
      <c r="AS32" s="34"/>
      <c r="AT32" s="100">
        <f t="shared" si="8"/>
        <v>1</v>
      </c>
      <c r="AU32" s="84">
        <f t="shared" si="2"/>
        <v>25017.899999999998</v>
      </c>
      <c r="AV32" s="84">
        <f t="shared" si="3"/>
        <v>29724.400000000001</v>
      </c>
      <c r="AW32" s="84">
        <f t="shared" si="4"/>
        <v>29085.599999999999</v>
      </c>
      <c r="AX32" s="84">
        <f t="shared" si="5"/>
        <v>32547.9</v>
      </c>
    </row>
    <row r="33" spans="1:50" x14ac:dyDescent="0.3">
      <c r="A33" s="148"/>
      <c r="B33" s="148"/>
      <c r="C33" s="148"/>
      <c r="D33" s="37" t="s">
        <v>22</v>
      </c>
      <c r="E33" s="38">
        <f t="shared" si="13"/>
        <v>0</v>
      </c>
      <c r="F33" s="38">
        <f t="shared" si="13"/>
        <v>0</v>
      </c>
      <c r="G33" s="23"/>
      <c r="H33" s="38">
        <f t="shared" si="16"/>
        <v>0</v>
      </c>
      <c r="I33" s="38">
        <f t="shared" si="16"/>
        <v>0</v>
      </c>
      <c r="J33" s="38"/>
      <c r="K33" s="38">
        <f t="shared" si="17"/>
        <v>0</v>
      </c>
      <c r="L33" s="38">
        <f t="shared" si="17"/>
        <v>0</v>
      </c>
      <c r="M33" s="38"/>
      <c r="N33" s="38">
        <f t="shared" si="17"/>
        <v>0</v>
      </c>
      <c r="O33" s="38">
        <f t="shared" si="17"/>
        <v>0</v>
      </c>
      <c r="P33" s="38"/>
      <c r="Q33" s="38">
        <f t="shared" si="17"/>
        <v>0</v>
      </c>
      <c r="R33" s="38">
        <f t="shared" si="17"/>
        <v>0</v>
      </c>
      <c r="S33" s="38"/>
      <c r="T33" s="38">
        <f t="shared" si="17"/>
        <v>0</v>
      </c>
      <c r="U33" s="38">
        <f t="shared" si="17"/>
        <v>0</v>
      </c>
      <c r="V33" s="38"/>
      <c r="W33" s="38">
        <f t="shared" si="17"/>
        <v>0</v>
      </c>
      <c r="X33" s="38">
        <f t="shared" si="17"/>
        <v>0</v>
      </c>
      <c r="Y33" s="38"/>
      <c r="Z33" s="38">
        <f t="shared" si="17"/>
        <v>0</v>
      </c>
      <c r="AA33" s="38">
        <f t="shared" si="17"/>
        <v>0</v>
      </c>
      <c r="AB33" s="38"/>
      <c r="AC33" s="38">
        <f t="shared" si="17"/>
        <v>0</v>
      </c>
      <c r="AD33" s="38">
        <f t="shared" si="17"/>
        <v>0</v>
      </c>
      <c r="AE33" s="38"/>
      <c r="AF33" s="38">
        <f t="shared" si="17"/>
        <v>0</v>
      </c>
      <c r="AG33" s="38"/>
      <c r="AH33" s="38"/>
      <c r="AI33" s="38">
        <f t="shared" si="17"/>
        <v>0</v>
      </c>
      <c r="AJ33" s="38"/>
      <c r="AK33" s="38"/>
      <c r="AL33" s="38">
        <f t="shared" si="17"/>
        <v>0</v>
      </c>
      <c r="AM33" s="38"/>
      <c r="AN33" s="38"/>
      <c r="AO33" s="38">
        <f t="shared" si="17"/>
        <v>0</v>
      </c>
      <c r="AP33" s="24"/>
      <c r="AQ33" s="24"/>
      <c r="AR33" s="34"/>
      <c r="AS33" s="34"/>
      <c r="AT33" s="100"/>
      <c r="AU33" s="83">
        <f t="shared" si="2"/>
        <v>0</v>
      </c>
      <c r="AV33" s="83">
        <f t="shared" si="3"/>
        <v>0</v>
      </c>
      <c r="AW33" s="83">
        <f t="shared" si="4"/>
        <v>0</v>
      </c>
      <c r="AX33" s="83">
        <f t="shared" si="5"/>
        <v>0</v>
      </c>
    </row>
    <row r="34" spans="1:50" ht="15.6" x14ac:dyDescent="0.3">
      <c r="A34" s="90" t="s">
        <v>47</v>
      </c>
      <c r="B34" s="35" t="s">
        <v>7</v>
      </c>
      <c r="C34" s="35"/>
      <c r="D34" s="35"/>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35"/>
      <c r="AQ34" s="35"/>
      <c r="AR34" s="34"/>
      <c r="AS34" s="34"/>
      <c r="AT34" s="100"/>
      <c r="AU34" s="83">
        <f t="shared" si="2"/>
        <v>0</v>
      </c>
      <c r="AV34" s="83">
        <f t="shared" si="3"/>
        <v>0</v>
      </c>
      <c r="AW34" s="83">
        <f t="shared" si="4"/>
        <v>0</v>
      </c>
      <c r="AX34" s="83">
        <f t="shared" si="5"/>
        <v>0</v>
      </c>
    </row>
    <row r="35" spans="1:50" x14ac:dyDescent="0.3">
      <c r="A35" s="140" t="s">
        <v>46</v>
      </c>
      <c r="B35" s="140" t="s">
        <v>86</v>
      </c>
      <c r="C35" s="140" t="s">
        <v>5</v>
      </c>
      <c r="D35" s="36" t="s">
        <v>3</v>
      </c>
      <c r="E35" s="24">
        <f t="shared" ref="E35:F51" si="21">H35+K35+N35+Q35+T35+W35+Z35+AC35+AF35+AI35+AL35+AO35</f>
        <v>0</v>
      </c>
      <c r="F35" s="24">
        <f t="shared" si="21"/>
        <v>0</v>
      </c>
      <c r="G35" s="24"/>
      <c r="H35" s="24">
        <f>H36+H37+H38+H39</f>
        <v>0</v>
      </c>
      <c r="I35" s="24"/>
      <c r="J35" s="24"/>
      <c r="K35" s="24">
        <f t="shared" ref="K35:AO35" si="22">K36+K37+K38+K39</f>
        <v>0</v>
      </c>
      <c r="L35" s="24"/>
      <c r="M35" s="24"/>
      <c r="N35" s="24">
        <f t="shared" si="22"/>
        <v>0</v>
      </c>
      <c r="O35" s="24"/>
      <c r="P35" s="24"/>
      <c r="Q35" s="24">
        <f t="shared" si="22"/>
        <v>0</v>
      </c>
      <c r="R35" s="24"/>
      <c r="S35" s="24"/>
      <c r="T35" s="24">
        <f t="shared" si="22"/>
        <v>0</v>
      </c>
      <c r="U35" s="24"/>
      <c r="V35" s="24"/>
      <c r="W35" s="24">
        <f t="shared" si="22"/>
        <v>0</v>
      </c>
      <c r="X35" s="24"/>
      <c r="Y35" s="24"/>
      <c r="Z35" s="24">
        <f t="shared" si="22"/>
        <v>0</v>
      </c>
      <c r="AA35" s="24"/>
      <c r="AB35" s="24"/>
      <c r="AC35" s="24">
        <f t="shared" si="22"/>
        <v>0</v>
      </c>
      <c r="AD35" s="24">
        <f t="shared" si="22"/>
        <v>0</v>
      </c>
      <c r="AE35" s="24"/>
      <c r="AF35" s="24">
        <f t="shared" si="22"/>
        <v>0</v>
      </c>
      <c r="AG35" s="24"/>
      <c r="AH35" s="24"/>
      <c r="AI35" s="24">
        <f t="shared" si="22"/>
        <v>0</v>
      </c>
      <c r="AJ35" s="24"/>
      <c r="AK35" s="24"/>
      <c r="AL35" s="24">
        <f t="shared" si="22"/>
        <v>0</v>
      </c>
      <c r="AM35" s="24"/>
      <c r="AN35" s="24"/>
      <c r="AO35" s="24">
        <f t="shared" si="22"/>
        <v>0</v>
      </c>
      <c r="AP35" s="24"/>
      <c r="AQ35" s="24"/>
      <c r="AR35" s="34"/>
      <c r="AS35" s="34"/>
      <c r="AT35" s="100"/>
      <c r="AU35" s="83">
        <f t="shared" si="2"/>
        <v>0</v>
      </c>
      <c r="AV35" s="83">
        <f t="shared" si="3"/>
        <v>0</v>
      </c>
      <c r="AW35" s="83">
        <f t="shared" si="4"/>
        <v>0</v>
      </c>
      <c r="AX35" s="83">
        <f t="shared" si="5"/>
        <v>0</v>
      </c>
    </row>
    <row r="36" spans="1:50" x14ac:dyDescent="0.3">
      <c r="A36" s="140"/>
      <c r="B36" s="140"/>
      <c r="C36" s="140"/>
      <c r="D36" s="36" t="s">
        <v>21</v>
      </c>
      <c r="E36" s="24">
        <f t="shared" si="21"/>
        <v>0</v>
      </c>
      <c r="F36" s="24">
        <f t="shared" si="21"/>
        <v>0</v>
      </c>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34"/>
      <c r="AS36" s="34"/>
      <c r="AT36" s="100"/>
      <c r="AU36" s="83">
        <f t="shared" si="2"/>
        <v>0</v>
      </c>
      <c r="AV36" s="83">
        <f t="shared" si="3"/>
        <v>0</v>
      </c>
      <c r="AW36" s="83">
        <f t="shared" si="4"/>
        <v>0</v>
      </c>
      <c r="AX36" s="83">
        <f t="shared" si="5"/>
        <v>0</v>
      </c>
    </row>
    <row r="37" spans="1:50" ht="24" x14ac:dyDescent="0.3">
      <c r="A37" s="140"/>
      <c r="B37" s="140"/>
      <c r="C37" s="140"/>
      <c r="D37" s="36" t="s">
        <v>4</v>
      </c>
      <c r="E37" s="24">
        <f t="shared" si="21"/>
        <v>0</v>
      </c>
      <c r="F37" s="24">
        <f t="shared" si="21"/>
        <v>0</v>
      </c>
      <c r="G37" s="24"/>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34"/>
      <c r="AS37" s="34"/>
      <c r="AT37" s="100"/>
      <c r="AU37" s="83">
        <f t="shared" si="2"/>
        <v>0</v>
      </c>
      <c r="AV37" s="83">
        <f t="shared" si="3"/>
        <v>0</v>
      </c>
      <c r="AW37" s="83">
        <f t="shared" si="4"/>
        <v>0</v>
      </c>
      <c r="AX37" s="83">
        <f t="shared" si="5"/>
        <v>0</v>
      </c>
    </row>
    <row r="38" spans="1:50" x14ac:dyDescent="0.3">
      <c r="A38" s="140"/>
      <c r="B38" s="140"/>
      <c r="C38" s="140"/>
      <c r="D38" s="36" t="s">
        <v>44</v>
      </c>
      <c r="E38" s="24">
        <f t="shared" si="21"/>
        <v>0</v>
      </c>
      <c r="F38" s="24">
        <f t="shared" si="21"/>
        <v>0</v>
      </c>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34"/>
      <c r="AS38" s="34"/>
      <c r="AT38" s="100"/>
      <c r="AU38" s="83">
        <f t="shared" si="2"/>
        <v>0</v>
      </c>
      <c r="AV38" s="83">
        <f t="shared" si="3"/>
        <v>0</v>
      </c>
      <c r="AW38" s="83">
        <f t="shared" si="4"/>
        <v>0</v>
      </c>
      <c r="AX38" s="83">
        <f t="shared" si="5"/>
        <v>0</v>
      </c>
    </row>
    <row r="39" spans="1:50" x14ac:dyDescent="0.3">
      <c r="A39" s="140"/>
      <c r="B39" s="140"/>
      <c r="C39" s="140"/>
      <c r="D39" s="36" t="s">
        <v>22</v>
      </c>
      <c r="E39" s="24">
        <f t="shared" si="21"/>
        <v>0</v>
      </c>
      <c r="F39" s="24">
        <f t="shared" si="21"/>
        <v>0</v>
      </c>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34"/>
      <c r="AS39" s="34"/>
      <c r="AT39" s="100"/>
      <c r="AU39" s="83">
        <f t="shared" si="2"/>
        <v>0</v>
      </c>
      <c r="AV39" s="83">
        <f t="shared" si="3"/>
        <v>0</v>
      </c>
      <c r="AW39" s="83">
        <f t="shared" si="4"/>
        <v>0</v>
      </c>
      <c r="AX39" s="83">
        <f t="shared" si="5"/>
        <v>0</v>
      </c>
    </row>
    <row r="40" spans="1:50" x14ac:dyDescent="0.3">
      <c r="A40" s="123" t="s">
        <v>48</v>
      </c>
      <c r="B40" s="123" t="s">
        <v>87</v>
      </c>
      <c r="C40" s="123" t="s">
        <v>122</v>
      </c>
      <c r="D40" s="36" t="s">
        <v>3</v>
      </c>
      <c r="E40" s="24">
        <f>H40+K40+N40+Q40+T40+W40+Z40+AC40+AF40+AI40+AL40+AO40</f>
        <v>25090.399999999998</v>
      </c>
      <c r="F40" s="24">
        <f>I40+L40+O40+R40+U40+X40+AA40+AD40+AG40+AJ40+AM40+AP40</f>
        <v>832.6</v>
      </c>
      <c r="G40" s="24">
        <f>F40/E40*100</f>
        <v>3.3184006632018628</v>
      </c>
      <c r="H40" s="24">
        <f>H41+H42+H43+H44</f>
        <v>0</v>
      </c>
      <c r="I40" s="24"/>
      <c r="J40" s="24"/>
      <c r="K40" s="24">
        <f t="shared" ref="K40:AP40" si="23">K41+K42+K43+K44</f>
        <v>0</v>
      </c>
      <c r="L40" s="24"/>
      <c r="M40" s="24"/>
      <c r="N40" s="24">
        <f t="shared" si="23"/>
        <v>0</v>
      </c>
      <c r="O40" s="24">
        <f t="shared" si="23"/>
        <v>0</v>
      </c>
      <c r="P40" s="24"/>
      <c r="Q40" s="24">
        <f t="shared" si="23"/>
        <v>0</v>
      </c>
      <c r="R40" s="24">
        <f t="shared" si="23"/>
        <v>0</v>
      </c>
      <c r="S40" s="24"/>
      <c r="T40" s="24">
        <f t="shared" si="23"/>
        <v>0</v>
      </c>
      <c r="U40" s="24"/>
      <c r="V40" s="24"/>
      <c r="W40" s="24">
        <f t="shared" si="23"/>
        <v>0</v>
      </c>
      <c r="X40" s="24">
        <f t="shared" si="23"/>
        <v>0</v>
      </c>
      <c r="Y40" s="24"/>
      <c r="Z40" s="24">
        <f t="shared" si="23"/>
        <v>0</v>
      </c>
      <c r="AA40" s="24"/>
      <c r="AB40" s="24"/>
      <c r="AC40" s="24">
        <f t="shared" si="23"/>
        <v>0</v>
      </c>
      <c r="AD40" s="24">
        <f t="shared" si="23"/>
        <v>0</v>
      </c>
      <c r="AE40" s="24"/>
      <c r="AF40" s="24">
        <f t="shared" si="23"/>
        <v>542.1</v>
      </c>
      <c r="AG40" s="24">
        <f t="shared" si="23"/>
        <v>0</v>
      </c>
      <c r="AH40" s="24">
        <f>AG40/AF40*100</f>
        <v>0</v>
      </c>
      <c r="AI40" s="24">
        <f t="shared" si="23"/>
        <v>18548.3</v>
      </c>
      <c r="AJ40" s="24">
        <f t="shared" si="23"/>
        <v>0</v>
      </c>
      <c r="AK40" s="24"/>
      <c r="AL40" s="24">
        <f t="shared" si="23"/>
        <v>6000</v>
      </c>
      <c r="AM40" s="24"/>
      <c r="AN40" s="24"/>
      <c r="AO40" s="24">
        <f t="shared" si="23"/>
        <v>0</v>
      </c>
      <c r="AP40" s="24">
        <f t="shared" si="23"/>
        <v>832.6</v>
      </c>
      <c r="AQ40" s="24"/>
      <c r="AR40" s="56"/>
      <c r="AS40" s="56"/>
      <c r="AT40" s="100">
        <f t="shared" si="8"/>
        <v>3.3184006632018627E-2</v>
      </c>
      <c r="AU40" s="83">
        <f t="shared" si="2"/>
        <v>0</v>
      </c>
      <c r="AV40" s="83">
        <f t="shared" si="3"/>
        <v>0</v>
      </c>
      <c r="AW40" s="83">
        <f t="shared" si="4"/>
        <v>542.1</v>
      </c>
      <c r="AX40" s="83">
        <f t="shared" si="5"/>
        <v>24548.3</v>
      </c>
    </row>
    <row r="41" spans="1:50" x14ac:dyDescent="0.3">
      <c r="A41" s="144"/>
      <c r="B41" s="144"/>
      <c r="C41" s="144"/>
      <c r="D41" s="36" t="s">
        <v>21</v>
      </c>
      <c r="E41" s="24">
        <f t="shared" si="21"/>
        <v>0</v>
      </c>
      <c r="F41" s="24">
        <f t="shared" si="21"/>
        <v>0</v>
      </c>
      <c r="G41" s="22"/>
      <c r="H41" s="24"/>
      <c r="I41" s="24"/>
      <c r="J41" s="24"/>
      <c r="K41" s="24"/>
      <c r="L41" s="24"/>
      <c r="M41" s="24"/>
      <c r="N41" s="24"/>
      <c r="O41" s="24"/>
      <c r="P41" s="22"/>
      <c r="Q41" s="24"/>
      <c r="R41" s="24"/>
      <c r="S41" s="24"/>
      <c r="T41" s="24"/>
      <c r="U41" s="24"/>
      <c r="V41" s="24"/>
      <c r="W41" s="24"/>
      <c r="X41" s="24"/>
      <c r="Y41" s="24"/>
      <c r="Z41" s="24"/>
      <c r="AA41" s="24"/>
      <c r="AB41" s="24"/>
      <c r="AC41" s="24"/>
      <c r="AD41" s="24"/>
      <c r="AE41" s="22"/>
      <c r="AF41" s="24"/>
      <c r="AG41" s="24"/>
      <c r="AH41" s="22"/>
      <c r="AI41" s="24"/>
      <c r="AJ41" s="24"/>
      <c r="AK41" s="24"/>
      <c r="AL41" s="24"/>
      <c r="AM41" s="24"/>
      <c r="AN41" s="24"/>
      <c r="AO41" s="24"/>
      <c r="AP41" s="24"/>
      <c r="AQ41" s="22"/>
      <c r="AR41" s="34"/>
      <c r="AS41" s="34"/>
      <c r="AT41" s="100"/>
      <c r="AU41" s="83">
        <f t="shared" si="2"/>
        <v>0</v>
      </c>
      <c r="AV41" s="83">
        <f t="shared" si="3"/>
        <v>0</v>
      </c>
      <c r="AW41" s="83">
        <f t="shared" si="4"/>
        <v>0</v>
      </c>
      <c r="AX41" s="83">
        <f t="shared" si="5"/>
        <v>0</v>
      </c>
    </row>
    <row r="42" spans="1:50" ht="24" x14ac:dyDescent="0.3">
      <c r="A42" s="144"/>
      <c r="B42" s="144"/>
      <c r="C42" s="144"/>
      <c r="D42" s="36" t="s">
        <v>4</v>
      </c>
      <c r="E42" s="24">
        <f t="shared" si="21"/>
        <v>0</v>
      </c>
      <c r="F42" s="24">
        <f t="shared" si="21"/>
        <v>0</v>
      </c>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34"/>
      <c r="AS42" s="34"/>
      <c r="AT42" s="100"/>
      <c r="AU42" s="83">
        <f t="shared" si="2"/>
        <v>0</v>
      </c>
      <c r="AV42" s="83">
        <f t="shared" si="3"/>
        <v>0</v>
      </c>
      <c r="AW42" s="83">
        <f t="shared" si="4"/>
        <v>0</v>
      </c>
      <c r="AX42" s="83">
        <f t="shared" si="5"/>
        <v>0</v>
      </c>
    </row>
    <row r="43" spans="1:50" ht="348" x14ac:dyDescent="0.3">
      <c r="A43" s="144"/>
      <c r="B43" s="144"/>
      <c r="C43" s="144"/>
      <c r="D43" s="36" t="s">
        <v>44</v>
      </c>
      <c r="E43" s="24">
        <f t="shared" si="21"/>
        <v>25090.399999999998</v>
      </c>
      <c r="F43" s="24">
        <f t="shared" si="21"/>
        <v>832.6</v>
      </c>
      <c r="G43" s="24">
        <f>F43/E43*100</f>
        <v>3.3184006632018628</v>
      </c>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v>542.1</v>
      </c>
      <c r="AG43" s="24"/>
      <c r="AH43" s="24">
        <f>AG43/AF43*100</f>
        <v>0</v>
      </c>
      <c r="AI43" s="24">
        <f>10624.9-542.1+8465.5</f>
        <v>18548.3</v>
      </c>
      <c r="AJ43" s="24"/>
      <c r="AK43" s="24"/>
      <c r="AL43" s="24">
        <f>6536.4-536.4</f>
        <v>6000</v>
      </c>
      <c r="AM43" s="24"/>
      <c r="AN43" s="24"/>
      <c r="AO43" s="24"/>
      <c r="AP43" s="24">
        <v>832.6</v>
      </c>
      <c r="AQ43" s="24"/>
      <c r="AR43" s="81" t="s">
        <v>195</v>
      </c>
      <c r="AS43" s="58" t="s">
        <v>200</v>
      </c>
      <c r="AT43" s="100">
        <f t="shared" si="8"/>
        <v>3.3184006632018627E-2</v>
      </c>
      <c r="AU43" s="83">
        <f t="shared" si="2"/>
        <v>0</v>
      </c>
      <c r="AV43" s="83">
        <f t="shared" si="3"/>
        <v>0</v>
      </c>
      <c r="AW43" s="83">
        <f t="shared" si="4"/>
        <v>542.1</v>
      </c>
      <c r="AX43" s="83">
        <f t="shared" si="5"/>
        <v>24548.3</v>
      </c>
    </row>
    <row r="44" spans="1:50" ht="15" customHeight="1" x14ac:dyDescent="0.3">
      <c r="A44" s="144"/>
      <c r="B44" s="144"/>
      <c r="C44" s="144"/>
      <c r="D44" s="36" t="s">
        <v>22</v>
      </c>
      <c r="E44" s="24">
        <f t="shared" si="21"/>
        <v>0</v>
      </c>
      <c r="F44" s="24">
        <f t="shared" si="21"/>
        <v>0</v>
      </c>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56"/>
      <c r="AS44" s="58"/>
      <c r="AT44" s="100"/>
      <c r="AU44" s="83">
        <f t="shared" si="2"/>
        <v>0</v>
      </c>
      <c r="AV44" s="83">
        <f t="shared" si="3"/>
        <v>0</v>
      </c>
      <c r="AW44" s="83">
        <f t="shared" si="4"/>
        <v>0</v>
      </c>
      <c r="AX44" s="83">
        <f t="shared" si="5"/>
        <v>0</v>
      </c>
    </row>
    <row r="45" spans="1:50" ht="159" customHeight="1" x14ac:dyDescent="0.3">
      <c r="A45" s="124"/>
      <c r="B45" s="124"/>
      <c r="C45" s="124"/>
      <c r="D45" s="37" t="s">
        <v>128</v>
      </c>
      <c r="E45" s="24"/>
      <c r="F45" s="24">
        <f t="shared" si="21"/>
        <v>191.4</v>
      </c>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v>191.4</v>
      </c>
      <c r="AQ45" s="24"/>
      <c r="AR45" s="81" t="s">
        <v>194</v>
      </c>
      <c r="AS45" s="58" t="s">
        <v>201</v>
      </c>
      <c r="AT45" s="100"/>
      <c r="AU45" s="83"/>
      <c r="AV45" s="83"/>
      <c r="AW45" s="83"/>
      <c r="AX45" s="83"/>
    </row>
    <row r="46" spans="1:50" ht="12" customHeight="1" x14ac:dyDescent="0.3">
      <c r="A46" s="140" t="s">
        <v>49</v>
      </c>
      <c r="B46" s="140" t="s">
        <v>132</v>
      </c>
      <c r="C46" s="140" t="s">
        <v>123</v>
      </c>
      <c r="D46" s="36" t="s">
        <v>3</v>
      </c>
      <c r="E46" s="24">
        <f t="shared" si="21"/>
        <v>0</v>
      </c>
      <c r="F46" s="24">
        <f t="shared" si="21"/>
        <v>0</v>
      </c>
      <c r="G46" s="24"/>
      <c r="H46" s="24">
        <f>H47+H48+H49+H50</f>
        <v>0</v>
      </c>
      <c r="I46" s="24">
        <f>I47+I48+I49+I50</f>
        <v>0</v>
      </c>
      <c r="J46" s="24"/>
      <c r="K46" s="24">
        <f>K47+K48+K49+K50</f>
        <v>0</v>
      </c>
      <c r="L46" s="24">
        <f>L47+L48+L49+L50</f>
        <v>0</v>
      </c>
      <c r="M46" s="24"/>
      <c r="N46" s="24">
        <f>N47+N48+N49+N50</f>
        <v>0</v>
      </c>
      <c r="O46" s="24">
        <f>O47+O48+O49+O50</f>
        <v>0</v>
      </c>
      <c r="P46" s="24"/>
      <c r="Q46" s="24">
        <f>Q47+Q48+Q49+Q50</f>
        <v>0</v>
      </c>
      <c r="R46" s="24">
        <f>R47+R48+R49+R50</f>
        <v>0</v>
      </c>
      <c r="S46" s="24"/>
      <c r="T46" s="24">
        <f>T47+T48+T49+T50</f>
        <v>0</v>
      </c>
      <c r="U46" s="24">
        <f>U47+U48+U49+U50</f>
        <v>0</v>
      </c>
      <c r="V46" s="24"/>
      <c r="W46" s="24">
        <f>W47+W48+W49+W50</f>
        <v>0</v>
      </c>
      <c r="X46" s="24">
        <f>X47+X48+X49+X50</f>
        <v>0</v>
      </c>
      <c r="Y46" s="24"/>
      <c r="Z46" s="24">
        <f t="shared" ref="Z46:AO46" si="24">Z47+Z48+Z49+Z50</f>
        <v>0</v>
      </c>
      <c r="AA46" s="24"/>
      <c r="AB46" s="24"/>
      <c r="AC46" s="24">
        <f t="shared" si="24"/>
        <v>0</v>
      </c>
      <c r="AD46" s="24"/>
      <c r="AE46" s="24"/>
      <c r="AF46" s="24">
        <f t="shared" si="24"/>
        <v>0</v>
      </c>
      <c r="AG46" s="24">
        <f t="shared" si="24"/>
        <v>0</v>
      </c>
      <c r="AH46" s="24"/>
      <c r="AI46" s="24">
        <f t="shared" si="24"/>
        <v>0</v>
      </c>
      <c r="AJ46" s="24">
        <f t="shared" si="24"/>
        <v>0</v>
      </c>
      <c r="AK46" s="24"/>
      <c r="AL46" s="24">
        <f t="shared" si="24"/>
        <v>0</v>
      </c>
      <c r="AM46" s="24"/>
      <c r="AN46" s="24"/>
      <c r="AO46" s="24">
        <f t="shared" si="24"/>
        <v>0</v>
      </c>
      <c r="AP46" s="24"/>
      <c r="AQ46" s="24"/>
      <c r="AR46" s="34"/>
      <c r="AS46" s="34"/>
      <c r="AT46" s="100"/>
      <c r="AU46" s="83">
        <f t="shared" si="2"/>
        <v>0</v>
      </c>
      <c r="AV46" s="83">
        <f t="shared" si="3"/>
        <v>0</v>
      </c>
      <c r="AW46" s="83">
        <f t="shared" si="4"/>
        <v>0</v>
      </c>
      <c r="AX46" s="83">
        <f t="shared" si="5"/>
        <v>0</v>
      </c>
    </row>
    <row r="47" spans="1:50" ht="13.5" customHeight="1" x14ac:dyDescent="0.3">
      <c r="A47" s="140"/>
      <c r="B47" s="140"/>
      <c r="C47" s="140"/>
      <c r="D47" s="36" t="s">
        <v>21</v>
      </c>
      <c r="E47" s="24">
        <f t="shared" si="21"/>
        <v>0</v>
      </c>
      <c r="F47" s="24">
        <f t="shared" si="21"/>
        <v>0</v>
      </c>
      <c r="G47" s="22"/>
      <c r="H47" s="24">
        <f>H52+H57+H62</f>
        <v>0</v>
      </c>
      <c r="I47" s="24">
        <f>I52+I57+I62</f>
        <v>0</v>
      </c>
      <c r="J47" s="24"/>
      <c r="K47" s="24">
        <f>K52+K57+K62</f>
        <v>0</v>
      </c>
      <c r="L47" s="24">
        <f>L52+L57+L62</f>
        <v>0</v>
      </c>
      <c r="M47" s="24"/>
      <c r="N47" s="24">
        <f>N52+N57+N62</f>
        <v>0</v>
      </c>
      <c r="O47" s="24">
        <f>O52+O57+O62</f>
        <v>0</v>
      </c>
      <c r="P47" s="24"/>
      <c r="Q47" s="24">
        <f>Q52+Q57+Q62</f>
        <v>0</v>
      </c>
      <c r="R47" s="24">
        <f>R52+R57+R62</f>
        <v>0</v>
      </c>
      <c r="S47" s="24"/>
      <c r="T47" s="24">
        <f>T52+T57+T62</f>
        <v>0</v>
      </c>
      <c r="U47" s="24">
        <f>U52+U57+U62</f>
        <v>0</v>
      </c>
      <c r="V47" s="24"/>
      <c r="W47" s="24">
        <f>W52+W57+W62</f>
        <v>0</v>
      </c>
      <c r="X47" s="24">
        <f>X52+X57+X62</f>
        <v>0</v>
      </c>
      <c r="Y47" s="24"/>
      <c r="Z47" s="24">
        <f>Z52+Z57+Z62</f>
        <v>0</v>
      </c>
      <c r="AA47" s="24"/>
      <c r="AB47" s="24"/>
      <c r="AC47" s="24">
        <f>AC52+AC57+AC62</f>
        <v>0</v>
      </c>
      <c r="AD47" s="24"/>
      <c r="AE47" s="24"/>
      <c r="AF47" s="24">
        <f>AF52+AF57+AF62</f>
        <v>0</v>
      </c>
      <c r="AG47" s="24"/>
      <c r="AH47" s="24"/>
      <c r="AI47" s="24">
        <f>AI52+AI57+AI62</f>
        <v>0</v>
      </c>
      <c r="AJ47" s="24"/>
      <c r="AK47" s="24"/>
      <c r="AL47" s="24">
        <f>AL52+AL57+AL62</f>
        <v>0</v>
      </c>
      <c r="AM47" s="24"/>
      <c r="AN47" s="24"/>
      <c r="AO47" s="24">
        <f>AO52+AO57+AO62</f>
        <v>0</v>
      </c>
      <c r="AP47" s="24"/>
      <c r="AQ47" s="24"/>
      <c r="AR47" s="34"/>
      <c r="AS47" s="34"/>
      <c r="AT47" s="100"/>
      <c r="AU47" s="83">
        <f t="shared" si="2"/>
        <v>0</v>
      </c>
      <c r="AV47" s="83">
        <f t="shared" si="3"/>
        <v>0</v>
      </c>
      <c r="AW47" s="83">
        <f t="shared" si="4"/>
        <v>0</v>
      </c>
      <c r="AX47" s="83">
        <f t="shared" si="5"/>
        <v>0</v>
      </c>
    </row>
    <row r="48" spans="1:50" ht="24" x14ac:dyDescent="0.3">
      <c r="A48" s="140"/>
      <c r="B48" s="140"/>
      <c r="C48" s="140"/>
      <c r="D48" s="36" t="s">
        <v>4</v>
      </c>
      <c r="E48" s="24">
        <f t="shared" si="21"/>
        <v>0</v>
      </c>
      <c r="F48" s="24">
        <f t="shared" si="21"/>
        <v>0</v>
      </c>
      <c r="G48" s="24"/>
      <c r="H48" s="24">
        <f t="shared" ref="H48:I50" si="25">H53+H58+H63</f>
        <v>0</v>
      </c>
      <c r="I48" s="24">
        <f t="shared" si="25"/>
        <v>0</v>
      </c>
      <c r="J48" s="24"/>
      <c r="K48" s="24">
        <f t="shared" ref="K48:L49" si="26">K53+K58+K63</f>
        <v>0</v>
      </c>
      <c r="L48" s="24">
        <f t="shared" si="26"/>
        <v>0</v>
      </c>
      <c r="M48" s="24"/>
      <c r="N48" s="24">
        <f t="shared" ref="N48:O50" si="27">N53+N58+N63</f>
        <v>0</v>
      </c>
      <c r="O48" s="24">
        <f t="shared" si="27"/>
        <v>0</v>
      </c>
      <c r="P48" s="24"/>
      <c r="Q48" s="24">
        <f t="shared" ref="Q48:R50" si="28">Q53+Q58+Q63</f>
        <v>0</v>
      </c>
      <c r="R48" s="24">
        <f t="shared" si="28"/>
        <v>0</v>
      </c>
      <c r="S48" s="24"/>
      <c r="T48" s="24">
        <f t="shared" ref="T48:U50" si="29">T53+T58+T63</f>
        <v>0</v>
      </c>
      <c r="U48" s="24">
        <f t="shared" si="29"/>
        <v>0</v>
      </c>
      <c r="V48" s="24"/>
      <c r="W48" s="24">
        <f t="shared" ref="W48:X50" si="30">W53+W58+W63</f>
        <v>0</v>
      </c>
      <c r="X48" s="24">
        <f t="shared" si="30"/>
        <v>0</v>
      </c>
      <c r="Y48" s="24"/>
      <c r="Z48" s="24">
        <f t="shared" ref="Z48:Z50" si="31">Z53+Z58+Z63</f>
        <v>0</v>
      </c>
      <c r="AA48" s="24"/>
      <c r="AB48" s="24"/>
      <c r="AC48" s="24">
        <f t="shared" ref="AC48:AC50" si="32">AC53+AC58+AC63</f>
        <v>0</v>
      </c>
      <c r="AD48" s="24"/>
      <c r="AE48" s="24"/>
      <c r="AF48" s="24">
        <f t="shared" ref="AF48:AG50" si="33">AF53+AF58+AF63</f>
        <v>0</v>
      </c>
      <c r="AG48" s="24"/>
      <c r="AH48" s="24"/>
      <c r="AI48" s="24">
        <f t="shared" ref="AI48:AI50" si="34">AI53+AI58+AI63</f>
        <v>0</v>
      </c>
      <c r="AJ48" s="24"/>
      <c r="AK48" s="24"/>
      <c r="AL48" s="24">
        <f t="shared" ref="AL48:AL50" si="35">AL53+AL58+AL63</f>
        <v>0</v>
      </c>
      <c r="AM48" s="24"/>
      <c r="AN48" s="24"/>
      <c r="AO48" s="24">
        <f t="shared" ref="AO48:AO50" si="36">AO53+AO58+AO63</f>
        <v>0</v>
      </c>
      <c r="AP48" s="24"/>
      <c r="AQ48" s="24"/>
      <c r="AR48" s="34"/>
      <c r="AS48" s="34"/>
      <c r="AT48" s="100"/>
      <c r="AU48" s="83">
        <f t="shared" si="2"/>
        <v>0</v>
      </c>
      <c r="AV48" s="83">
        <f t="shared" si="3"/>
        <v>0</v>
      </c>
      <c r="AW48" s="83">
        <f t="shared" si="4"/>
        <v>0</v>
      </c>
      <c r="AX48" s="83">
        <f t="shared" si="5"/>
        <v>0</v>
      </c>
    </row>
    <row r="49" spans="1:50" ht="12.6" customHeight="1" x14ac:dyDescent="0.3">
      <c r="A49" s="140"/>
      <c r="B49" s="140"/>
      <c r="C49" s="140"/>
      <c r="D49" s="36" t="s">
        <v>44</v>
      </c>
      <c r="E49" s="24">
        <f t="shared" si="21"/>
        <v>0</v>
      </c>
      <c r="F49" s="24">
        <f t="shared" si="21"/>
        <v>0</v>
      </c>
      <c r="G49" s="24"/>
      <c r="H49" s="24">
        <f t="shared" si="25"/>
        <v>0</v>
      </c>
      <c r="I49" s="24">
        <f t="shared" si="25"/>
        <v>0</v>
      </c>
      <c r="J49" s="24"/>
      <c r="K49" s="24">
        <f t="shared" si="26"/>
        <v>0</v>
      </c>
      <c r="L49" s="24">
        <f t="shared" si="26"/>
        <v>0</v>
      </c>
      <c r="M49" s="24"/>
      <c r="N49" s="24">
        <f t="shared" si="27"/>
        <v>0</v>
      </c>
      <c r="O49" s="24">
        <f t="shared" si="27"/>
        <v>0</v>
      </c>
      <c r="P49" s="24"/>
      <c r="Q49" s="24">
        <f t="shared" si="28"/>
        <v>0</v>
      </c>
      <c r="R49" s="24">
        <f t="shared" si="28"/>
        <v>0</v>
      </c>
      <c r="S49" s="24"/>
      <c r="T49" s="24">
        <f t="shared" si="29"/>
        <v>0</v>
      </c>
      <c r="U49" s="24">
        <f t="shared" si="29"/>
        <v>0</v>
      </c>
      <c r="V49" s="24"/>
      <c r="W49" s="24">
        <f t="shared" si="30"/>
        <v>0</v>
      </c>
      <c r="X49" s="24">
        <f t="shared" si="30"/>
        <v>0</v>
      </c>
      <c r="Y49" s="24"/>
      <c r="Z49" s="24">
        <f t="shared" si="31"/>
        <v>0</v>
      </c>
      <c r="AA49" s="24"/>
      <c r="AB49" s="24"/>
      <c r="AC49" s="24">
        <f t="shared" si="32"/>
        <v>0</v>
      </c>
      <c r="AD49" s="24"/>
      <c r="AE49" s="24"/>
      <c r="AF49" s="24">
        <f t="shared" si="33"/>
        <v>0</v>
      </c>
      <c r="AG49" s="24">
        <f t="shared" si="33"/>
        <v>0</v>
      </c>
      <c r="AH49" s="24"/>
      <c r="AI49" s="24">
        <f t="shared" si="34"/>
        <v>0</v>
      </c>
      <c r="AJ49" s="24"/>
      <c r="AK49" s="24"/>
      <c r="AL49" s="24">
        <f t="shared" si="35"/>
        <v>0</v>
      </c>
      <c r="AM49" s="24"/>
      <c r="AN49" s="24"/>
      <c r="AO49" s="24">
        <f t="shared" si="36"/>
        <v>0</v>
      </c>
      <c r="AP49" s="24"/>
      <c r="AQ49" s="24"/>
      <c r="AR49" s="90"/>
      <c r="AS49" s="90"/>
      <c r="AT49" s="100"/>
      <c r="AU49" s="83">
        <f t="shared" si="2"/>
        <v>0</v>
      </c>
      <c r="AV49" s="83">
        <f t="shared" si="3"/>
        <v>0</v>
      </c>
      <c r="AW49" s="83">
        <f t="shared" si="4"/>
        <v>0</v>
      </c>
      <c r="AX49" s="83">
        <f t="shared" si="5"/>
        <v>0</v>
      </c>
    </row>
    <row r="50" spans="1:50" x14ac:dyDescent="0.3">
      <c r="A50" s="140"/>
      <c r="B50" s="140"/>
      <c r="C50" s="140"/>
      <c r="D50" s="36" t="s">
        <v>22</v>
      </c>
      <c r="E50" s="24">
        <f t="shared" si="21"/>
        <v>0</v>
      </c>
      <c r="F50" s="24">
        <f t="shared" si="21"/>
        <v>0</v>
      </c>
      <c r="G50" s="24"/>
      <c r="H50" s="24">
        <f t="shared" si="25"/>
        <v>0</v>
      </c>
      <c r="I50" s="24">
        <f t="shared" si="25"/>
        <v>0</v>
      </c>
      <c r="J50" s="24"/>
      <c r="K50" s="24"/>
      <c r="L50" s="24"/>
      <c r="M50" s="24"/>
      <c r="N50" s="24">
        <f t="shared" si="27"/>
        <v>0</v>
      </c>
      <c r="O50" s="24">
        <f t="shared" si="27"/>
        <v>0</v>
      </c>
      <c r="P50" s="24"/>
      <c r="Q50" s="24">
        <f t="shared" si="28"/>
        <v>0</v>
      </c>
      <c r="R50" s="24">
        <f t="shared" si="28"/>
        <v>0</v>
      </c>
      <c r="S50" s="24"/>
      <c r="T50" s="24">
        <f t="shared" si="29"/>
        <v>0</v>
      </c>
      <c r="U50" s="24">
        <f t="shared" si="29"/>
        <v>0</v>
      </c>
      <c r="V50" s="24"/>
      <c r="W50" s="24">
        <f t="shared" si="30"/>
        <v>0</v>
      </c>
      <c r="X50" s="24">
        <f t="shared" si="30"/>
        <v>0</v>
      </c>
      <c r="Y50" s="24"/>
      <c r="Z50" s="24">
        <f t="shared" si="31"/>
        <v>0</v>
      </c>
      <c r="AA50" s="24"/>
      <c r="AB50" s="24"/>
      <c r="AC50" s="24">
        <f t="shared" si="32"/>
        <v>0</v>
      </c>
      <c r="AD50" s="24"/>
      <c r="AE50" s="24"/>
      <c r="AF50" s="24">
        <f t="shared" si="33"/>
        <v>0</v>
      </c>
      <c r="AG50" s="24"/>
      <c r="AH50" s="24"/>
      <c r="AI50" s="24">
        <f t="shared" si="34"/>
        <v>0</v>
      </c>
      <c r="AJ50" s="24"/>
      <c r="AK50" s="24"/>
      <c r="AL50" s="24">
        <f t="shared" si="35"/>
        <v>0</v>
      </c>
      <c r="AM50" s="24"/>
      <c r="AN50" s="24"/>
      <c r="AO50" s="24">
        <f t="shared" si="36"/>
        <v>0</v>
      </c>
      <c r="AP50" s="24"/>
      <c r="AQ50" s="24"/>
      <c r="AR50" s="34"/>
      <c r="AS50" s="34"/>
      <c r="AT50" s="100"/>
      <c r="AU50" s="83">
        <f t="shared" si="2"/>
        <v>0</v>
      </c>
      <c r="AV50" s="83">
        <f t="shared" si="3"/>
        <v>0</v>
      </c>
      <c r="AW50" s="83">
        <f t="shared" si="4"/>
        <v>0</v>
      </c>
      <c r="AX50" s="83">
        <f t="shared" si="5"/>
        <v>0</v>
      </c>
    </row>
    <row r="51" spans="1:50" ht="15" customHeight="1" x14ac:dyDescent="0.3">
      <c r="A51" s="140" t="s">
        <v>129</v>
      </c>
      <c r="B51" s="140" t="s">
        <v>133</v>
      </c>
      <c r="C51" s="140" t="s">
        <v>140</v>
      </c>
      <c r="D51" s="36" t="s">
        <v>3</v>
      </c>
      <c r="E51" s="24">
        <f t="shared" si="21"/>
        <v>0</v>
      </c>
      <c r="F51" s="24">
        <f t="shared" si="21"/>
        <v>0</v>
      </c>
      <c r="G51" s="24"/>
      <c r="H51" s="24">
        <f>H52+H53+H54+H55</f>
        <v>0</v>
      </c>
      <c r="I51" s="24"/>
      <c r="J51" s="24"/>
      <c r="K51" s="24">
        <f t="shared" ref="K51:AO51" si="37">K52+K53+K54+K55</f>
        <v>0</v>
      </c>
      <c r="L51" s="24"/>
      <c r="M51" s="24"/>
      <c r="N51" s="24">
        <f t="shared" si="37"/>
        <v>0</v>
      </c>
      <c r="O51" s="24"/>
      <c r="P51" s="24"/>
      <c r="Q51" s="24">
        <f t="shared" si="37"/>
        <v>0</v>
      </c>
      <c r="R51" s="24"/>
      <c r="S51" s="24"/>
      <c r="T51" s="24">
        <f t="shared" si="37"/>
        <v>0</v>
      </c>
      <c r="U51" s="24"/>
      <c r="V51" s="24"/>
      <c r="W51" s="24">
        <f t="shared" si="37"/>
        <v>0</v>
      </c>
      <c r="X51" s="24"/>
      <c r="Y51" s="24"/>
      <c r="Z51" s="24">
        <f t="shared" si="37"/>
        <v>0</v>
      </c>
      <c r="AA51" s="24"/>
      <c r="AB51" s="24"/>
      <c r="AC51" s="24">
        <f t="shared" si="37"/>
        <v>0</v>
      </c>
      <c r="AD51" s="24"/>
      <c r="AE51" s="24"/>
      <c r="AF51" s="24">
        <f t="shared" si="37"/>
        <v>0</v>
      </c>
      <c r="AG51" s="24"/>
      <c r="AH51" s="24"/>
      <c r="AI51" s="24">
        <f t="shared" si="37"/>
        <v>0</v>
      </c>
      <c r="AJ51" s="24"/>
      <c r="AK51" s="24"/>
      <c r="AL51" s="24">
        <f t="shared" si="37"/>
        <v>0</v>
      </c>
      <c r="AM51" s="24"/>
      <c r="AN51" s="24"/>
      <c r="AO51" s="24">
        <f t="shared" si="37"/>
        <v>0</v>
      </c>
      <c r="AP51" s="24"/>
      <c r="AQ51" s="24"/>
      <c r="AR51" s="34"/>
      <c r="AS51" s="34"/>
      <c r="AT51" s="100"/>
      <c r="AU51" s="83">
        <f t="shared" si="2"/>
        <v>0</v>
      </c>
      <c r="AV51" s="83">
        <f t="shared" si="3"/>
        <v>0</v>
      </c>
      <c r="AW51" s="83">
        <f t="shared" si="4"/>
        <v>0</v>
      </c>
      <c r="AX51" s="83">
        <f t="shared" si="5"/>
        <v>0</v>
      </c>
    </row>
    <row r="52" spans="1:50" ht="15.75" customHeight="1" x14ac:dyDescent="0.3">
      <c r="A52" s="140"/>
      <c r="B52" s="140"/>
      <c r="C52" s="140"/>
      <c r="D52" s="36" t="s">
        <v>21</v>
      </c>
      <c r="E52" s="24">
        <f t="shared" ref="E52:F82" si="38">H52+K52+N52+Q52+T52+W52+Z52+AC52+AF52+AI52+AL52+AO52</f>
        <v>0</v>
      </c>
      <c r="F52" s="24">
        <f t="shared" si="38"/>
        <v>0</v>
      </c>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34"/>
      <c r="AS52" s="34"/>
      <c r="AT52" s="100"/>
      <c r="AU52" s="83">
        <f t="shared" si="2"/>
        <v>0</v>
      </c>
      <c r="AV52" s="83">
        <f t="shared" si="3"/>
        <v>0</v>
      </c>
      <c r="AW52" s="83">
        <f t="shared" si="4"/>
        <v>0</v>
      </c>
      <c r="AX52" s="83">
        <f t="shared" si="5"/>
        <v>0</v>
      </c>
    </row>
    <row r="53" spans="1:50" ht="24" x14ac:dyDescent="0.3">
      <c r="A53" s="140"/>
      <c r="B53" s="140"/>
      <c r="C53" s="140"/>
      <c r="D53" s="36" t="s">
        <v>4</v>
      </c>
      <c r="E53" s="24">
        <f t="shared" si="38"/>
        <v>0</v>
      </c>
      <c r="F53" s="24">
        <f t="shared" si="38"/>
        <v>0</v>
      </c>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34"/>
      <c r="AS53" s="34"/>
      <c r="AT53" s="100"/>
      <c r="AU53" s="83">
        <f t="shared" si="2"/>
        <v>0</v>
      </c>
      <c r="AV53" s="83">
        <f t="shared" si="3"/>
        <v>0</v>
      </c>
      <c r="AW53" s="83">
        <f t="shared" si="4"/>
        <v>0</v>
      </c>
      <c r="AX53" s="83">
        <f t="shared" si="5"/>
        <v>0</v>
      </c>
    </row>
    <row r="54" spans="1:50" x14ac:dyDescent="0.3">
      <c r="A54" s="140"/>
      <c r="B54" s="140"/>
      <c r="C54" s="140"/>
      <c r="D54" s="36" t="s">
        <v>44</v>
      </c>
      <c r="E54" s="24">
        <f t="shared" si="38"/>
        <v>0</v>
      </c>
      <c r="F54" s="24">
        <f t="shared" si="38"/>
        <v>0</v>
      </c>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34"/>
      <c r="AS54" s="34"/>
      <c r="AT54" s="100"/>
      <c r="AU54" s="83">
        <f t="shared" si="2"/>
        <v>0</v>
      </c>
      <c r="AV54" s="83">
        <f t="shared" si="3"/>
        <v>0</v>
      </c>
      <c r="AW54" s="83">
        <f t="shared" si="4"/>
        <v>0</v>
      </c>
      <c r="AX54" s="83">
        <f t="shared" si="5"/>
        <v>0</v>
      </c>
    </row>
    <row r="55" spans="1:50" x14ac:dyDescent="0.3">
      <c r="A55" s="140"/>
      <c r="B55" s="140"/>
      <c r="C55" s="140"/>
      <c r="D55" s="36" t="s">
        <v>22</v>
      </c>
      <c r="E55" s="24">
        <f t="shared" si="38"/>
        <v>0</v>
      </c>
      <c r="F55" s="24">
        <f t="shared" si="38"/>
        <v>0</v>
      </c>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34"/>
      <c r="AS55" s="34"/>
      <c r="AT55" s="100"/>
      <c r="AU55" s="83">
        <f t="shared" si="2"/>
        <v>0</v>
      </c>
      <c r="AV55" s="83">
        <f t="shared" si="3"/>
        <v>0</v>
      </c>
      <c r="AW55" s="83">
        <f t="shared" si="4"/>
        <v>0</v>
      </c>
      <c r="AX55" s="83">
        <f t="shared" si="5"/>
        <v>0</v>
      </c>
    </row>
    <row r="56" spans="1:50" x14ac:dyDescent="0.3">
      <c r="A56" s="140" t="s">
        <v>130</v>
      </c>
      <c r="B56" s="140" t="s">
        <v>134</v>
      </c>
      <c r="C56" s="140" t="s">
        <v>5</v>
      </c>
      <c r="D56" s="36" t="s">
        <v>3</v>
      </c>
      <c r="E56" s="24">
        <f t="shared" si="38"/>
        <v>0</v>
      </c>
      <c r="F56" s="24">
        <f t="shared" si="38"/>
        <v>0</v>
      </c>
      <c r="G56" s="24"/>
      <c r="H56" s="24">
        <f>H57+H58+H59+H60</f>
        <v>0</v>
      </c>
      <c r="I56" s="24"/>
      <c r="J56" s="24"/>
      <c r="K56" s="24">
        <f t="shared" ref="K56" si="39">K57+K58+K59+K60</f>
        <v>0</v>
      </c>
      <c r="L56" s="24"/>
      <c r="M56" s="24"/>
      <c r="N56" s="24">
        <f t="shared" ref="N56" si="40">N57+N58+N59+N60</f>
        <v>0</v>
      </c>
      <c r="O56" s="24"/>
      <c r="P56" s="24"/>
      <c r="Q56" s="24">
        <f t="shared" ref="Q56" si="41">Q57+Q58+Q59+Q60</f>
        <v>0</v>
      </c>
      <c r="R56" s="24"/>
      <c r="S56" s="24"/>
      <c r="T56" s="24">
        <f t="shared" ref="T56" si="42">T57+T58+T59+T60</f>
        <v>0</v>
      </c>
      <c r="U56" s="24"/>
      <c r="V56" s="24"/>
      <c r="W56" s="24">
        <f t="shared" ref="W56" si="43">W57+W58+W59+W60</f>
        <v>0</v>
      </c>
      <c r="X56" s="24"/>
      <c r="Y56" s="24"/>
      <c r="Z56" s="24">
        <f t="shared" ref="Z56" si="44">Z57+Z58+Z59+Z60</f>
        <v>0</v>
      </c>
      <c r="AA56" s="24"/>
      <c r="AB56" s="24"/>
      <c r="AC56" s="24">
        <f t="shared" ref="AC56" si="45">AC57+AC58+AC59+AC60</f>
        <v>0</v>
      </c>
      <c r="AD56" s="24"/>
      <c r="AE56" s="24"/>
      <c r="AF56" s="24">
        <f t="shared" ref="AF56" si="46">AF57+AF58+AF59+AF60</f>
        <v>0</v>
      </c>
      <c r="AG56" s="24"/>
      <c r="AH56" s="24"/>
      <c r="AI56" s="24">
        <f t="shared" ref="AI56" si="47">AI57+AI58+AI59+AI60</f>
        <v>0</v>
      </c>
      <c r="AJ56" s="24"/>
      <c r="AK56" s="24"/>
      <c r="AL56" s="24">
        <f t="shared" ref="AL56" si="48">AL57+AL58+AL59+AL60</f>
        <v>0</v>
      </c>
      <c r="AM56" s="24"/>
      <c r="AN56" s="24"/>
      <c r="AO56" s="24">
        <f t="shared" ref="AO56" si="49">AO57+AO58+AO59+AO60</f>
        <v>0</v>
      </c>
      <c r="AP56" s="24"/>
      <c r="AQ56" s="24"/>
      <c r="AR56" s="34"/>
      <c r="AS56" s="34"/>
      <c r="AT56" s="100"/>
      <c r="AU56" s="83">
        <f t="shared" si="2"/>
        <v>0</v>
      </c>
      <c r="AV56" s="83">
        <f t="shared" si="3"/>
        <v>0</v>
      </c>
      <c r="AW56" s="83">
        <f t="shared" si="4"/>
        <v>0</v>
      </c>
      <c r="AX56" s="83">
        <f t="shared" si="5"/>
        <v>0</v>
      </c>
    </row>
    <row r="57" spans="1:50" x14ac:dyDescent="0.3">
      <c r="A57" s="140"/>
      <c r="B57" s="140"/>
      <c r="C57" s="140"/>
      <c r="D57" s="36" t="s">
        <v>21</v>
      </c>
      <c r="E57" s="24">
        <f t="shared" si="38"/>
        <v>0</v>
      </c>
      <c r="F57" s="24">
        <f t="shared" si="38"/>
        <v>0</v>
      </c>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34"/>
      <c r="AS57" s="34"/>
      <c r="AT57" s="100"/>
      <c r="AU57" s="83">
        <f t="shared" si="2"/>
        <v>0</v>
      </c>
      <c r="AV57" s="83">
        <f t="shared" si="3"/>
        <v>0</v>
      </c>
      <c r="AW57" s="83">
        <f t="shared" si="4"/>
        <v>0</v>
      </c>
      <c r="AX57" s="83">
        <f t="shared" si="5"/>
        <v>0</v>
      </c>
    </row>
    <row r="58" spans="1:50" ht="24" x14ac:dyDescent="0.3">
      <c r="A58" s="140"/>
      <c r="B58" s="140"/>
      <c r="C58" s="140"/>
      <c r="D58" s="36" t="s">
        <v>4</v>
      </c>
      <c r="E58" s="24">
        <f t="shared" si="38"/>
        <v>0</v>
      </c>
      <c r="F58" s="24">
        <f t="shared" si="38"/>
        <v>0</v>
      </c>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34"/>
      <c r="AS58" s="34"/>
      <c r="AT58" s="100"/>
      <c r="AU58" s="83">
        <f t="shared" si="2"/>
        <v>0</v>
      </c>
      <c r="AV58" s="83">
        <f t="shared" si="3"/>
        <v>0</v>
      </c>
      <c r="AW58" s="83">
        <f t="shared" si="4"/>
        <v>0</v>
      </c>
      <c r="AX58" s="83">
        <f t="shared" si="5"/>
        <v>0</v>
      </c>
    </row>
    <row r="59" spans="1:50" x14ac:dyDescent="0.3">
      <c r="A59" s="140"/>
      <c r="B59" s="140"/>
      <c r="C59" s="140"/>
      <c r="D59" s="36" t="s">
        <v>44</v>
      </c>
      <c r="E59" s="24">
        <f t="shared" si="38"/>
        <v>0</v>
      </c>
      <c r="F59" s="24">
        <f t="shared" si="38"/>
        <v>0</v>
      </c>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34"/>
      <c r="AS59" s="34"/>
      <c r="AT59" s="100"/>
      <c r="AU59" s="83">
        <f t="shared" si="2"/>
        <v>0</v>
      </c>
      <c r="AV59" s="83">
        <f t="shared" si="3"/>
        <v>0</v>
      </c>
      <c r="AW59" s="83">
        <f t="shared" si="4"/>
        <v>0</v>
      </c>
      <c r="AX59" s="83">
        <f t="shared" si="5"/>
        <v>0</v>
      </c>
    </row>
    <row r="60" spans="1:50" x14ac:dyDescent="0.3">
      <c r="A60" s="140"/>
      <c r="B60" s="140"/>
      <c r="C60" s="140"/>
      <c r="D60" s="36" t="s">
        <v>22</v>
      </c>
      <c r="E60" s="24">
        <f t="shared" si="38"/>
        <v>0</v>
      </c>
      <c r="F60" s="24">
        <f t="shared" si="38"/>
        <v>0</v>
      </c>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34"/>
      <c r="AS60" s="34"/>
      <c r="AT60" s="100"/>
      <c r="AU60" s="83">
        <f t="shared" si="2"/>
        <v>0</v>
      </c>
      <c r="AV60" s="83">
        <f t="shared" si="3"/>
        <v>0</v>
      </c>
      <c r="AW60" s="83">
        <f t="shared" si="4"/>
        <v>0</v>
      </c>
      <c r="AX60" s="83">
        <f t="shared" si="5"/>
        <v>0</v>
      </c>
    </row>
    <row r="61" spans="1:50" x14ac:dyDescent="0.3">
      <c r="A61" s="140" t="s">
        <v>131</v>
      </c>
      <c r="B61" s="140" t="s">
        <v>135</v>
      </c>
      <c r="C61" s="140" t="s">
        <v>140</v>
      </c>
      <c r="D61" s="36" t="s">
        <v>3</v>
      </c>
      <c r="E61" s="24">
        <f t="shared" si="38"/>
        <v>0</v>
      </c>
      <c r="F61" s="24">
        <f t="shared" si="38"/>
        <v>0</v>
      </c>
      <c r="G61" s="24"/>
      <c r="H61" s="24">
        <f>H62+H63+H64+H65</f>
        <v>0</v>
      </c>
      <c r="I61" s="24"/>
      <c r="J61" s="24"/>
      <c r="K61" s="24">
        <f t="shared" ref="K61" si="50">K62+K63+K64+K65</f>
        <v>0</v>
      </c>
      <c r="L61" s="24"/>
      <c r="M61" s="24"/>
      <c r="N61" s="24">
        <f t="shared" ref="N61" si="51">N62+N63+N64+N65</f>
        <v>0</v>
      </c>
      <c r="O61" s="24"/>
      <c r="P61" s="24"/>
      <c r="Q61" s="24">
        <f t="shared" ref="Q61" si="52">Q62+Q63+Q64+Q65</f>
        <v>0</v>
      </c>
      <c r="R61" s="24"/>
      <c r="S61" s="24"/>
      <c r="T61" s="24">
        <f t="shared" ref="T61" si="53">T62+T63+T64+T65</f>
        <v>0</v>
      </c>
      <c r="U61" s="24"/>
      <c r="V61" s="24"/>
      <c r="W61" s="24">
        <f t="shared" ref="W61" si="54">W62+W63+W64+W65</f>
        <v>0</v>
      </c>
      <c r="X61" s="24"/>
      <c r="Y61" s="24"/>
      <c r="Z61" s="24">
        <f t="shared" ref="Z61" si="55">Z62+Z63+Z64+Z65</f>
        <v>0</v>
      </c>
      <c r="AA61" s="24"/>
      <c r="AB61" s="24"/>
      <c r="AC61" s="24">
        <f t="shared" ref="AC61" si="56">AC62+AC63+AC64+AC65</f>
        <v>0</v>
      </c>
      <c r="AD61" s="24"/>
      <c r="AE61" s="24"/>
      <c r="AF61" s="24">
        <f t="shared" ref="AF61" si="57">AF62+AF63+AF64+AF65</f>
        <v>0</v>
      </c>
      <c r="AG61" s="24"/>
      <c r="AH61" s="24"/>
      <c r="AI61" s="24">
        <f t="shared" ref="AI61:AJ61" si="58">AI62+AI63+AI64+AI65</f>
        <v>0</v>
      </c>
      <c r="AJ61" s="24">
        <f t="shared" si="58"/>
        <v>0</v>
      </c>
      <c r="AK61" s="24"/>
      <c r="AL61" s="24">
        <f t="shared" ref="AL61" si="59">AL62+AL63+AL64+AL65</f>
        <v>0</v>
      </c>
      <c r="AM61" s="24"/>
      <c r="AN61" s="24"/>
      <c r="AO61" s="24">
        <f t="shared" ref="AO61" si="60">AO62+AO63+AO64+AO65</f>
        <v>0</v>
      </c>
      <c r="AP61" s="24"/>
      <c r="AQ61" s="24"/>
      <c r="AR61" s="34"/>
      <c r="AS61" s="34"/>
      <c r="AT61" s="100"/>
      <c r="AU61" s="83">
        <f t="shared" si="2"/>
        <v>0</v>
      </c>
      <c r="AV61" s="83">
        <f t="shared" si="3"/>
        <v>0</v>
      </c>
      <c r="AW61" s="83">
        <f t="shared" si="4"/>
        <v>0</v>
      </c>
      <c r="AX61" s="83">
        <f t="shared" si="5"/>
        <v>0</v>
      </c>
    </row>
    <row r="62" spans="1:50" ht="15" customHeight="1" x14ac:dyDescent="0.3">
      <c r="A62" s="140"/>
      <c r="B62" s="140"/>
      <c r="C62" s="140"/>
      <c r="D62" s="36" t="s">
        <v>21</v>
      </c>
      <c r="E62" s="24">
        <f t="shared" si="38"/>
        <v>0</v>
      </c>
      <c r="F62" s="24">
        <f t="shared" si="38"/>
        <v>0</v>
      </c>
      <c r="G62" s="22"/>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34"/>
      <c r="AS62" s="34"/>
      <c r="AT62" s="100"/>
      <c r="AU62" s="83">
        <f t="shared" si="2"/>
        <v>0</v>
      </c>
      <c r="AV62" s="83">
        <f t="shared" si="3"/>
        <v>0</v>
      </c>
      <c r="AW62" s="83">
        <f t="shared" si="4"/>
        <v>0</v>
      </c>
      <c r="AX62" s="83">
        <f t="shared" si="5"/>
        <v>0</v>
      </c>
    </row>
    <row r="63" spans="1:50" ht="24" x14ac:dyDescent="0.3">
      <c r="A63" s="140"/>
      <c r="B63" s="140"/>
      <c r="C63" s="140"/>
      <c r="D63" s="36" t="s">
        <v>4</v>
      </c>
      <c r="E63" s="24">
        <f t="shared" si="38"/>
        <v>0</v>
      </c>
      <c r="F63" s="24">
        <f t="shared" si="38"/>
        <v>0</v>
      </c>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34"/>
      <c r="AS63" s="34"/>
      <c r="AT63" s="100"/>
      <c r="AU63" s="83">
        <f t="shared" si="2"/>
        <v>0</v>
      </c>
      <c r="AV63" s="83">
        <f t="shared" si="3"/>
        <v>0</v>
      </c>
      <c r="AW63" s="83">
        <f t="shared" si="4"/>
        <v>0</v>
      </c>
      <c r="AX63" s="83">
        <f t="shared" si="5"/>
        <v>0</v>
      </c>
    </row>
    <row r="64" spans="1:50" x14ac:dyDescent="0.3">
      <c r="A64" s="140"/>
      <c r="B64" s="140"/>
      <c r="C64" s="140"/>
      <c r="D64" s="36" t="s">
        <v>44</v>
      </c>
      <c r="E64" s="24">
        <f t="shared" si="38"/>
        <v>0</v>
      </c>
      <c r="F64" s="24">
        <f t="shared" si="38"/>
        <v>0</v>
      </c>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90"/>
      <c r="AS64" s="90"/>
      <c r="AT64" s="100"/>
      <c r="AU64" s="83">
        <f t="shared" si="2"/>
        <v>0</v>
      </c>
      <c r="AV64" s="83">
        <f t="shared" si="3"/>
        <v>0</v>
      </c>
      <c r="AW64" s="83">
        <f t="shared" si="4"/>
        <v>0</v>
      </c>
      <c r="AX64" s="83">
        <f t="shared" si="5"/>
        <v>0</v>
      </c>
    </row>
    <row r="65" spans="1:50" ht="15" customHeight="1" x14ac:dyDescent="0.3">
      <c r="A65" s="140"/>
      <c r="B65" s="140"/>
      <c r="C65" s="140"/>
      <c r="D65" s="36" t="s">
        <v>22</v>
      </c>
      <c r="E65" s="24">
        <f t="shared" si="38"/>
        <v>0</v>
      </c>
      <c r="F65" s="24">
        <f t="shared" si="38"/>
        <v>0</v>
      </c>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34"/>
      <c r="AS65" s="34"/>
      <c r="AT65" s="100"/>
      <c r="AU65" s="83">
        <f t="shared" si="2"/>
        <v>0</v>
      </c>
      <c r="AV65" s="83">
        <f t="shared" si="3"/>
        <v>0</v>
      </c>
      <c r="AW65" s="83">
        <f t="shared" si="4"/>
        <v>0</v>
      </c>
      <c r="AX65" s="83">
        <f t="shared" si="5"/>
        <v>0</v>
      </c>
    </row>
    <row r="66" spans="1:50" ht="13.2" customHeight="1" x14ac:dyDescent="0.3">
      <c r="A66" s="123" t="s">
        <v>50</v>
      </c>
      <c r="B66" s="123" t="s">
        <v>88</v>
      </c>
      <c r="C66" s="123" t="s">
        <v>5</v>
      </c>
      <c r="D66" s="36" t="s">
        <v>3</v>
      </c>
      <c r="E66" s="24">
        <f t="shared" si="38"/>
        <v>18952.3</v>
      </c>
      <c r="F66" s="24">
        <f t="shared" si="38"/>
        <v>16381.609330000001</v>
      </c>
      <c r="G66" s="24">
        <f>F66/E66*100</f>
        <v>86.435996317069709</v>
      </c>
      <c r="H66" s="24">
        <f>H67+H68+H69+H70</f>
        <v>0</v>
      </c>
      <c r="I66" s="24"/>
      <c r="J66" s="24"/>
      <c r="K66" s="24">
        <f t="shared" ref="K66:AP66" si="61">K67+K68+K69+K70</f>
        <v>0</v>
      </c>
      <c r="L66" s="24">
        <f t="shared" si="61"/>
        <v>0</v>
      </c>
      <c r="M66" s="24"/>
      <c r="N66" s="24">
        <f t="shared" si="61"/>
        <v>0</v>
      </c>
      <c r="O66" s="24">
        <f t="shared" si="61"/>
        <v>0</v>
      </c>
      <c r="P66" s="24"/>
      <c r="Q66" s="24">
        <f t="shared" si="61"/>
        <v>444.9</v>
      </c>
      <c r="R66" s="24">
        <f t="shared" si="61"/>
        <v>444.9</v>
      </c>
      <c r="S66" s="24">
        <f>R66/Q66*100</f>
        <v>100</v>
      </c>
      <c r="T66" s="24">
        <f t="shared" si="61"/>
        <v>326.5</v>
      </c>
      <c r="U66" s="24">
        <f t="shared" si="61"/>
        <v>326.5</v>
      </c>
      <c r="V66" s="24">
        <f>U66/T66*100</f>
        <v>100</v>
      </c>
      <c r="W66" s="24">
        <f t="shared" si="61"/>
        <v>673.9</v>
      </c>
      <c r="X66" s="24">
        <f t="shared" si="61"/>
        <v>673.9</v>
      </c>
      <c r="Y66" s="24">
        <f>X66/W66*100</f>
        <v>100</v>
      </c>
      <c r="Z66" s="24">
        <f t="shared" si="61"/>
        <v>304.39999999999998</v>
      </c>
      <c r="AA66" s="24">
        <f t="shared" si="61"/>
        <v>304.39999999999998</v>
      </c>
      <c r="AB66" s="24">
        <f>AA66/Z66*100</f>
        <v>100</v>
      </c>
      <c r="AC66" s="24">
        <f t="shared" si="61"/>
        <v>2235.8000000000002</v>
      </c>
      <c r="AD66" s="24">
        <f t="shared" si="61"/>
        <v>2235.8000000000002</v>
      </c>
      <c r="AE66" s="24">
        <f>AD66/AC66*100</f>
        <v>100</v>
      </c>
      <c r="AF66" s="24">
        <f t="shared" si="61"/>
        <v>1125</v>
      </c>
      <c r="AG66" s="24">
        <f t="shared" si="61"/>
        <v>1125</v>
      </c>
      <c r="AH66" s="24">
        <f>AG66/AF66*100</f>
        <v>100</v>
      </c>
      <c r="AI66" s="24">
        <f t="shared" si="61"/>
        <v>9457.1</v>
      </c>
      <c r="AJ66" s="24">
        <f t="shared" si="61"/>
        <v>4380.8999999999996</v>
      </c>
      <c r="AK66" s="24">
        <f>AJ66/AI66*100</f>
        <v>46.323925939241413</v>
      </c>
      <c r="AL66" s="24">
        <f t="shared" si="61"/>
        <v>2080</v>
      </c>
      <c r="AM66" s="24">
        <f t="shared" si="61"/>
        <v>1416.5</v>
      </c>
      <c r="AN66" s="24">
        <f>AM66/AL66*100</f>
        <v>68.100961538461533</v>
      </c>
      <c r="AO66" s="24">
        <f t="shared" si="61"/>
        <v>2304.6999999999998</v>
      </c>
      <c r="AP66" s="24">
        <f t="shared" si="61"/>
        <v>5473.7093300000015</v>
      </c>
      <c r="AQ66" s="24">
        <f>AP66/AO66*100</f>
        <v>237.50203193474215</v>
      </c>
      <c r="AR66" s="34"/>
      <c r="AS66" s="34"/>
      <c r="AT66" s="100">
        <f t="shared" si="8"/>
        <v>0.86435996317069708</v>
      </c>
      <c r="AU66" s="83">
        <f t="shared" si="2"/>
        <v>0</v>
      </c>
      <c r="AV66" s="83">
        <f t="shared" si="3"/>
        <v>1445.3</v>
      </c>
      <c r="AW66" s="83">
        <f t="shared" si="4"/>
        <v>3665.2000000000003</v>
      </c>
      <c r="AX66" s="83">
        <f t="shared" si="5"/>
        <v>13841.8</v>
      </c>
    </row>
    <row r="67" spans="1:50" ht="13.2" customHeight="1" x14ac:dyDescent="0.3">
      <c r="A67" s="144"/>
      <c r="B67" s="144"/>
      <c r="C67" s="144"/>
      <c r="D67" s="36" t="s">
        <v>21</v>
      </c>
      <c r="E67" s="24">
        <f t="shared" si="38"/>
        <v>0</v>
      </c>
      <c r="F67" s="24">
        <f t="shared" si="38"/>
        <v>0</v>
      </c>
      <c r="G67" s="22"/>
      <c r="H67" s="24"/>
      <c r="I67" s="24"/>
      <c r="J67" s="24"/>
      <c r="K67" s="24"/>
      <c r="L67" s="24"/>
      <c r="M67" s="24"/>
      <c r="N67" s="24"/>
      <c r="O67" s="24"/>
      <c r="P67" s="24"/>
      <c r="Q67" s="24"/>
      <c r="R67" s="24"/>
      <c r="S67" s="22"/>
      <c r="T67" s="24"/>
      <c r="U67" s="24"/>
      <c r="V67" s="22"/>
      <c r="W67" s="24"/>
      <c r="X67" s="24"/>
      <c r="Y67" s="22"/>
      <c r="Z67" s="24"/>
      <c r="AA67" s="24"/>
      <c r="AB67" s="22"/>
      <c r="AC67" s="24"/>
      <c r="AD67" s="24"/>
      <c r="AE67" s="22"/>
      <c r="AF67" s="24"/>
      <c r="AG67" s="24"/>
      <c r="AH67" s="22"/>
      <c r="AI67" s="24"/>
      <c r="AJ67" s="24"/>
      <c r="AK67" s="22"/>
      <c r="AL67" s="24"/>
      <c r="AM67" s="24"/>
      <c r="AN67" s="22"/>
      <c r="AO67" s="24"/>
      <c r="AP67" s="24"/>
      <c r="AQ67" s="22"/>
      <c r="AR67" s="34"/>
      <c r="AS67" s="34"/>
      <c r="AT67" s="100"/>
      <c r="AU67" s="83">
        <f t="shared" si="2"/>
        <v>0</v>
      </c>
      <c r="AV67" s="83">
        <f t="shared" si="3"/>
        <v>0</v>
      </c>
      <c r="AW67" s="83">
        <f t="shared" si="4"/>
        <v>0</v>
      </c>
      <c r="AX67" s="83">
        <f t="shared" si="5"/>
        <v>0</v>
      </c>
    </row>
    <row r="68" spans="1:50" ht="96" x14ac:dyDescent="0.3">
      <c r="A68" s="144"/>
      <c r="B68" s="144"/>
      <c r="C68" s="144"/>
      <c r="D68" s="36" t="s">
        <v>4</v>
      </c>
      <c r="E68" s="24">
        <f t="shared" si="38"/>
        <v>1202</v>
      </c>
      <c r="F68" s="24">
        <f t="shared" si="38"/>
        <v>1202</v>
      </c>
      <c r="G68" s="24">
        <f>F68/E68*100</f>
        <v>100</v>
      </c>
      <c r="H68" s="40"/>
      <c r="I68" s="40"/>
      <c r="J68" s="40"/>
      <c r="K68" s="40"/>
      <c r="L68" s="40"/>
      <c r="M68" s="24"/>
      <c r="N68" s="40"/>
      <c r="O68" s="40"/>
      <c r="P68" s="24"/>
      <c r="Q68" s="24"/>
      <c r="R68" s="24"/>
      <c r="S68" s="24"/>
      <c r="T68" s="24">
        <v>150</v>
      </c>
      <c r="U68" s="24">
        <v>150</v>
      </c>
      <c r="V68" s="24">
        <f>U68/T68*100</f>
        <v>100</v>
      </c>
      <c r="W68" s="24"/>
      <c r="X68" s="24"/>
      <c r="Y68" s="24"/>
      <c r="Z68" s="24"/>
      <c r="AA68" s="24"/>
      <c r="AB68" s="24"/>
      <c r="AC68" s="24">
        <v>252</v>
      </c>
      <c r="AD68" s="24">
        <v>252</v>
      </c>
      <c r="AE68" s="24">
        <f>AD68/AC68*100</f>
        <v>100</v>
      </c>
      <c r="AF68" s="24"/>
      <c r="AG68" s="24"/>
      <c r="AH68" s="24"/>
      <c r="AI68" s="24">
        <v>800</v>
      </c>
      <c r="AJ68" s="24">
        <v>200</v>
      </c>
      <c r="AK68" s="24">
        <f>AJ68/AI68*100</f>
        <v>25</v>
      </c>
      <c r="AL68" s="40"/>
      <c r="AM68" s="24">
        <v>600</v>
      </c>
      <c r="AN68" s="24"/>
      <c r="AO68" s="40"/>
      <c r="AP68" s="40"/>
      <c r="AQ68" s="24"/>
      <c r="AR68" s="90" t="s">
        <v>189</v>
      </c>
      <c r="AS68" s="34"/>
      <c r="AT68" s="100">
        <f t="shared" si="8"/>
        <v>1</v>
      </c>
      <c r="AU68" s="83">
        <f t="shared" si="2"/>
        <v>0</v>
      </c>
      <c r="AV68" s="83">
        <f t="shared" si="3"/>
        <v>150</v>
      </c>
      <c r="AW68" s="83">
        <f t="shared" si="4"/>
        <v>252</v>
      </c>
      <c r="AX68" s="83">
        <f t="shared" si="5"/>
        <v>800</v>
      </c>
    </row>
    <row r="69" spans="1:50" ht="144" x14ac:dyDescent="0.3">
      <c r="A69" s="144"/>
      <c r="B69" s="144"/>
      <c r="C69" s="144"/>
      <c r="D69" s="36" t="s">
        <v>44</v>
      </c>
      <c r="E69" s="24">
        <f t="shared" si="38"/>
        <v>17750.3</v>
      </c>
      <c r="F69" s="24">
        <f t="shared" si="38"/>
        <v>15179.609330000001</v>
      </c>
      <c r="G69" s="24">
        <f>F69/E69*100</f>
        <v>85.517480436950365</v>
      </c>
      <c r="H69" s="24"/>
      <c r="I69" s="24"/>
      <c r="J69" s="24"/>
      <c r="K69" s="24"/>
      <c r="L69" s="24"/>
      <c r="M69" s="24"/>
      <c r="N69" s="24"/>
      <c r="O69" s="24"/>
      <c r="P69" s="24"/>
      <c r="Q69" s="24">
        <v>444.9</v>
      </c>
      <c r="R69" s="24">
        <v>444.9</v>
      </c>
      <c r="S69" s="24">
        <f>R69/Q69*100</f>
        <v>100</v>
      </c>
      <c r="T69" s="24">
        <v>176.5</v>
      </c>
      <c r="U69" s="24">
        <v>176.5</v>
      </c>
      <c r="V69" s="24">
        <f>U69/T69*100</f>
        <v>100</v>
      </c>
      <c r="W69" s="24">
        <v>673.9</v>
      </c>
      <c r="X69" s="24">
        <v>673.9</v>
      </c>
      <c r="Y69" s="24">
        <f>X69/W69*100</f>
        <v>100</v>
      </c>
      <c r="Z69" s="24">
        <v>304.39999999999998</v>
      </c>
      <c r="AA69" s="24">
        <v>304.39999999999998</v>
      </c>
      <c r="AB69" s="24">
        <f>AA69/Z69*100</f>
        <v>100</v>
      </c>
      <c r="AC69" s="24">
        <v>1983.8</v>
      </c>
      <c r="AD69" s="24">
        <v>1983.8</v>
      </c>
      <c r="AE69" s="24">
        <f>AD69/AC69*100</f>
        <v>100</v>
      </c>
      <c r="AF69" s="24">
        <v>1125</v>
      </c>
      <c r="AG69" s="24">
        <v>1125</v>
      </c>
      <c r="AH69" s="24">
        <f>AG69/AF69*100</f>
        <v>100</v>
      </c>
      <c r="AI69" s="24">
        <f>8657.2-0.1</f>
        <v>8657.1</v>
      </c>
      <c r="AJ69" s="24">
        <v>4180.8999999999996</v>
      </c>
      <c r="AK69" s="24">
        <f>AJ69/AI69*100</f>
        <v>48.294463503944733</v>
      </c>
      <c r="AL69" s="24">
        <v>2080</v>
      </c>
      <c r="AM69" s="24">
        <v>816.5</v>
      </c>
      <c r="AN69" s="24">
        <f>AM69/AL69*100</f>
        <v>39.254807692307693</v>
      </c>
      <c r="AO69" s="24">
        <f>524.7+1187.2+592.8</f>
        <v>2304.6999999999998</v>
      </c>
      <c r="AP69" s="24">
        <v>5473.7093300000015</v>
      </c>
      <c r="AQ69" s="24">
        <f>AP69/AO69*100</f>
        <v>237.50203193474215</v>
      </c>
      <c r="AR69" s="90" t="s">
        <v>170</v>
      </c>
      <c r="AS69" s="90" t="s">
        <v>258</v>
      </c>
      <c r="AT69" s="100">
        <f t="shared" si="8"/>
        <v>0.85517480436950366</v>
      </c>
      <c r="AU69" s="83">
        <f t="shared" si="2"/>
        <v>0</v>
      </c>
      <c r="AV69" s="83">
        <f t="shared" si="3"/>
        <v>1295.3</v>
      </c>
      <c r="AW69" s="83">
        <f t="shared" si="4"/>
        <v>3413.2</v>
      </c>
      <c r="AX69" s="83">
        <f t="shared" si="5"/>
        <v>13041.8</v>
      </c>
    </row>
    <row r="70" spans="1:50" ht="12.6" customHeight="1" x14ac:dyDescent="0.3">
      <c r="A70" s="144"/>
      <c r="B70" s="144"/>
      <c r="C70" s="144"/>
      <c r="D70" s="36" t="s">
        <v>22</v>
      </c>
      <c r="E70" s="24">
        <f t="shared" si="38"/>
        <v>0</v>
      </c>
      <c r="F70" s="24">
        <f t="shared" si="38"/>
        <v>0</v>
      </c>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34"/>
      <c r="AS70" s="34"/>
      <c r="AT70" s="100"/>
      <c r="AU70" s="83">
        <f t="shared" si="2"/>
        <v>0</v>
      </c>
      <c r="AV70" s="83">
        <f t="shared" si="3"/>
        <v>0</v>
      </c>
      <c r="AW70" s="83">
        <f t="shared" si="4"/>
        <v>0</v>
      </c>
      <c r="AX70" s="83">
        <f t="shared" si="5"/>
        <v>0</v>
      </c>
    </row>
    <row r="71" spans="1:50" ht="24.6" x14ac:dyDescent="0.3">
      <c r="A71" s="124"/>
      <c r="B71" s="124"/>
      <c r="C71" s="124"/>
      <c r="D71" s="37" t="s">
        <v>128</v>
      </c>
      <c r="E71" s="24">
        <f t="shared" si="38"/>
        <v>0</v>
      </c>
      <c r="F71" s="24">
        <f t="shared" si="38"/>
        <v>358</v>
      </c>
      <c r="G71" s="24"/>
      <c r="H71" s="24"/>
      <c r="I71" s="24"/>
      <c r="J71" s="24"/>
      <c r="K71" s="24"/>
      <c r="L71" s="24"/>
      <c r="M71" s="24"/>
      <c r="N71" s="24"/>
      <c r="O71" s="24">
        <v>358</v>
      </c>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41" t="s">
        <v>160</v>
      </c>
      <c r="AS71" s="34"/>
      <c r="AT71" s="100"/>
      <c r="AU71" s="83"/>
      <c r="AV71" s="83"/>
      <c r="AW71" s="83"/>
      <c r="AX71" s="83"/>
    </row>
    <row r="72" spans="1:50" ht="13.2" customHeight="1" x14ac:dyDescent="0.3">
      <c r="A72" s="123" t="s">
        <v>51</v>
      </c>
      <c r="B72" s="140" t="s">
        <v>89</v>
      </c>
      <c r="C72" s="140" t="s">
        <v>5</v>
      </c>
      <c r="D72" s="36" t="s">
        <v>3</v>
      </c>
      <c r="E72" s="24">
        <f t="shared" si="38"/>
        <v>146</v>
      </c>
      <c r="F72" s="24">
        <f t="shared" si="38"/>
        <v>146</v>
      </c>
      <c r="G72" s="24">
        <f>F72/E72*100</f>
        <v>100</v>
      </c>
      <c r="H72" s="24">
        <f>H73+H74+H75+H76</f>
        <v>120</v>
      </c>
      <c r="I72" s="24">
        <f>I73+I74+I75+I76</f>
        <v>0</v>
      </c>
      <c r="J72" s="24">
        <f>I72/H72*100</f>
        <v>0</v>
      </c>
      <c r="K72" s="24">
        <f t="shared" ref="K72:AO72" si="62">K73+K74+K75+K76</f>
        <v>0</v>
      </c>
      <c r="L72" s="24">
        <f t="shared" si="62"/>
        <v>120</v>
      </c>
      <c r="M72" s="24"/>
      <c r="N72" s="24">
        <f t="shared" si="62"/>
        <v>0</v>
      </c>
      <c r="O72" s="24"/>
      <c r="P72" s="24"/>
      <c r="Q72" s="24">
        <f t="shared" si="62"/>
        <v>0</v>
      </c>
      <c r="R72" s="24">
        <f t="shared" si="62"/>
        <v>0</v>
      </c>
      <c r="S72" s="24"/>
      <c r="T72" s="24">
        <f t="shared" si="62"/>
        <v>26</v>
      </c>
      <c r="U72" s="24">
        <f t="shared" si="62"/>
        <v>26</v>
      </c>
      <c r="V72" s="24">
        <f>U72/T72*100</f>
        <v>100</v>
      </c>
      <c r="W72" s="24">
        <f t="shared" si="62"/>
        <v>0</v>
      </c>
      <c r="X72" s="24"/>
      <c r="Y72" s="22"/>
      <c r="Z72" s="24">
        <f t="shared" si="62"/>
        <v>0</v>
      </c>
      <c r="AA72" s="24">
        <f t="shared" si="62"/>
        <v>0</v>
      </c>
      <c r="AB72" s="24"/>
      <c r="AC72" s="24">
        <f t="shared" si="62"/>
        <v>0</v>
      </c>
      <c r="AD72" s="24">
        <f t="shared" si="62"/>
        <v>0</v>
      </c>
      <c r="AE72" s="24"/>
      <c r="AF72" s="24">
        <f t="shared" si="62"/>
        <v>0</v>
      </c>
      <c r="AG72" s="24">
        <f t="shared" si="62"/>
        <v>0</v>
      </c>
      <c r="AH72" s="24"/>
      <c r="AI72" s="24">
        <f t="shared" si="62"/>
        <v>0</v>
      </c>
      <c r="AJ72" s="24">
        <f t="shared" si="62"/>
        <v>0</v>
      </c>
      <c r="AK72" s="24"/>
      <c r="AL72" s="24">
        <f t="shared" si="62"/>
        <v>0</v>
      </c>
      <c r="AM72" s="24"/>
      <c r="AN72" s="24"/>
      <c r="AO72" s="24">
        <f t="shared" si="62"/>
        <v>0</v>
      </c>
      <c r="AP72" s="24"/>
      <c r="AQ72" s="22"/>
      <c r="AR72" s="34"/>
      <c r="AS72" s="34"/>
      <c r="AT72" s="100">
        <f t="shared" si="8"/>
        <v>1</v>
      </c>
      <c r="AU72" s="83">
        <f t="shared" si="2"/>
        <v>120</v>
      </c>
      <c r="AV72" s="83">
        <f t="shared" si="3"/>
        <v>26</v>
      </c>
      <c r="AW72" s="83">
        <f t="shared" si="4"/>
        <v>0</v>
      </c>
      <c r="AX72" s="83">
        <f t="shared" si="5"/>
        <v>0</v>
      </c>
    </row>
    <row r="73" spans="1:50" x14ac:dyDescent="0.3">
      <c r="A73" s="144"/>
      <c r="B73" s="140"/>
      <c r="C73" s="140"/>
      <c r="D73" s="36" t="s">
        <v>21</v>
      </c>
      <c r="E73" s="24">
        <f t="shared" si="38"/>
        <v>0</v>
      </c>
      <c r="F73" s="24">
        <f t="shared" si="38"/>
        <v>0</v>
      </c>
      <c r="G73" s="24"/>
      <c r="H73" s="24"/>
      <c r="I73" s="24"/>
      <c r="J73" s="24"/>
      <c r="K73" s="24"/>
      <c r="L73" s="24"/>
      <c r="M73" s="24"/>
      <c r="N73" s="24"/>
      <c r="O73" s="24"/>
      <c r="P73" s="24"/>
      <c r="Q73" s="24"/>
      <c r="R73" s="24"/>
      <c r="S73" s="24"/>
      <c r="T73" s="24"/>
      <c r="U73" s="24"/>
      <c r="V73" s="24"/>
      <c r="W73" s="24"/>
      <c r="X73" s="24"/>
      <c r="Y73" s="22"/>
      <c r="Z73" s="24"/>
      <c r="AA73" s="24"/>
      <c r="AB73" s="24"/>
      <c r="AC73" s="24"/>
      <c r="AD73" s="24"/>
      <c r="AE73" s="24"/>
      <c r="AF73" s="24"/>
      <c r="AG73" s="24"/>
      <c r="AH73" s="24"/>
      <c r="AI73" s="24"/>
      <c r="AJ73" s="24"/>
      <c r="AK73" s="24"/>
      <c r="AL73" s="24"/>
      <c r="AM73" s="24"/>
      <c r="AN73" s="24"/>
      <c r="AO73" s="24"/>
      <c r="AP73" s="24"/>
      <c r="AQ73" s="22"/>
      <c r="AR73" s="34"/>
      <c r="AS73" s="34"/>
      <c r="AT73" s="100"/>
      <c r="AU73" s="83">
        <f t="shared" si="2"/>
        <v>0</v>
      </c>
      <c r="AV73" s="83">
        <f t="shared" si="3"/>
        <v>0</v>
      </c>
      <c r="AW73" s="83">
        <f t="shared" si="4"/>
        <v>0</v>
      </c>
      <c r="AX73" s="83">
        <f t="shared" si="5"/>
        <v>0</v>
      </c>
    </row>
    <row r="74" spans="1:50" ht="24" x14ac:dyDescent="0.3">
      <c r="A74" s="144"/>
      <c r="B74" s="140"/>
      <c r="C74" s="140"/>
      <c r="D74" s="36" t="s">
        <v>4</v>
      </c>
      <c r="E74" s="24">
        <f t="shared" si="38"/>
        <v>0</v>
      </c>
      <c r="F74" s="24">
        <f t="shared" si="38"/>
        <v>0</v>
      </c>
      <c r="G74" s="24"/>
      <c r="H74" s="40"/>
      <c r="I74" s="40"/>
      <c r="J74" s="24"/>
      <c r="K74" s="40"/>
      <c r="L74" s="40"/>
      <c r="M74" s="24"/>
      <c r="N74" s="40"/>
      <c r="O74" s="40"/>
      <c r="P74" s="24"/>
      <c r="Q74" s="40"/>
      <c r="R74" s="40"/>
      <c r="S74" s="24"/>
      <c r="T74" s="40"/>
      <c r="U74" s="40"/>
      <c r="V74" s="24"/>
      <c r="W74" s="40"/>
      <c r="X74" s="40"/>
      <c r="Y74" s="22"/>
      <c r="Z74" s="40"/>
      <c r="AA74" s="40"/>
      <c r="AB74" s="24"/>
      <c r="AC74" s="40"/>
      <c r="AD74" s="40"/>
      <c r="AE74" s="24"/>
      <c r="AF74" s="40"/>
      <c r="AG74" s="40"/>
      <c r="AH74" s="24"/>
      <c r="AI74" s="40"/>
      <c r="AJ74" s="40"/>
      <c r="AK74" s="24"/>
      <c r="AL74" s="40"/>
      <c r="AM74" s="40"/>
      <c r="AN74" s="24"/>
      <c r="AO74" s="40"/>
      <c r="AP74" s="40"/>
      <c r="AQ74" s="22"/>
      <c r="AR74" s="34"/>
      <c r="AS74" s="34"/>
      <c r="AT74" s="100"/>
      <c r="AU74" s="83">
        <f t="shared" si="2"/>
        <v>0</v>
      </c>
      <c r="AV74" s="83">
        <f t="shared" si="3"/>
        <v>0</v>
      </c>
      <c r="AW74" s="83">
        <f t="shared" si="4"/>
        <v>0</v>
      </c>
      <c r="AX74" s="83">
        <f t="shared" si="5"/>
        <v>0</v>
      </c>
    </row>
    <row r="75" spans="1:50" ht="36" x14ac:dyDescent="0.3">
      <c r="A75" s="144"/>
      <c r="B75" s="140"/>
      <c r="C75" s="140"/>
      <c r="D75" s="36" t="s">
        <v>44</v>
      </c>
      <c r="E75" s="24">
        <f t="shared" si="38"/>
        <v>146</v>
      </c>
      <c r="F75" s="24">
        <f t="shared" si="38"/>
        <v>146</v>
      </c>
      <c r="G75" s="24">
        <f t="shared" ref="G75" si="63">F75/E75*100</f>
        <v>100</v>
      </c>
      <c r="H75" s="24">
        <v>120</v>
      </c>
      <c r="I75" s="24">
        <v>0</v>
      </c>
      <c r="J75" s="24">
        <f t="shared" ref="J75" si="64">I75/H75*100</f>
        <v>0</v>
      </c>
      <c r="K75" s="24">
        <f>26-26</f>
        <v>0</v>
      </c>
      <c r="L75" s="24">
        <v>120</v>
      </c>
      <c r="M75" s="24"/>
      <c r="N75" s="101">
        <f>14.7-14.7</f>
        <v>0</v>
      </c>
      <c r="O75" s="24"/>
      <c r="P75" s="24"/>
      <c r="Q75" s="24"/>
      <c r="R75" s="24"/>
      <c r="S75" s="24"/>
      <c r="T75" s="24">
        <v>26</v>
      </c>
      <c r="U75" s="24">
        <v>26</v>
      </c>
      <c r="V75" s="24">
        <f t="shared" ref="V75" si="65">U75/T75*100</f>
        <v>100</v>
      </c>
      <c r="W75" s="24">
        <f>14.7-14.7</f>
        <v>0</v>
      </c>
      <c r="X75" s="24"/>
      <c r="Y75" s="22"/>
      <c r="Z75" s="24"/>
      <c r="AA75" s="24"/>
      <c r="AB75" s="24"/>
      <c r="AC75" s="24"/>
      <c r="AD75" s="24">
        <v>0</v>
      </c>
      <c r="AE75" s="24"/>
      <c r="AF75" s="24"/>
      <c r="AG75" s="24"/>
      <c r="AH75" s="24"/>
      <c r="AI75" s="24"/>
      <c r="AJ75" s="24"/>
      <c r="AK75" s="24"/>
      <c r="AL75" s="24">
        <f>172.5-149.7-22.8</f>
        <v>0</v>
      </c>
      <c r="AM75" s="24"/>
      <c r="AN75" s="24"/>
      <c r="AO75" s="24">
        <f>26-26</f>
        <v>0</v>
      </c>
      <c r="AP75" s="24"/>
      <c r="AQ75" s="22"/>
      <c r="AR75" s="90" t="s">
        <v>154</v>
      </c>
      <c r="AS75" s="90"/>
      <c r="AT75" s="100">
        <f t="shared" si="8"/>
        <v>1</v>
      </c>
      <c r="AU75" s="83">
        <f t="shared" si="2"/>
        <v>120</v>
      </c>
      <c r="AV75" s="83">
        <f t="shared" si="3"/>
        <v>26</v>
      </c>
      <c r="AW75" s="83">
        <f t="shared" si="4"/>
        <v>0</v>
      </c>
      <c r="AX75" s="83">
        <f t="shared" si="5"/>
        <v>0</v>
      </c>
    </row>
    <row r="76" spans="1:50" x14ac:dyDescent="0.3">
      <c r="A76" s="124"/>
      <c r="B76" s="140"/>
      <c r="C76" s="140"/>
      <c r="D76" s="36" t="s">
        <v>22</v>
      </c>
      <c r="E76" s="24">
        <f t="shared" si="38"/>
        <v>0</v>
      </c>
      <c r="F76" s="24">
        <f t="shared" si="38"/>
        <v>0</v>
      </c>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34"/>
      <c r="AS76" s="34"/>
      <c r="AT76" s="100"/>
      <c r="AU76" s="83">
        <f t="shared" si="2"/>
        <v>0</v>
      </c>
      <c r="AV76" s="83">
        <f t="shared" si="3"/>
        <v>0</v>
      </c>
      <c r="AW76" s="83">
        <f t="shared" si="4"/>
        <v>0</v>
      </c>
      <c r="AX76" s="83">
        <f t="shared" si="5"/>
        <v>0</v>
      </c>
    </row>
    <row r="77" spans="1:50" ht="12.6" customHeight="1" x14ac:dyDescent="0.3">
      <c r="A77" s="152" t="s">
        <v>8</v>
      </c>
      <c r="B77" s="153"/>
      <c r="C77" s="154"/>
      <c r="D77" s="37" t="s">
        <v>3</v>
      </c>
      <c r="E77" s="38">
        <f t="shared" si="38"/>
        <v>44188.7</v>
      </c>
      <c r="F77" s="38">
        <f t="shared" si="38"/>
        <v>17360.209330000002</v>
      </c>
      <c r="G77" s="38">
        <f>F77/E77*100</f>
        <v>39.286535539628915</v>
      </c>
      <c r="H77" s="38">
        <f>H79+H78+H80+H81</f>
        <v>120</v>
      </c>
      <c r="I77" s="38">
        <f>I79+I78+I80+I81</f>
        <v>0</v>
      </c>
      <c r="J77" s="38">
        <f>I77/H77*100</f>
        <v>0</v>
      </c>
      <c r="K77" s="38">
        <f>K79+K78+K80+K81</f>
        <v>0</v>
      </c>
      <c r="L77" s="38">
        <f>L79+L78+L80+L81</f>
        <v>120</v>
      </c>
      <c r="M77" s="38"/>
      <c r="N77" s="38">
        <f>N79+N78+N80+N81</f>
        <v>0</v>
      </c>
      <c r="O77" s="38">
        <f>O79+O78+O80+O81</f>
        <v>0</v>
      </c>
      <c r="P77" s="38"/>
      <c r="Q77" s="38">
        <f>Q79+Q78+Q80+Q81</f>
        <v>444.9</v>
      </c>
      <c r="R77" s="38">
        <f>R79+R78+R80+R81</f>
        <v>444.9</v>
      </c>
      <c r="S77" s="38">
        <f>R77/Q77*100</f>
        <v>100</v>
      </c>
      <c r="T77" s="38">
        <f>T79+T78+T80+T81</f>
        <v>352.5</v>
      </c>
      <c r="U77" s="38">
        <f>U79+U78+U80+U81</f>
        <v>352.5</v>
      </c>
      <c r="V77" s="38">
        <f>U77/T77*100</f>
        <v>100</v>
      </c>
      <c r="W77" s="38">
        <f>W79+W78+W80+W81</f>
        <v>673.9</v>
      </c>
      <c r="X77" s="38">
        <f>X79+X78+X80+X81</f>
        <v>673.9</v>
      </c>
      <c r="Y77" s="38">
        <f>X77/W77*100</f>
        <v>100</v>
      </c>
      <c r="Z77" s="38">
        <f>Z79+Z78+Z80+Z81</f>
        <v>304.39999999999998</v>
      </c>
      <c r="AA77" s="38">
        <f>AA79+AA78+AA80+AA81</f>
        <v>304.39999999999998</v>
      </c>
      <c r="AB77" s="38">
        <f>AA77/Z77*100</f>
        <v>100</v>
      </c>
      <c r="AC77" s="38">
        <f>AC79+AC78+AC80+AC81</f>
        <v>2235.8000000000002</v>
      </c>
      <c r="AD77" s="38">
        <f>AD79+AD78+AD80+AD81</f>
        <v>2235.8000000000002</v>
      </c>
      <c r="AE77" s="38">
        <f>AD77/AC77*100</f>
        <v>100</v>
      </c>
      <c r="AF77" s="38">
        <f>AF79+AF78+AF80+AF81</f>
        <v>1667.1</v>
      </c>
      <c r="AG77" s="38">
        <f>AG79+AG78+AG80+AG81</f>
        <v>1125</v>
      </c>
      <c r="AH77" s="38">
        <f>AG77/AF77*100</f>
        <v>67.482454561813938</v>
      </c>
      <c r="AI77" s="38">
        <f>AI79+AI78+AI80+AI81</f>
        <v>28005.4</v>
      </c>
      <c r="AJ77" s="38">
        <f>AJ79+AJ78+AJ80+AJ81</f>
        <v>4380.8999999999996</v>
      </c>
      <c r="AK77" s="38">
        <f>AJ77/AI77*100</f>
        <v>15.64305455376463</v>
      </c>
      <c r="AL77" s="38">
        <f>AL79+AL78+AL80+AL81</f>
        <v>8080</v>
      </c>
      <c r="AM77" s="38">
        <f>AM79+AM78+AM80+AM81</f>
        <v>1416.5</v>
      </c>
      <c r="AN77" s="38">
        <f>AM77/AL77*100</f>
        <v>17.530940594059405</v>
      </c>
      <c r="AO77" s="38">
        <f>AO79+AO78+AO80+AO81</f>
        <v>2304.6999999999998</v>
      </c>
      <c r="AP77" s="38">
        <f>AP79+AP78+AP80+AP81</f>
        <v>6306.3093300000019</v>
      </c>
      <c r="AQ77" s="38">
        <f>AP77/AO77*100</f>
        <v>273.62820887751127</v>
      </c>
      <c r="AR77" s="34"/>
      <c r="AS77" s="34"/>
      <c r="AT77" s="100">
        <f t="shared" si="8"/>
        <v>0.39286535539628914</v>
      </c>
      <c r="AU77" s="84">
        <f t="shared" si="2"/>
        <v>120</v>
      </c>
      <c r="AV77" s="84">
        <f t="shared" si="3"/>
        <v>1471.3</v>
      </c>
      <c r="AW77" s="84">
        <f t="shared" si="4"/>
        <v>4207.3</v>
      </c>
      <c r="AX77" s="84">
        <f t="shared" si="5"/>
        <v>38390.1</v>
      </c>
    </row>
    <row r="78" spans="1:50" x14ac:dyDescent="0.3">
      <c r="A78" s="155"/>
      <c r="B78" s="156"/>
      <c r="C78" s="157"/>
      <c r="D78" s="37" t="s">
        <v>21</v>
      </c>
      <c r="E78" s="38">
        <f t="shared" si="38"/>
        <v>0</v>
      </c>
      <c r="F78" s="38">
        <f t="shared" si="38"/>
        <v>0</v>
      </c>
      <c r="G78" s="38"/>
      <c r="H78" s="38">
        <f t="shared" ref="H78:I81" si="66">H36+H41+H67+H73+H47</f>
        <v>0</v>
      </c>
      <c r="I78" s="38">
        <f t="shared" si="66"/>
        <v>0</v>
      </c>
      <c r="J78" s="38"/>
      <c r="K78" s="38">
        <f t="shared" ref="K78:L81" si="67">K36+K41+K67+K73+K47</f>
        <v>0</v>
      </c>
      <c r="L78" s="38">
        <f t="shared" si="67"/>
        <v>0</v>
      </c>
      <c r="M78" s="38"/>
      <c r="N78" s="38">
        <f t="shared" ref="N78:O81" si="68">N36+N41+N67+N73+N47</f>
        <v>0</v>
      </c>
      <c r="O78" s="38">
        <f t="shared" si="68"/>
        <v>0</v>
      </c>
      <c r="P78" s="38"/>
      <c r="Q78" s="38">
        <f t="shared" ref="Q78:R81" si="69">Q36+Q41+Q67+Q73+Q47</f>
        <v>0</v>
      </c>
      <c r="R78" s="38">
        <f t="shared" si="69"/>
        <v>0</v>
      </c>
      <c r="S78" s="38"/>
      <c r="T78" s="38">
        <f t="shared" ref="T78:U81" si="70">T36+T41+T67+T73+T47</f>
        <v>0</v>
      </c>
      <c r="U78" s="38">
        <f t="shared" si="70"/>
        <v>0</v>
      </c>
      <c r="V78" s="38"/>
      <c r="W78" s="38">
        <f t="shared" ref="W78:X81" si="71">W36+W41+W67+W73+W47</f>
        <v>0</v>
      </c>
      <c r="X78" s="38">
        <f t="shared" si="71"/>
        <v>0</v>
      </c>
      <c r="Y78" s="38"/>
      <c r="Z78" s="38">
        <f t="shared" ref="Z78:AA81" si="72">Z36+Z41+Z67+Z73+Z47</f>
        <v>0</v>
      </c>
      <c r="AA78" s="38">
        <f t="shared" si="72"/>
        <v>0</v>
      </c>
      <c r="AB78" s="38"/>
      <c r="AC78" s="38">
        <f t="shared" ref="AC78:AD81" si="73">AC36+AC41+AC67+AC73+AC47</f>
        <v>0</v>
      </c>
      <c r="AD78" s="38">
        <f t="shared" si="73"/>
        <v>0</v>
      </c>
      <c r="AE78" s="38"/>
      <c r="AF78" s="38">
        <f t="shared" ref="AF78:AG81" si="74">AF36+AF41+AF67+AF73+AF47</f>
        <v>0</v>
      </c>
      <c r="AG78" s="38">
        <f t="shared" si="74"/>
        <v>0</v>
      </c>
      <c r="AH78" s="38"/>
      <c r="AI78" s="38">
        <f t="shared" ref="AI78:AJ81" si="75">AI36+AI41+AI67+AI73+AI47</f>
        <v>0</v>
      </c>
      <c r="AJ78" s="38">
        <f t="shared" si="75"/>
        <v>0</v>
      </c>
      <c r="AK78" s="38"/>
      <c r="AL78" s="38">
        <f t="shared" ref="AL78:AM81" si="76">AL36+AL41+AL67+AL73+AL47</f>
        <v>0</v>
      </c>
      <c r="AM78" s="38">
        <f t="shared" si="76"/>
        <v>0</v>
      </c>
      <c r="AN78" s="38"/>
      <c r="AO78" s="38">
        <f t="shared" ref="AO78:AP81" si="77">AO36+AO41+AO67+AO73+AO47</f>
        <v>0</v>
      </c>
      <c r="AP78" s="38">
        <f t="shared" si="77"/>
        <v>0</v>
      </c>
      <c r="AQ78" s="38"/>
      <c r="AR78" s="34"/>
      <c r="AS78" s="34"/>
      <c r="AT78" s="100"/>
      <c r="AU78" s="84">
        <f t="shared" si="2"/>
        <v>0</v>
      </c>
      <c r="AV78" s="84">
        <f t="shared" si="3"/>
        <v>0</v>
      </c>
      <c r="AW78" s="84">
        <f t="shared" si="4"/>
        <v>0</v>
      </c>
      <c r="AX78" s="84">
        <f t="shared" si="5"/>
        <v>0</v>
      </c>
    </row>
    <row r="79" spans="1:50" ht="23.4" customHeight="1" x14ac:dyDescent="0.3">
      <c r="A79" s="155"/>
      <c r="B79" s="156"/>
      <c r="C79" s="157"/>
      <c r="D79" s="37" t="s">
        <v>4</v>
      </c>
      <c r="E79" s="38">
        <f t="shared" si="38"/>
        <v>1202</v>
      </c>
      <c r="F79" s="38">
        <f t="shared" si="38"/>
        <v>1202</v>
      </c>
      <c r="G79" s="38">
        <f>F79/E79*100</f>
        <v>100</v>
      </c>
      <c r="H79" s="38">
        <f t="shared" si="66"/>
        <v>0</v>
      </c>
      <c r="I79" s="38">
        <f t="shared" si="66"/>
        <v>0</v>
      </c>
      <c r="J79" s="38"/>
      <c r="K79" s="38">
        <f t="shared" si="67"/>
        <v>0</v>
      </c>
      <c r="L79" s="38">
        <f t="shared" si="67"/>
        <v>0</v>
      </c>
      <c r="M79" s="38"/>
      <c r="N79" s="38">
        <f t="shared" si="68"/>
        <v>0</v>
      </c>
      <c r="O79" s="38">
        <f t="shared" si="68"/>
        <v>0</v>
      </c>
      <c r="P79" s="38"/>
      <c r="Q79" s="38">
        <f t="shared" si="69"/>
        <v>0</v>
      </c>
      <c r="R79" s="38">
        <f t="shared" si="69"/>
        <v>0</v>
      </c>
      <c r="S79" s="38"/>
      <c r="T79" s="38">
        <f t="shared" si="70"/>
        <v>150</v>
      </c>
      <c r="U79" s="38">
        <f t="shared" si="70"/>
        <v>150</v>
      </c>
      <c r="V79" s="38">
        <f t="shared" ref="V79" si="78">U79/T79*100</f>
        <v>100</v>
      </c>
      <c r="W79" s="38">
        <f t="shared" si="71"/>
        <v>0</v>
      </c>
      <c r="X79" s="38">
        <f t="shared" si="71"/>
        <v>0</v>
      </c>
      <c r="Y79" s="38"/>
      <c r="Z79" s="38">
        <f t="shared" si="72"/>
        <v>0</v>
      </c>
      <c r="AA79" s="38">
        <f t="shared" si="72"/>
        <v>0</v>
      </c>
      <c r="AB79" s="38"/>
      <c r="AC79" s="38">
        <f t="shared" si="73"/>
        <v>252</v>
      </c>
      <c r="AD79" s="38">
        <f t="shared" si="73"/>
        <v>252</v>
      </c>
      <c r="AE79" s="38">
        <f t="shared" ref="AE79:AE80" si="79">AD79/AC79*100</f>
        <v>100</v>
      </c>
      <c r="AF79" s="38">
        <f t="shared" si="74"/>
        <v>0</v>
      </c>
      <c r="AG79" s="38">
        <f t="shared" si="74"/>
        <v>0</v>
      </c>
      <c r="AH79" s="38"/>
      <c r="AI79" s="38">
        <f t="shared" si="75"/>
        <v>800</v>
      </c>
      <c r="AJ79" s="38">
        <f t="shared" si="75"/>
        <v>200</v>
      </c>
      <c r="AK79" s="38">
        <f t="shared" ref="AK79:AK80" si="80">AJ79/AI79*100</f>
        <v>25</v>
      </c>
      <c r="AL79" s="38">
        <f t="shared" si="76"/>
        <v>0</v>
      </c>
      <c r="AM79" s="38">
        <f t="shared" si="76"/>
        <v>600</v>
      </c>
      <c r="AN79" s="38"/>
      <c r="AO79" s="38">
        <f t="shared" si="77"/>
        <v>0</v>
      </c>
      <c r="AP79" s="38">
        <f t="shared" si="77"/>
        <v>0</v>
      </c>
      <c r="AQ79" s="38"/>
      <c r="AR79" s="34"/>
      <c r="AS79" s="34"/>
      <c r="AT79" s="100">
        <f t="shared" si="8"/>
        <v>1</v>
      </c>
      <c r="AU79" s="84">
        <f t="shared" si="2"/>
        <v>0</v>
      </c>
      <c r="AV79" s="84">
        <f t="shared" si="3"/>
        <v>150</v>
      </c>
      <c r="AW79" s="84">
        <f t="shared" si="4"/>
        <v>252</v>
      </c>
      <c r="AX79" s="84">
        <f t="shared" si="5"/>
        <v>800</v>
      </c>
    </row>
    <row r="80" spans="1:50" x14ac:dyDescent="0.3">
      <c r="A80" s="155"/>
      <c r="B80" s="156"/>
      <c r="C80" s="157"/>
      <c r="D80" s="37" t="s">
        <v>44</v>
      </c>
      <c r="E80" s="38">
        <f t="shared" si="38"/>
        <v>42986.7</v>
      </c>
      <c r="F80" s="38">
        <f t="shared" si="38"/>
        <v>16158.209330000002</v>
      </c>
      <c r="G80" s="38">
        <f t="shared" ref="G80" si="81">F80/E80*100</f>
        <v>37.588857320985333</v>
      </c>
      <c r="H80" s="38">
        <f t="shared" si="66"/>
        <v>120</v>
      </c>
      <c r="I80" s="38">
        <f t="shared" si="66"/>
        <v>0</v>
      </c>
      <c r="J80" s="38">
        <f t="shared" ref="J80" si="82">I80/H80*100</f>
        <v>0</v>
      </c>
      <c r="K80" s="38">
        <f t="shared" si="67"/>
        <v>0</v>
      </c>
      <c r="L80" s="38">
        <f t="shared" si="67"/>
        <v>120</v>
      </c>
      <c r="M80" s="38"/>
      <c r="N80" s="38">
        <f t="shared" si="68"/>
        <v>0</v>
      </c>
      <c r="O80" s="38">
        <f t="shared" si="68"/>
        <v>0</v>
      </c>
      <c r="P80" s="38"/>
      <c r="Q80" s="38">
        <f t="shared" si="69"/>
        <v>444.9</v>
      </c>
      <c r="R80" s="38">
        <f t="shared" si="69"/>
        <v>444.9</v>
      </c>
      <c r="S80" s="38">
        <f t="shared" ref="S80" si="83">R80/Q80*100</f>
        <v>100</v>
      </c>
      <c r="T80" s="38">
        <f t="shared" si="70"/>
        <v>202.5</v>
      </c>
      <c r="U80" s="38">
        <f t="shared" si="70"/>
        <v>202.5</v>
      </c>
      <c r="V80" s="38">
        <f t="shared" ref="V80" si="84">U80/T80*100</f>
        <v>100</v>
      </c>
      <c r="W80" s="38">
        <f t="shared" si="71"/>
        <v>673.9</v>
      </c>
      <c r="X80" s="38">
        <f t="shared" si="71"/>
        <v>673.9</v>
      </c>
      <c r="Y80" s="38">
        <f t="shared" ref="Y80" si="85">X80/W80*100</f>
        <v>100</v>
      </c>
      <c r="Z80" s="38">
        <f t="shared" si="72"/>
        <v>304.39999999999998</v>
      </c>
      <c r="AA80" s="38">
        <f t="shared" si="72"/>
        <v>304.39999999999998</v>
      </c>
      <c r="AB80" s="38">
        <f t="shared" ref="AB80" si="86">AA80/Z80*100</f>
        <v>100</v>
      </c>
      <c r="AC80" s="38">
        <f t="shared" si="73"/>
        <v>1983.8</v>
      </c>
      <c r="AD80" s="38">
        <f t="shared" si="73"/>
        <v>1983.8</v>
      </c>
      <c r="AE80" s="38">
        <f t="shared" si="79"/>
        <v>100</v>
      </c>
      <c r="AF80" s="38">
        <f t="shared" si="74"/>
        <v>1667.1</v>
      </c>
      <c r="AG80" s="38">
        <f t="shared" si="74"/>
        <v>1125</v>
      </c>
      <c r="AH80" s="38">
        <f t="shared" ref="AH80" si="87">AG80/AF80*100</f>
        <v>67.482454561813938</v>
      </c>
      <c r="AI80" s="38">
        <f t="shared" si="75"/>
        <v>27205.4</v>
      </c>
      <c r="AJ80" s="38">
        <f t="shared" si="75"/>
        <v>4180.8999999999996</v>
      </c>
      <c r="AK80" s="38">
        <f t="shared" si="80"/>
        <v>15.367904901232841</v>
      </c>
      <c r="AL80" s="38">
        <f t="shared" si="76"/>
        <v>8080</v>
      </c>
      <c r="AM80" s="38">
        <f t="shared" si="76"/>
        <v>816.5</v>
      </c>
      <c r="AN80" s="38">
        <f t="shared" ref="AN80" si="88">AM80/AL80*100</f>
        <v>10.10519801980198</v>
      </c>
      <c r="AO80" s="38">
        <f t="shared" si="77"/>
        <v>2304.6999999999998</v>
      </c>
      <c r="AP80" s="38">
        <f t="shared" si="77"/>
        <v>6306.3093300000019</v>
      </c>
      <c r="AQ80" s="38">
        <f t="shared" ref="AQ80" si="89">AP80/AO80*100</f>
        <v>273.62820887751127</v>
      </c>
      <c r="AR80" s="34"/>
      <c r="AS80" s="34"/>
      <c r="AT80" s="100">
        <f t="shared" si="8"/>
        <v>0.37588857320985336</v>
      </c>
      <c r="AU80" s="84">
        <f t="shared" si="2"/>
        <v>120</v>
      </c>
      <c r="AV80" s="84">
        <f t="shared" si="3"/>
        <v>1321.3</v>
      </c>
      <c r="AW80" s="84">
        <f t="shared" si="4"/>
        <v>3955.2999999999997</v>
      </c>
      <c r="AX80" s="84">
        <f>AI80+AL80+AO80</f>
        <v>37590.1</v>
      </c>
    </row>
    <row r="81" spans="1:50" x14ac:dyDescent="0.3">
      <c r="A81" s="155"/>
      <c r="B81" s="156"/>
      <c r="C81" s="157"/>
      <c r="D81" s="37" t="s">
        <v>22</v>
      </c>
      <c r="E81" s="38">
        <f t="shared" si="38"/>
        <v>0</v>
      </c>
      <c r="F81" s="38">
        <f t="shared" si="38"/>
        <v>0</v>
      </c>
      <c r="G81" s="38"/>
      <c r="H81" s="38">
        <f t="shared" si="66"/>
        <v>0</v>
      </c>
      <c r="I81" s="38">
        <f t="shared" si="66"/>
        <v>0</v>
      </c>
      <c r="J81" s="38"/>
      <c r="K81" s="38">
        <f t="shared" si="67"/>
        <v>0</v>
      </c>
      <c r="L81" s="38">
        <f t="shared" si="67"/>
        <v>0</v>
      </c>
      <c r="M81" s="38"/>
      <c r="N81" s="38">
        <f t="shared" si="68"/>
        <v>0</v>
      </c>
      <c r="O81" s="38">
        <f t="shared" si="68"/>
        <v>0</v>
      </c>
      <c r="P81" s="38"/>
      <c r="Q81" s="38">
        <f t="shared" si="69"/>
        <v>0</v>
      </c>
      <c r="R81" s="38">
        <f t="shared" si="69"/>
        <v>0</v>
      </c>
      <c r="S81" s="38"/>
      <c r="T81" s="38">
        <f t="shared" si="70"/>
        <v>0</v>
      </c>
      <c r="U81" s="38">
        <f t="shared" si="70"/>
        <v>0</v>
      </c>
      <c r="V81" s="38"/>
      <c r="W81" s="38">
        <f t="shared" si="71"/>
        <v>0</v>
      </c>
      <c r="X81" s="38">
        <f t="shared" si="71"/>
        <v>0</v>
      </c>
      <c r="Y81" s="38"/>
      <c r="Z81" s="38">
        <f t="shared" si="72"/>
        <v>0</v>
      </c>
      <c r="AA81" s="38">
        <f t="shared" si="72"/>
        <v>0</v>
      </c>
      <c r="AB81" s="38"/>
      <c r="AC81" s="38">
        <f t="shared" si="73"/>
        <v>0</v>
      </c>
      <c r="AD81" s="38">
        <f t="shared" si="73"/>
        <v>0</v>
      </c>
      <c r="AE81" s="38"/>
      <c r="AF81" s="38">
        <f t="shared" si="74"/>
        <v>0</v>
      </c>
      <c r="AG81" s="38">
        <f t="shared" si="74"/>
        <v>0</v>
      </c>
      <c r="AH81" s="38"/>
      <c r="AI81" s="38">
        <f t="shared" si="75"/>
        <v>0</v>
      </c>
      <c r="AJ81" s="38">
        <f t="shared" si="75"/>
        <v>0</v>
      </c>
      <c r="AK81" s="38"/>
      <c r="AL81" s="38">
        <f t="shared" si="76"/>
        <v>0</v>
      </c>
      <c r="AM81" s="38">
        <f t="shared" si="76"/>
        <v>0</v>
      </c>
      <c r="AN81" s="38"/>
      <c r="AO81" s="38">
        <f t="shared" si="77"/>
        <v>0</v>
      </c>
      <c r="AP81" s="38">
        <f t="shared" si="77"/>
        <v>0</v>
      </c>
      <c r="AQ81" s="24"/>
      <c r="AR81" s="34"/>
      <c r="AS81" s="34"/>
      <c r="AT81" s="100"/>
      <c r="AU81" s="84">
        <f t="shared" si="2"/>
        <v>0</v>
      </c>
      <c r="AV81" s="84">
        <f t="shared" si="3"/>
        <v>0</v>
      </c>
      <c r="AW81" s="84">
        <f t="shared" si="4"/>
        <v>0</v>
      </c>
      <c r="AX81" s="84">
        <f t="shared" si="5"/>
        <v>0</v>
      </c>
    </row>
    <row r="82" spans="1:50" ht="12.75" customHeight="1" x14ac:dyDescent="0.3">
      <c r="A82" s="158"/>
      <c r="B82" s="159"/>
      <c r="C82" s="160"/>
      <c r="D82" s="37" t="s">
        <v>128</v>
      </c>
      <c r="E82" s="38">
        <f t="shared" si="38"/>
        <v>0</v>
      </c>
      <c r="F82" s="38">
        <f t="shared" si="38"/>
        <v>549.4</v>
      </c>
      <c r="G82" s="38"/>
      <c r="H82" s="38"/>
      <c r="I82" s="38"/>
      <c r="J82" s="38"/>
      <c r="K82" s="38"/>
      <c r="L82" s="38"/>
      <c r="M82" s="38"/>
      <c r="N82" s="38"/>
      <c r="O82" s="38">
        <f>O45+O71</f>
        <v>358</v>
      </c>
      <c r="P82" s="38"/>
      <c r="Q82" s="38"/>
      <c r="R82" s="38"/>
      <c r="S82" s="38"/>
      <c r="T82" s="38"/>
      <c r="U82" s="38"/>
      <c r="V82" s="38"/>
      <c r="W82" s="38"/>
      <c r="X82" s="38"/>
      <c r="Y82" s="38"/>
      <c r="Z82" s="38"/>
      <c r="AA82" s="38"/>
      <c r="AB82" s="38"/>
      <c r="AC82" s="38"/>
      <c r="AD82" s="38"/>
      <c r="AE82" s="38"/>
      <c r="AF82" s="38"/>
      <c r="AG82" s="38"/>
      <c r="AH82" s="38"/>
      <c r="AI82" s="38"/>
      <c r="AJ82" s="38">
        <f>AJ71</f>
        <v>0</v>
      </c>
      <c r="AK82" s="38"/>
      <c r="AL82" s="38"/>
      <c r="AM82" s="38"/>
      <c r="AN82" s="38"/>
      <c r="AO82" s="38"/>
      <c r="AP82" s="38">
        <f>AP45</f>
        <v>191.4</v>
      </c>
      <c r="AQ82" s="24"/>
      <c r="AR82" s="34"/>
      <c r="AS82" s="34"/>
      <c r="AT82" s="100"/>
      <c r="AU82" s="84"/>
      <c r="AV82" s="84"/>
      <c r="AW82" s="84"/>
      <c r="AX82" s="84"/>
    </row>
    <row r="83" spans="1:50" ht="16.5" customHeight="1" x14ac:dyDescent="0.3">
      <c r="A83" s="36" t="s">
        <v>52</v>
      </c>
      <c r="B83" s="35" t="s">
        <v>9</v>
      </c>
      <c r="C83" s="35"/>
      <c r="D83" s="35"/>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35"/>
      <c r="AQ83" s="35"/>
      <c r="AR83" s="34"/>
      <c r="AS83" s="34"/>
      <c r="AT83" s="100"/>
      <c r="AU83" s="84">
        <f t="shared" si="2"/>
        <v>0</v>
      </c>
      <c r="AV83" s="84">
        <f t="shared" si="3"/>
        <v>0</v>
      </c>
      <c r="AW83" s="84">
        <f t="shared" si="4"/>
        <v>0</v>
      </c>
      <c r="AX83" s="84">
        <f t="shared" si="5"/>
        <v>0</v>
      </c>
    </row>
    <row r="84" spans="1:50" ht="13.8" customHeight="1" x14ac:dyDescent="0.3">
      <c r="A84" s="140" t="s">
        <v>53</v>
      </c>
      <c r="B84" s="140" t="s">
        <v>90</v>
      </c>
      <c r="C84" s="140" t="s">
        <v>5</v>
      </c>
      <c r="D84" s="36" t="s">
        <v>3</v>
      </c>
      <c r="E84" s="24">
        <f t="shared" ref="E84:F99" si="90">H84+K84+N84+Q84+T84+W84+Z84+AC84+AF84+AI84+AL84+AO84</f>
        <v>45</v>
      </c>
      <c r="F84" s="24">
        <f t="shared" si="90"/>
        <v>45</v>
      </c>
      <c r="G84" s="24">
        <f>F84/E84*100</f>
        <v>100</v>
      </c>
      <c r="H84" s="24">
        <f>H85+H86+H87+H88</f>
        <v>0</v>
      </c>
      <c r="I84" s="24"/>
      <c r="J84" s="22"/>
      <c r="K84" s="24">
        <f t="shared" ref="K84:AP84" si="91">K85+K86+K87+K88</f>
        <v>0</v>
      </c>
      <c r="L84" s="24">
        <f t="shared" si="91"/>
        <v>0</v>
      </c>
      <c r="M84" s="24"/>
      <c r="N84" s="24">
        <f t="shared" si="91"/>
        <v>0</v>
      </c>
      <c r="O84" s="24">
        <f t="shared" si="91"/>
        <v>0</v>
      </c>
      <c r="P84" s="24"/>
      <c r="Q84" s="24">
        <f t="shared" si="91"/>
        <v>10</v>
      </c>
      <c r="R84" s="24">
        <f t="shared" si="91"/>
        <v>10</v>
      </c>
      <c r="S84" s="24">
        <f>R84/Q84*100</f>
        <v>100</v>
      </c>
      <c r="T84" s="24">
        <f t="shared" si="91"/>
        <v>1.1000000000000001</v>
      </c>
      <c r="U84" s="24">
        <f t="shared" si="91"/>
        <v>1.1000000000000001</v>
      </c>
      <c r="V84" s="24">
        <f>U84/T84*100</f>
        <v>100</v>
      </c>
      <c r="W84" s="24">
        <f t="shared" si="91"/>
        <v>0.4</v>
      </c>
      <c r="X84" s="24">
        <f t="shared" si="91"/>
        <v>0.4</v>
      </c>
      <c r="Y84" s="24">
        <f>X84/W84*100</f>
        <v>100</v>
      </c>
      <c r="Z84" s="24">
        <f t="shared" si="91"/>
        <v>0</v>
      </c>
      <c r="AA84" s="24">
        <f t="shared" si="91"/>
        <v>0</v>
      </c>
      <c r="AB84" s="22"/>
      <c r="AC84" s="24">
        <f t="shared" si="91"/>
        <v>0</v>
      </c>
      <c r="AD84" s="24">
        <f t="shared" si="91"/>
        <v>0</v>
      </c>
      <c r="AE84" s="22"/>
      <c r="AF84" s="24">
        <f t="shared" si="91"/>
        <v>0</v>
      </c>
      <c r="AG84" s="24"/>
      <c r="AH84" s="22"/>
      <c r="AI84" s="24">
        <f t="shared" si="91"/>
        <v>10</v>
      </c>
      <c r="AJ84" s="24">
        <f t="shared" si="91"/>
        <v>8.9</v>
      </c>
      <c r="AK84" s="24">
        <f>AJ84/AI84*100</f>
        <v>89</v>
      </c>
      <c r="AL84" s="24">
        <f t="shared" si="91"/>
        <v>15</v>
      </c>
      <c r="AM84" s="24">
        <f t="shared" si="91"/>
        <v>0</v>
      </c>
      <c r="AN84" s="24"/>
      <c r="AO84" s="24">
        <f t="shared" si="91"/>
        <v>8.5</v>
      </c>
      <c r="AP84" s="24">
        <f t="shared" si="91"/>
        <v>24.6</v>
      </c>
      <c r="AQ84" s="24">
        <f>AP84/AO84*100</f>
        <v>289.41176470588238</v>
      </c>
      <c r="AR84" s="34"/>
      <c r="AS84" s="34"/>
      <c r="AT84" s="100">
        <f t="shared" ref="AT84:AT136" si="92">(I84+L84+O84+R84+U84+X84+AA84+AD84+AG84+AJ84+AM84+AP84)/(H84+K84+N84+Q84+T84+W84+Z84+AC84+AF84+AI84+AL84+AO84)</f>
        <v>1</v>
      </c>
      <c r="AU84" s="83">
        <f t="shared" si="2"/>
        <v>0</v>
      </c>
      <c r="AV84" s="83">
        <f t="shared" si="3"/>
        <v>11.5</v>
      </c>
      <c r="AW84" s="83">
        <f t="shared" si="4"/>
        <v>0</v>
      </c>
      <c r="AX84" s="83">
        <f t="shared" si="5"/>
        <v>33.5</v>
      </c>
    </row>
    <row r="85" spans="1:50" ht="13.5" customHeight="1" x14ac:dyDescent="0.3">
      <c r="A85" s="140"/>
      <c r="B85" s="140"/>
      <c r="C85" s="140"/>
      <c r="D85" s="36" t="s">
        <v>21</v>
      </c>
      <c r="E85" s="24">
        <f t="shared" si="90"/>
        <v>0</v>
      </c>
      <c r="F85" s="24">
        <f t="shared" si="90"/>
        <v>0</v>
      </c>
      <c r="G85" s="24"/>
      <c r="H85" s="24"/>
      <c r="I85" s="24"/>
      <c r="J85" s="22"/>
      <c r="K85" s="24"/>
      <c r="L85" s="24"/>
      <c r="M85" s="24"/>
      <c r="N85" s="24"/>
      <c r="O85" s="24"/>
      <c r="P85" s="24"/>
      <c r="Q85" s="24"/>
      <c r="R85" s="24"/>
      <c r="S85" s="24"/>
      <c r="T85" s="24"/>
      <c r="U85" s="24"/>
      <c r="V85" s="24"/>
      <c r="W85" s="24"/>
      <c r="X85" s="24"/>
      <c r="Y85" s="24"/>
      <c r="Z85" s="24"/>
      <c r="AA85" s="24"/>
      <c r="AB85" s="22"/>
      <c r="AC85" s="24"/>
      <c r="AD85" s="24"/>
      <c r="AE85" s="22"/>
      <c r="AF85" s="24"/>
      <c r="AG85" s="24"/>
      <c r="AH85" s="22"/>
      <c r="AI85" s="24"/>
      <c r="AJ85" s="24"/>
      <c r="AK85" s="24"/>
      <c r="AL85" s="24"/>
      <c r="AM85" s="24"/>
      <c r="AN85" s="24"/>
      <c r="AO85" s="24"/>
      <c r="AP85" s="24"/>
      <c r="AQ85" s="24"/>
      <c r="AR85" s="34"/>
      <c r="AS85" s="34"/>
      <c r="AT85" s="100"/>
      <c r="AU85" s="83">
        <f t="shared" si="2"/>
        <v>0</v>
      </c>
      <c r="AV85" s="83">
        <f t="shared" si="3"/>
        <v>0</v>
      </c>
      <c r="AW85" s="83">
        <f t="shared" si="4"/>
        <v>0</v>
      </c>
      <c r="AX85" s="83">
        <f t="shared" si="5"/>
        <v>0</v>
      </c>
    </row>
    <row r="86" spans="1:50" ht="15" customHeight="1" x14ac:dyDescent="0.3">
      <c r="A86" s="140"/>
      <c r="B86" s="140"/>
      <c r="C86" s="140"/>
      <c r="D86" s="36" t="s">
        <v>4</v>
      </c>
      <c r="E86" s="24">
        <f t="shared" si="90"/>
        <v>0</v>
      </c>
      <c r="F86" s="24">
        <f t="shared" si="90"/>
        <v>0</v>
      </c>
      <c r="G86" s="24"/>
      <c r="H86" s="24"/>
      <c r="I86" s="24"/>
      <c r="J86" s="22"/>
      <c r="K86" s="24"/>
      <c r="L86" s="24"/>
      <c r="M86" s="24"/>
      <c r="N86" s="24"/>
      <c r="O86" s="24"/>
      <c r="P86" s="24"/>
      <c r="Q86" s="24"/>
      <c r="R86" s="24"/>
      <c r="S86" s="24"/>
      <c r="T86" s="24"/>
      <c r="U86" s="24"/>
      <c r="V86" s="24"/>
      <c r="W86" s="24"/>
      <c r="X86" s="24"/>
      <c r="Y86" s="24"/>
      <c r="Z86" s="24"/>
      <c r="AA86" s="24"/>
      <c r="AB86" s="22"/>
      <c r="AC86" s="24"/>
      <c r="AD86" s="24"/>
      <c r="AE86" s="22"/>
      <c r="AF86" s="24"/>
      <c r="AG86" s="24"/>
      <c r="AH86" s="22"/>
      <c r="AI86" s="24"/>
      <c r="AJ86" s="24"/>
      <c r="AK86" s="24"/>
      <c r="AL86" s="24"/>
      <c r="AM86" s="24"/>
      <c r="AN86" s="24"/>
      <c r="AO86" s="24"/>
      <c r="AP86" s="24"/>
      <c r="AQ86" s="24"/>
      <c r="AR86" s="41"/>
      <c r="AS86" s="41"/>
      <c r="AT86" s="100"/>
      <c r="AU86" s="83">
        <f t="shared" si="2"/>
        <v>0</v>
      </c>
      <c r="AV86" s="83">
        <f t="shared" si="3"/>
        <v>0</v>
      </c>
      <c r="AW86" s="83">
        <f t="shared" si="4"/>
        <v>0</v>
      </c>
      <c r="AX86" s="83">
        <f t="shared" si="5"/>
        <v>0</v>
      </c>
    </row>
    <row r="87" spans="1:50" ht="36" x14ac:dyDescent="0.3">
      <c r="A87" s="140"/>
      <c r="B87" s="140"/>
      <c r="C87" s="140"/>
      <c r="D87" s="36" t="s">
        <v>44</v>
      </c>
      <c r="E87" s="24">
        <f t="shared" si="90"/>
        <v>45</v>
      </c>
      <c r="F87" s="24">
        <f t="shared" si="90"/>
        <v>45</v>
      </c>
      <c r="G87" s="24">
        <f t="shared" ref="G87" si="93">F87/E87*100</f>
        <v>100</v>
      </c>
      <c r="H87" s="24"/>
      <c r="I87" s="24"/>
      <c r="J87" s="22"/>
      <c r="K87" s="24"/>
      <c r="L87" s="24"/>
      <c r="M87" s="24"/>
      <c r="N87" s="24"/>
      <c r="O87" s="24"/>
      <c r="P87" s="24"/>
      <c r="Q87" s="24">
        <v>10</v>
      </c>
      <c r="R87" s="24">
        <v>10</v>
      </c>
      <c r="S87" s="24">
        <f t="shared" ref="S87" si="94">R87/Q87*100</f>
        <v>100</v>
      </c>
      <c r="T87" s="24">
        <v>1.1000000000000001</v>
      </c>
      <c r="U87" s="24">
        <v>1.1000000000000001</v>
      </c>
      <c r="V87" s="24">
        <f t="shared" ref="V87" si="95">U87/T87*100</f>
        <v>100</v>
      </c>
      <c r="W87" s="24">
        <v>0.4</v>
      </c>
      <c r="X87" s="24">
        <v>0.4</v>
      </c>
      <c r="Y87" s="24">
        <f t="shared" ref="Y87" si="96">X87/W87*100</f>
        <v>100</v>
      </c>
      <c r="Z87" s="24"/>
      <c r="AA87" s="24"/>
      <c r="AB87" s="22"/>
      <c r="AC87" s="24"/>
      <c r="AD87" s="24"/>
      <c r="AE87" s="22"/>
      <c r="AF87" s="24"/>
      <c r="AG87" s="24"/>
      <c r="AH87" s="22"/>
      <c r="AI87" s="24">
        <v>10</v>
      </c>
      <c r="AJ87" s="24">
        <v>8.9</v>
      </c>
      <c r="AK87" s="24">
        <f t="shared" ref="AK87" si="97">AJ87/AI87*100</f>
        <v>89</v>
      </c>
      <c r="AL87" s="24">
        <v>15</v>
      </c>
      <c r="AM87" s="24"/>
      <c r="AN87" s="24"/>
      <c r="AO87" s="24">
        <v>8.5</v>
      </c>
      <c r="AP87" s="24">
        <v>24.6</v>
      </c>
      <c r="AQ87" s="24">
        <f t="shared" ref="AQ87" si="98">AP87/AO87*100</f>
        <v>289.41176470588238</v>
      </c>
      <c r="AR87" s="90" t="s">
        <v>162</v>
      </c>
      <c r="AS87" s="41"/>
      <c r="AT87" s="100">
        <f t="shared" si="92"/>
        <v>1</v>
      </c>
      <c r="AU87" s="83">
        <f t="shared" ref="AU87:AU165" si="99">H87+K87+N87</f>
        <v>0</v>
      </c>
      <c r="AV87" s="83">
        <f t="shared" ref="AV87:AV165" si="100">Q87+T87+W87</f>
        <v>11.5</v>
      </c>
      <c r="AW87" s="83">
        <f t="shared" ref="AW87:AW165" si="101">Z87+AC87+AF87</f>
        <v>0</v>
      </c>
      <c r="AX87" s="83">
        <f t="shared" ref="AX87:AX165" si="102">AI87+AL87+AO87</f>
        <v>33.5</v>
      </c>
    </row>
    <row r="88" spans="1:50" ht="12" customHeight="1" x14ac:dyDescent="0.3">
      <c r="A88" s="140"/>
      <c r="B88" s="140"/>
      <c r="C88" s="140"/>
      <c r="D88" s="36" t="s">
        <v>22</v>
      </c>
      <c r="E88" s="24">
        <f t="shared" si="90"/>
        <v>0</v>
      </c>
      <c r="F88" s="24">
        <f t="shared" si="90"/>
        <v>0</v>
      </c>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34"/>
      <c r="AS88" s="34"/>
      <c r="AT88" s="100"/>
      <c r="AU88" s="83">
        <f t="shared" si="99"/>
        <v>0</v>
      </c>
      <c r="AV88" s="83">
        <f t="shared" si="100"/>
        <v>0</v>
      </c>
      <c r="AW88" s="83">
        <f t="shared" si="101"/>
        <v>0</v>
      </c>
      <c r="AX88" s="83">
        <f t="shared" si="102"/>
        <v>0</v>
      </c>
    </row>
    <row r="89" spans="1:50" x14ac:dyDescent="0.3">
      <c r="A89" s="140" t="s">
        <v>54</v>
      </c>
      <c r="B89" s="140" t="s">
        <v>91</v>
      </c>
      <c r="C89" s="140" t="s">
        <v>5</v>
      </c>
      <c r="D89" s="36" t="s">
        <v>3</v>
      </c>
      <c r="E89" s="24">
        <f t="shared" si="90"/>
        <v>385.40000000000003</v>
      </c>
      <c r="F89" s="24">
        <f t="shared" si="90"/>
        <v>321.60000000000002</v>
      </c>
      <c r="G89" s="24">
        <f>F89/E89*100</f>
        <v>83.445770627919046</v>
      </c>
      <c r="H89" s="24">
        <f>H90+H91+H92+H93</f>
        <v>0</v>
      </c>
      <c r="I89" s="24">
        <f>I90+I91+I92+I93</f>
        <v>0</v>
      </c>
      <c r="J89" s="24"/>
      <c r="K89" s="24">
        <f t="shared" ref="K89:AP89" si="103">K90+K91+K92+K93</f>
        <v>0</v>
      </c>
      <c r="L89" s="24">
        <f t="shared" si="103"/>
        <v>0</v>
      </c>
      <c r="M89" s="22"/>
      <c r="N89" s="24">
        <f t="shared" si="103"/>
        <v>10.200000000000003</v>
      </c>
      <c r="O89" s="24">
        <f t="shared" si="103"/>
        <v>10.199999999999999</v>
      </c>
      <c r="P89" s="24">
        <f>O89/N89*100</f>
        <v>99.999999999999972</v>
      </c>
      <c r="Q89" s="24">
        <f t="shared" si="103"/>
        <v>0</v>
      </c>
      <c r="R89" s="24">
        <f t="shared" si="103"/>
        <v>0</v>
      </c>
      <c r="S89" s="24"/>
      <c r="T89" s="24">
        <f t="shared" si="103"/>
        <v>4.9000000000000004</v>
      </c>
      <c r="U89" s="24">
        <f t="shared" si="103"/>
        <v>4.9000000000000004</v>
      </c>
      <c r="V89" s="24">
        <f>U89/T89*100</f>
        <v>100</v>
      </c>
      <c r="W89" s="24">
        <f t="shared" si="103"/>
        <v>122.90000000000009</v>
      </c>
      <c r="X89" s="24">
        <f t="shared" si="103"/>
        <v>122.9</v>
      </c>
      <c r="Y89" s="24">
        <f>X89/W89*100</f>
        <v>99.999999999999929</v>
      </c>
      <c r="Z89" s="24">
        <f t="shared" si="103"/>
        <v>16</v>
      </c>
      <c r="AA89" s="24">
        <f t="shared" si="103"/>
        <v>16</v>
      </c>
      <c r="AB89" s="24">
        <f>AA89/Z89*100</f>
        <v>100</v>
      </c>
      <c r="AC89" s="24">
        <f t="shared" si="103"/>
        <v>78.099999999999994</v>
      </c>
      <c r="AD89" s="24">
        <f t="shared" si="103"/>
        <v>78.099999999999994</v>
      </c>
      <c r="AE89" s="24">
        <f>AD89/AC89*100</f>
        <v>100</v>
      </c>
      <c r="AF89" s="24">
        <f t="shared" si="103"/>
        <v>0</v>
      </c>
      <c r="AG89" s="24"/>
      <c r="AH89" s="22"/>
      <c r="AI89" s="24">
        <f t="shared" si="103"/>
        <v>82.399999999999977</v>
      </c>
      <c r="AJ89" s="24">
        <f t="shared" si="103"/>
        <v>33.4</v>
      </c>
      <c r="AK89" s="24">
        <f>AJ89/AI89*100</f>
        <v>40.533980582524279</v>
      </c>
      <c r="AL89" s="24">
        <f t="shared" si="103"/>
        <v>35.700000000000003</v>
      </c>
      <c r="AM89" s="24">
        <f t="shared" si="103"/>
        <v>0</v>
      </c>
      <c r="AN89" s="24"/>
      <c r="AO89" s="24">
        <f t="shared" si="103"/>
        <v>35.200000000000003</v>
      </c>
      <c r="AP89" s="24">
        <f t="shared" si="103"/>
        <v>56.1</v>
      </c>
      <c r="AQ89" s="24">
        <f>AP89/AO89*100</f>
        <v>159.375</v>
      </c>
      <c r="AR89" s="34"/>
      <c r="AS89" s="34"/>
      <c r="AT89" s="100">
        <f t="shared" si="92"/>
        <v>0.83445770627919047</v>
      </c>
      <c r="AU89" s="83">
        <f t="shared" si="99"/>
        <v>10.200000000000003</v>
      </c>
      <c r="AV89" s="83">
        <f t="shared" si="100"/>
        <v>127.8000000000001</v>
      </c>
      <c r="AW89" s="83">
        <f t="shared" si="101"/>
        <v>94.1</v>
      </c>
      <c r="AX89" s="83">
        <f t="shared" si="102"/>
        <v>153.29999999999998</v>
      </c>
    </row>
    <row r="90" spans="1:50" x14ac:dyDescent="0.3">
      <c r="A90" s="140"/>
      <c r="B90" s="140"/>
      <c r="C90" s="140"/>
      <c r="D90" s="36" t="s">
        <v>21</v>
      </c>
      <c r="E90" s="24">
        <f t="shared" si="90"/>
        <v>0</v>
      </c>
      <c r="F90" s="24">
        <f t="shared" si="90"/>
        <v>0</v>
      </c>
      <c r="G90" s="24"/>
      <c r="H90" s="24"/>
      <c r="I90" s="24"/>
      <c r="J90" s="24"/>
      <c r="K90" s="24"/>
      <c r="L90" s="24"/>
      <c r="M90" s="22"/>
      <c r="N90" s="24"/>
      <c r="O90" s="24"/>
      <c r="P90" s="24"/>
      <c r="Q90" s="24"/>
      <c r="R90" s="24"/>
      <c r="S90" s="24"/>
      <c r="T90" s="24"/>
      <c r="U90" s="24"/>
      <c r="V90" s="24"/>
      <c r="W90" s="24"/>
      <c r="X90" s="24"/>
      <c r="Y90" s="24"/>
      <c r="Z90" s="24"/>
      <c r="AA90" s="24"/>
      <c r="AB90" s="24"/>
      <c r="AC90" s="24"/>
      <c r="AD90" s="24"/>
      <c r="AE90" s="24"/>
      <c r="AF90" s="24"/>
      <c r="AG90" s="24"/>
      <c r="AH90" s="22"/>
      <c r="AI90" s="24"/>
      <c r="AJ90" s="24"/>
      <c r="AK90" s="24"/>
      <c r="AL90" s="24"/>
      <c r="AM90" s="24"/>
      <c r="AN90" s="24"/>
      <c r="AO90" s="24"/>
      <c r="AP90" s="24"/>
      <c r="AQ90" s="24"/>
      <c r="AR90" s="34"/>
      <c r="AS90" s="34"/>
      <c r="AT90" s="100"/>
      <c r="AU90" s="83">
        <f t="shared" si="99"/>
        <v>0</v>
      </c>
      <c r="AV90" s="83">
        <f t="shared" si="100"/>
        <v>0</v>
      </c>
      <c r="AW90" s="83">
        <f t="shared" si="101"/>
        <v>0</v>
      </c>
      <c r="AX90" s="83">
        <f t="shared" si="102"/>
        <v>0</v>
      </c>
    </row>
    <row r="91" spans="1:50" ht="24" x14ac:dyDescent="0.3">
      <c r="A91" s="140"/>
      <c r="B91" s="140"/>
      <c r="C91" s="140"/>
      <c r="D91" s="36" t="s">
        <v>4</v>
      </c>
      <c r="E91" s="24">
        <f t="shared" si="90"/>
        <v>0</v>
      </c>
      <c r="F91" s="24">
        <f t="shared" si="90"/>
        <v>0</v>
      </c>
      <c r="G91" s="24"/>
      <c r="H91" s="24"/>
      <c r="I91" s="24"/>
      <c r="J91" s="24"/>
      <c r="K91" s="24"/>
      <c r="L91" s="24"/>
      <c r="M91" s="22"/>
      <c r="N91" s="24"/>
      <c r="O91" s="24"/>
      <c r="P91" s="24"/>
      <c r="Q91" s="24"/>
      <c r="R91" s="24"/>
      <c r="S91" s="24"/>
      <c r="T91" s="24"/>
      <c r="U91" s="24"/>
      <c r="V91" s="24"/>
      <c r="W91" s="24"/>
      <c r="X91" s="24"/>
      <c r="Y91" s="24"/>
      <c r="Z91" s="24"/>
      <c r="AA91" s="24"/>
      <c r="AB91" s="24"/>
      <c r="AC91" s="24"/>
      <c r="AD91" s="24"/>
      <c r="AE91" s="24"/>
      <c r="AF91" s="24"/>
      <c r="AG91" s="24"/>
      <c r="AH91" s="22"/>
      <c r="AI91" s="24"/>
      <c r="AJ91" s="24"/>
      <c r="AK91" s="24"/>
      <c r="AL91" s="24"/>
      <c r="AM91" s="24"/>
      <c r="AN91" s="24"/>
      <c r="AO91" s="24"/>
      <c r="AP91" s="24"/>
      <c r="AQ91" s="24"/>
      <c r="AR91" s="34"/>
      <c r="AS91" s="34"/>
      <c r="AT91" s="100"/>
      <c r="AU91" s="83">
        <f t="shared" si="99"/>
        <v>0</v>
      </c>
      <c r="AV91" s="83">
        <f t="shared" si="100"/>
        <v>0</v>
      </c>
      <c r="AW91" s="83">
        <f t="shared" si="101"/>
        <v>0</v>
      </c>
      <c r="AX91" s="83">
        <f t="shared" si="102"/>
        <v>0</v>
      </c>
    </row>
    <row r="92" spans="1:50" ht="123.6" customHeight="1" x14ac:dyDescent="0.3">
      <c r="A92" s="140"/>
      <c r="B92" s="140"/>
      <c r="C92" s="140"/>
      <c r="D92" s="36" t="s">
        <v>44</v>
      </c>
      <c r="E92" s="24">
        <f t="shared" si="90"/>
        <v>385.40000000000003</v>
      </c>
      <c r="F92" s="24">
        <f t="shared" si="90"/>
        <v>321.60000000000002</v>
      </c>
      <c r="G92" s="24">
        <f t="shared" ref="G92" si="104">F92/E92*100</f>
        <v>83.445770627919046</v>
      </c>
      <c r="H92" s="24">
        <f>541.9-541.9</f>
        <v>0</v>
      </c>
      <c r="I92" s="24">
        <v>0</v>
      </c>
      <c r="J92" s="24"/>
      <c r="K92" s="24"/>
      <c r="L92" s="24"/>
      <c r="M92" s="22"/>
      <c r="N92" s="24">
        <f>30.6-20.4</f>
        <v>10.200000000000003</v>
      </c>
      <c r="O92" s="24">
        <v>10.199999999999999</v>
      </c>
      <c r="P92" s="24">
        <f t="shared" ref="P92" si="105">O92/N92*100</f>
        <v>99.999999999999972</v>
      </c>
      <c r="Q92" s="24"/>
      <c r="R92" s="24"/>
      <c r="S92" s="24"/>
      <c r="T92" s="24">
        <v>4.9000000000000004</v>
      </c>
      <c r="U92" s="24">
        <v>4.9000000000000004</v>
      </c>
      <c r="V92" s="24">
        <f t="shared" ref="V92" si="106">U92/T92*100</f>
        <v>100</v>
      </c>
      <c r="W92" s="24">
        <f>114.2+527.1-4.9+13.4-526.9</f>
        <v>122.90000000000009</v>
      </c>
      <c r="X92" s="24">
        <v>122.9</v>
      </c>
      <c r="Y92" s="24">
        <f t="shared" ref="Y92" si="107">X92/W92*100</f>
        <v>99.999999999999929</v>
      </c>
      <c r="Z92" s="24">
        <v>16</v>
      </c>
      <c r="AA92" s="24">
        <v>16</v>
      </c>
      <c r="AB92" s="24">
        <f t="shared" ref="AB92" si="108">AA92/Z92*100</f>
        <v>100</v>
      </c>
      <c r="AC92" s="24">
        <v>78.099999999999994</v>
      </c>
      <c r="AD92" s="24">
        <v>78.099999999999994</v>
      </c>
      <c r="AE92" s="24">
        <f t="shared" ref="AE92" si="109">AD92/AC92*100</f>
        <v>100</v>
      </c>
      <c r="AF92" s="24"/>
      <c r="AG92" s="24"/>
      <c r="AH92" s="22"/>
      <c r="AI92" s="24">
        <f>510.9-428.5</f>
        <v>82.399999999999977</v>
      </c>
      <c r="AJ92" s="24">
        <v>33.4</v>
      </c>
      <c r="AK92" s="24">
        <f t="shared" ref="AK92" si="110">AJ92/AI92*100</f>
        <v>40.533980582524279</v>
      </c>
      <c r="AL92" s="24">
        <v>35.700000000000003</v>
      </c>
      <c r="AM92" s="24"/>
      <c r="AN92" s="24"/>
      <c r="AO92" s="24">
        <v>35.200000000000003</v>
      </c>
      <c r="AP92" s="24">
        <v>56.1</v>
      </c>
      <c r="AQ92" s="24">
        <f t="shared" ref="AQ92" si="111">AP92/AO92*100</f>
        <v>159.375</v>
      </c>
      <c r="AR92" s="58" t="s">
        <v>163</v>
      </c>
      <c r="AS92" s="90" t="s">
        <v>198</v>
      </c>
      <c r="AT92" s="100">
        <f t="shared" si="92"/>
        <v>0.83445770627919047</v>
      </c>
      <c r="AU92" s="83">
        <f t="shared" si="99"/>
        <v>10.200000000000003</v>
      </c>
      <c r="AV92" s="83">
        <f t="shared" si="100"/>
        <v>127.8000000000001</v>
      </c>
      <c r="AW92" s="83">
        <f t="shared" si="101"/>
        <v>94.1</v>
      </c>
      <c r="AX92" s="83">
        <f t="shared" si="102"/>
        <v>153.29999999999998</v>
      </c>
    </row>
    <row r="93" spans="1:50" ht="17.399999999999999" customHeight="1" x14ac:dyDescent="0.3">
      <c r="A93" s="140"/>
      <c r="B93" s="140"/>
      <c r="C93" s="140"/>
      <c r="D93" s="36" t="s">
        <v>22</v>
      </c>
      <c r="E93" s="24">
        <f t="shared" si="90"/>
        <v>0</v>
      </c>
      <c r="F93" s="24">
        <f t="shared" si="90"/>
        <v>0</v>
      </c>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34"/>
      <c r="AS93" s="34"/>
      <c r="AT93" s="100"/>
      <c r="AU93" s="83">
        <f t="shared" si="99"/>
        <v>0</v>
      </c>
      <c r="AV93" s="83">
        <f t="shared" si="100"/>
        <v>0</v>
      </c>
      <c r="AW93" s="83">
        <f t="shared" si="101"/>
        <v>0</v>
      </c>
      <c r="AX93" s="83">
        <f t="shared" si="102"/>
        <v>0</v>
      </c>
    </row>
    <row r="94" spans="1:50" ht="13.2" customHeight="1" x14ac:dyDescent="0.3">
      <c r="A94" s="140" t="s">
        <v>55</v>
      </c>
      <c r="B94" s="140" t="s">
        <v>92</v>
      </c>
      <c r="C94" s="140" t="s">
        <v>5</v>
      </c>
      <c r="D94" s="36" t="s">
        <v>3</v>
      </c>
      <c r="E94" s="24">
        <f t="shared" si="90"/>
        <v>0</v>
      </c>
      <c r="F94" s="24">
        <f t="shared" si="90"/>
        <v>0</v>
      </c>
      <c r="G94" s="24"/>
      <c r="H94" s="24">
        <f>H95+H96+H97+H98</f>
        <v>0</v>
      </c>
      <c r="I94" s="24"/>
      <c r="J94" s="24"/>
      <c r="K94" s="24">
        <f t="shared" ref="K94:AO94" si="112">K95+K96+K97+K98</f>
        <v>0</v>
      </c>
      <c r="L94" s="24"/>
      <c r="M94" s="24"/>
      <c r="N94" s="24">
        <f t="shared" si="112"/>
        <v>0</v>
      </c>
      <c r="O94" s="24"/>
      <c r="P94" s="24"/>
      <c r="Q94" s="24">
        <f t="shared" si="112"/>
        <v>0</v>
      </c>
      <c r="R94" s="24"/>
      <c r="S94" s="24"/>
      <c r="T94" s="24">
        <f t="shared" si="112"/>
        <v>0</v>
      </c>
      <c r="U94" s="24"/>
      <c r="V94" s="24"/>
      <c r="W94" s="24">
        <f t="shared" si="112"/>
        <v>0</v>
      </c>
      <c r="X94" s="24">
        <f t="shared" si="112"/>
        <v>0</v>
      </c>
      <c r="Y94" s="24"/>
      <c r="Z94" s="24">
        <f t="shared" si="112"/>
        <v>0</v>
      </c>
      <c r="AA94" s="24"/>
      <c r="AB94" s="24"/>
      <c r="AC94" s="24">
        <f t="shared" si="112"/>
        <v>0</v>
      </c>
      <c r="AD94" s="24"/>
      <c r="AE94" s="24"/>
      <c r="AF94" s="24">
        <f t="shared" si="112"/>
        <v>0</v>
      </c>
      <c r="AG94" s="24"/>
      <c r="AH94" s="24"/>
      <c r="AI94" s="24">
        <f t="shared" si="112"/>
        <v>0</v>
      </c>
      <c r="AJ94" s="24"/>
      <c r="AK94" s="24"/>
      <c r="AL94" s="24">
        <f t="shared" si="112"/>
        <v>0</v>
      </c>
      <c r="AM94" s="24"/>
      <c r="AN94" s="24"/>
      <c r="AO94" s="24">
        <f t="shared" si="112"/>
        <v>0</v>
      </c>
      <c r="AP94" s="24"/>
      <c r="AQ94" s="24"/>
      <c r="AR94" s="34"/>
      <c r="AS94" s="34"/>
      <c r="AT94" s="100"/>
      <c r="AU94" s="83">
        <f t="shared" si="99"/>
        <v>0</v>
      </c>
      <c r="AV94" s="83">
        <f t="shared" si="100"/>
        <v>0</v>
      </c>
      <c r="AW94" s="83">
        <f t="shared" si="101"/>
        <v>0</v>
      </c>
      <c r="AX94" s="83">
        <f t="shared" si="102"/>
        <v>0</v>
      </c>
    </row>
    <row r="95" spans="1:50" ht="12.6" customHeight="1" x14ac:dyDescent="0.3">
      <c r="A95" s="140"/>
      <c r="B95" s="140"/>
      <c r="C95" s="140"/>
      <c r="D95" s="36" t="s">
        <v>21</v>
      </c>
      <c r="E95" s="24">
        <f t="shared" si="90"/>
        <v>0</v>
      </c>
      <c r="F95" s="24">
        <f t="shared" si="90"/>
        <v>0</v>
      </c>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34"/>
      <c r="AS95" s="34"/>
      <c r="AT95" s="100"/>
      <c r="AU95" s="83">
        <f t="shared" si="99"/>
        <v>0</v>
      </c>
      <c r="AV95" s="83">
        <f t="shared" si="100"/>
        <v>0</v>
      </c>
      <c r="AW95" s="83">
        <f t="shared" si="101"/>
        <v>0</v>
      </c>
      <c r="AX95" s="83">
        <f t="shared" si="102"/>
        <v>0</v>
      </c>
    </row>
    <row r="96" spans="1:50" ht="24" x14ac:dyDescent="0.3">
      <c r="A96" s="140"/>
      <c r="B96" s="140"/>
      <c r="C96" s="140"/>
      <c r="D96" s="36" t="s">
        <v>4</v>
      </c>
      <c r="E96" s="24">
        <f t="shared" si="90"/>
        <v>0</v>
      </c>
      <c r="F96" s="24">
        <f t="shared" si="90"/>
        <v>0</v>
      </c>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34"/>
      <c r="AS96" s="34"/>
      <c r="AT96" s="100"/>
      <c r="AU96" s="83">
        <f t="shared" si="99"/>
        <v>0</v>
      </c>
      <c r="AV96" s="83">
        <f t="shared" si="100"/>
        <v>0</v>
      </c>
      <c r="AW96" s="83">
        <f t="shared" si="101"/>
        <v>0</v>
      </c>
      <c r="AX96" s="83">
        <f t="shared" si="102"/>
        <v>0</v>
      </c>
    </row>
    <row r="97" spans="1:50" ht="12.6" customHeight="1" x14ac:dyDescent="0.3">
      <c r="A97" s="140"/>
      <c r="B97" s="140"/>
      <c r="C97" s="140"/>
      <c r="D97" s="36" t="s">
        <v>44</v>
      </c>
      <c r="E97" s="24">
        <f t="shared" si="90"/>
        <v>0</v>
      </c>
      <c r="F97" s="24">
        <f t="shared" si="90"/>
        <v>0</v>
      </c>
      <c r="G97" s="24"/>
      <c r="H97" s="24"/>
      <c r="I97" s="24"/>
      <c r="J97" s="24"/>
      <c r="K97" s="24"/>
      <c r="L97" s="24"/>
      <c r="M97" s="24"/>
      <c r="N97" s="24"/>
      <c r="O97" s="24"/>
      <c r="P97" s="24"/>
      <c r="Q97" s="24"/>
      <c r="R97" s="24"/>
      <c r="S97" s="24"/>
      <c r="T97" s="24"/>
      <c r="U97" s="24"/>
      <c r="V97" s="24"/>
      <c r="W97" s="24">
        <f>24-24</f>
        <v>0</v>
      </c>
      <c r="X97" s="24">
        <v>0</v>
      </c>
      <c r="Y97" s="24"/>
      <c r="Z97" s="24"/>
      <c r="AA97" s="24"/>
      <c r="AB97" s="24"/>
      <c r="AC97" s="24"/>
      <c r="AD97" s="24"/>
      <c r="AE97" s="24"/>
      <c r="AF97" s="24"/>
      <c r="AG97" s="24"/>
      <c r="AH97" s="24"/>
      <c r="AI97" s="24"/>
      <c r="AJ97" s="24"/>
      <c r="AK97" s="24"/>
      <c r="AL97" s="24"/>
      <c r="AM97" s="24"/>
      <c r="AN97" s="24"/>
      <c r="AO97" s="24">
        <f>24-24</f>
        <v>0</v>
      </c>
      <c r="AP97" s="24"/>
      <c r="AQ97" s="24"/>
      <c r="AR97" s="34"/>
      <c r="AS97" s="34"/>
      <c r="AT97" s="100"/>
      <c r="AU97" s="83">
        <f t="shared" si="99"/>
        <v>0</v>
      </c>
      <c r="AV97" s="83">
        <f t="shared" si="100"/>
        <v>0</v>
      </c>
      <c r="AW97" s="83">
        <f t="shared" si="101"/>
        <v>0</v>
      </c>
      <c r="AX97" s="83">
        <f t="shared" si="102"/>
        <v>0</v>
      </c>
    </row>
    <row r="98" spans="1:50" ht="15.75" customHeight="1" x14ac:dyDescent="0.3">
      <c r="A98" s="140"/>
      <c r="B98" s="140"/>
      <c r="C98" s="140"/>
      <c r="D98" s="36" t="s">
        <v>22</v>
      </c>
      <c r="E98" s="24">
        <f t="shared" si="90"/>
        <v>0</v>
      </c>
      <c r="F98" s="24">
        <f t="shared" si="90"/>
        <v>0</v>
      </c>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34"/>
      <c r="AS98" s="34"/>
      <c r="AT98" s="100"/>
      <c r="AU98" s="83">
        <f t="shared" si="99"/>
        <v>0</v>
      </c>
      <c r="AV98" s="83">
        <f t="shared" si="100"/>
        <v>0</v>
      </c>
      <c r="AW98" s="83">
        <f t="shared" si="101"/>
        <v>0</v>
      </c>
      <c r="AX98" s="83">
        <f t="shared" si="102"/>
        <v>0</v>
      </c>
    </row>
    <row r="99" spans="1:50" ht="12" customHeight="1" x14ac:dyDescent="0.3">
      <c r="A99" s="140" t="s">
        <v>56</v>
      </c>
      <c r="B99" s="140" t="s">
        <v>93</v>
      </c>
      <c r="C99" s="140" t="s">
        <v>5</v>
      </c>
      <c r="D99" s="36" t="s">
        <v>3</v>
      </c>
      <c r="E99" s="24">
        <f t="shared" si="90"/>
        <v>325.20000000000005</v>
      </c>
      <c r="F99" s="24">
        <f t="shared" si="90"/>
        <v>325.20000000000005</v>
      </c>
      <c r="G99" s="24">
        <f>F99/E99*100</f>
        <v>100</v>
      </c>
      <c r="H99" s="24">
        <f>H100+H101+H102+H103</f>
        <v>0</v>
      </c>
      <c r="I99" s="24"/>
      <c r="J99" s="22"/>
      <c r="K99" s="24">
        <f t="shared" ref="K99:AO99" si="113">K100+K101+K102+K103</f>
        <v>0</v>
      </c>
      <c r="L99" s="24">
        <f t="shared" si="113"/>
        <v>0</v>
      </c>
      <c r="M99" s="24"/>
      <c r="N99" s="24">
        <f t="shared" si="113"/>
        <v>0</v>
      </c>
      <c r="O99" s="24">
        <f t="shared" si="113"/>
        <v>0</v>
      </c>
      <c r="P99" s="24"/>
      <c r="Q99" s="24">
        <f t="shared" si="113"/>
        <v>0</v>
      </c>
      <c r="R99" s="24">
        <f t="shared" si="113"/>
        <v>0</v>
      </c>
      <c r="S99" s="24"/>
      <c r="T99" s="24">
        <f t="shared" si="113"/>
        <v>23.300000000000011</v>
      </c>
      <c r="U99" s="24">
        <f t="shared" si="113"/>
        <v>23.3</v>
      </c>
      <c r="V99" s="24">
        <f>U99/T99*100</f>
        <v>99.999999999999957</v>
      </c>
      <c r="W99" s="24">
        <f t="shared" si="113"/>
        <v>150</v>
      </c>
      <c r="X99" s="24">
        <f t="shared" si="113"/>
        <v>150</v>
      </c>
      <c r="Y99" s="24">
        <f>X99/W99*100</f>
        <v>100</v>
      </c>
      <c r="Z99" s="24">
        <f t="shared" si="113"/>
        <v>0</v>
      </c>
      <c r="AA99" s="24">
        <f t="shared" si="113"/>
        <v>0</v>
      </c>
      <c r="AB99" s="24"/>
      <c r="AC99" s="24">
        <f t="shared" si="113"/>
        <v>0</v>
      </c>
      <c r="AD99" s="24">
        <f t="shared" si="113"/>
        <v>0</v>
      </c>
      <c r="AE99" s="24"/>
      <c r="AF99" s="24">
        <f t="shared" si="113"/>
        <v>1.9000000000000004</v>
      </c>
      <c r="AG99" s="24">
        <f t="shared" si="113"/>
        <v>5.9</v>
      </c>
      <c r="AH99" s="24">
        <f>AG99/AF99*100</f>
        <v>310.52631578947364</v>
      </c>
      <c r="AI99" s="24">
        <f t="shared" si="113"/>
        <v>150</v>
      </c>
      <c r="AJ99" s="24">
        <f t="shared" si="113"/>
        <v>0</v>
      </c>
      <c r="AK99" s="24">
        <f>AJ99/AI99*100</f>
        <v>0</v>
      </c>
      <c r="AL99" s="24">
        <f t="shared" si="113"/>
        <v>0</v>
      </c>
      <c r="AM99" s="24">
        <f t="shared" si="113"/>
        <v>146</v>
      </c>
      <c r="AN99" s="24"/>
      <c r="AO99" s="24">
        <f t="shared" si="113"/>
        <v>0</v>
      </c>
      <c r="AP99" s="24"/>
      <c r="AQ99" s="22"/>
      <c r="AR99" s="34"/>
      <c r="AS99" s="34"/>
      <c r="AT99" s="100">
        <f t="shared" si="92"/>
        <v>1</v>
      </c>
      <c r="AU99" s="83">
        <f t="shared" si="99"/>
        <v>0</v>
      </c>
      <c r="AV99" s="83">
        <f t="shared" si="100"/>
        <v>173.3</v>
      </c>
      <c r="AW99" s="83">
        <f t="shared" si="101"/>
        <v>1.9000000000000004</v>
      </c>
      <c r="AX99" s="83">
        <f t="shared" si="102"/>
        <v>150</v>
      </c>
    </row>
    <row r="100" spans="1:50" x14ac:dyDescent="0.3">
      <c r="A100" s="140"/>
      <c r="B100" s="140"/>
      <c r="C100" s="140"/>
      <c r="D100" s="36" t="s">
        <v>21</v>
      </c>
      <c r="E100" s="24">
        <f t="shared" ref="E100:F138" si="114">H100+K100+N100+Q100+T100+W100+Z100+AC100+AF100+AI100+AL100+AO100</f>
        <v>0</v>
      </c>
      <c r="F100" s="24">
        <f t="shared" si="114"/>
        <v>0</v>
      </c>
      <c r="G100" s="24"/>
      <c r="H100" s="24"/>
      <c r="I100" s="24"/>
      <c r="J100" s="22"/>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2"/>
      <c r="AR100" s="34"/>
      <c r="AS100" s="34"/>
      <c r="AT100" s="100"/>
      <c r="AU100" s="83">
        <f t="shared" si="99"/>
        <v>0</v>
      </c>
      <c r="AV100" s="83">
        <f t="shared" si="100"/>
        <v>0</v>
      </c>
      <c r="AW100" s="83">
        <f t="shared" si="101"/>
        <v>0</v>
      </c>
      <c r="AX100" s="83">
        <f t="shared" si="102"/>
        <v>0</v>
      </c>
    </row>
    <row r="101" spans="1:50" ht="24" x14ac:dyDescent="0.3">
      <c r="A101" s="140"/>
      <c r="B101" s="140"/>
      <c r="C101" s="140"/>
      <c r="D101" s="36" t="s">
        <v>4</v>
      </c>
      <c r="E101" s="24">
        <f t="shared" si="114"/>
        <v>150</v>
      </c>
      <c r="F101" s="24">
        <f t="shared" si="114"/>
        <v>150</v>
      </c>
      <c r="G101" s="24">
        <f t="shared" ref="G101:G102" si="115">F101/E101*100</f>
        <v>100</v>
      </c>
      <c r="H101" s="60"/>
      <c r="I101" s="60"/>
      <c r="J101" s="22"/>
      <c r="K101" s="24"/>
      <c r="L101" s="60"/>
      <c r="M101" s="24"/>
      <c r="N101" s="24"/>
      <c r="O101" s="24"/>
      <c r="P101" s="24"/>
      <c r="Q101" s="24"/>
      <c r="R101" s="24"/>
      <c r="S101" s="24"/>
      <c r="T101" s="24"/>
      <c r="U101" s="24"/>
      <c r="V101" s="24"/>
      <c r="W101" s="24"/>
      <c r="X101" s="24"/>
      <c r="Y101" s="24"/>
      <c r="Z101" s="24"/>
      <c r="AA101" s="24"/>
      <c r="AB101" s="24"/>
      <c r="AC101" s="24"/>
      <c r="AD101" s="24"/>
      <c r="AE101" s="24"/>
      <c r="AF101" s="24"/>
      <c r="AG101" s="60"/>
      <c r="AH101" s="24"/>
      <c r="AI101" s="24">
        <v>150</v>
      </c>
      <c r="AJ101" s="24">
        <v>0</v>
      </c>
      <c r="AK101" s="24">
        <f t="shared" ref="AK101" si="116">AJ101/AI101*100</f>
        <v>0</v>
      </c>
      <c r="AL101" s="24"/>
      <c r="AM101" s="24">
        <v>150</v>
      </c>
      <c r="AN101" s="24"/>
      <c r="AO101" s="60"/>
      <c r="AP101" s="60"/>
      <c r="AQ101" s="22"/>
      <c r="AR101" s="41"/>
      <c r="AS101" s="41"/>
      <c r="AT101" s="100">
        <f t="shared" si="92"/>
        <v>1</v>
      </c>
      <c r="AU101" s="83">
        <f t="shared" si="99"/>
        <v>0</v>
      </c>
      <c r="AV101" s="83">
        <f t="shared" si="100"/>
        <v>0</v>
      </c>
      <c r="AW101" s="83">
        <f t="shared" si="101"/>
        <v>0</v>
      </c>
      <c r="AX101" s="83">
        <f t="shared" si="102"/>
        <v>150</v>
      </c>
    </row>
    <row r="102" spans="1:50" ht="48" x14ac:dyDescent="0.3">
      <c r="A102" s="140"/>
      <c r="B102" s="140"/>
      <c r="C102" s="140"/>
      <c r="D102" s="36" t="s">
        <v>44</v>
      </c>
      <c r="E102" s="24">
        <f t="shared" si="114"/>
        <v>175.20000000000002</v>
      </c>
      <c r="F102" s="24">
        <f t="shared" si="114"/>
        <v>175.20000000000002</v>
      </c>
      <c r="G102" s="24">
        <f t="shared" si="115"/>
        <v>100</v>
      </c>
      <c r="H102" s="24"/>
      <c r="I102" s="24"/>
      <c r="J102" s="22"/>
      <c r="K102" s="24"/>
      <c r="L102" s="24"/>
      <c r="M102" s="24"/>
      <c r="N102" s="24">
        <f>102-102</f>
        <v>0</v>
      </c>
      <c r="O102" s="24"/>
      <c r="P102" s="24"/>
      <c r="Q102" s="24"/>
      <c r="R102" s="24"/>
      <c r="S102" s="24"/>
      <c r="T102" s="24">
        <f>150+102-78.7-150</f>
        <v>23.300000000000011</v>
      </c>
      <c r="U102" s="24">
        <v>23.3</v>
      </c>
      <c r="V102" s="24">
        <f t="shared" ref="V102" si="117">U102/T102*100</f>
        <v>99.999999999999957</v>
      </c>
      <c r="W102" s="24">
        <v>150</v>
      </c>
      <c r="X102" s="24">
        <v>150</v>
      </c>
      <c r="Y102" s="24">
        <f t="shared" ref="Y102" si="118">X102/W102*100</f>
        <v>100</v>
      </c>
      <c r="Z102" s="24">
        <f>100-100</f>
        <v>0</v>
      </c>
      <c r="AA102" s="24">
        <v>0</v>
      </c>
      <c r="AB102" s="24"/>
      <c r="AC102" s="24"/>
      <c r="AD102" s="24"/>
      <c r="AE102" s="24"/>
      <c r="AF102" s="24">
        <f>5.9-4</f>
        <v>1.9000000000000004</v>
      </c>
      <c r="AG102" s="24">
        <v>5.9</v>
      </c>
      <c r="AH102" s="24">
        <f t="shared" ref="AH102" si="119">AG102/AF102*100</f>
        <v>310.52631578947364</v>
      </c>
      <c r="AI102" s="24">
        <f>64.3-64.3</f>
        <v>0</v>
      </c>
      <c r="AJ102" s="24">
        <v>0</v>
      </c>
      <c r="AK102" s="24"/>
      <c r="AL102" s="24"/>
      <c r="AM102" s="24">
        <v>-4</v>
      </c>
      <c r="AN102" s="24"/>
      <c r="AO102" s="24">
        <f>8.5-8.5</f>
        <v>0</v>
      </c>
      <c r="AP102" s="24"/>
      <c r="AQ102" s="22"/>
      <c r="AR102" s="90" t="s">
        <v>177</v>
      </c>
      <c r="AS102" s="88"/>
      <c r="AT102" s="100">
        <f t="shared" si="92"/>
        <v>1</v>
      </c>
      <c r="AU102" s="83">
        <f t="shared" si="99"/>
        <v>0</v>
      </c>
      <c r="AV102" s="83">
        <f t="shared" si="100"/>
        <v>173.3</v>
      </c>
      <c r="AW102" s="83">
        <f t="shared" si="101"/>
        <v>1.9000000000000004</v>
      </c>
      <c r="AX102" s="83">
        <f t="shared" si="102"/>
        <v>0</v>
      </c>
    </row>
    <row r="103" spans="1:50" ht="15.75" customHeight="1" x14ac:dyDescent="0.3">
      <c r="A103" s="140"/>
      <c r="B103" s="140"/>
      <c r="C103" s="140"/>
      <c r="D103" s="36" t="s">
        <v>22</v>
      </c>
      <c r="E103" s="24">
        <f t="shared" si="114"/>
        <v>0</v>
      </c>
      <c r="F103" s="24">
        <f t="shared" si="114"/>
        <v>0</v>
      </c>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34"/>
      <c r="AS103" s="34"/>
      <c r="AT103" s="100"/>
      <c r="AU103" s="83">
        <f t="shared" si="99"/>
        <v>0</v>
      </c>
      <c r="AV103" s="83">
        <f t="shared" si="100"/>
        <v>0</v>
      </c>
      <c r="AW103" s="83">
        <f t="shared" si="101"/>
        <v>0</v>
      </c>
      <c r="AX103" s="83">
        <f t="shared" si="102"/>
        <v>0</v>
      </c>
    </row>
    <row r="104" spans="1:50" ht="15.75" customHeight="1" x14ac:dyDescent="0.3">
      <c r="A104" s="140" t="s">
        <v>57</v>
      </c>
      <c r="B104" s="140" t="s">
        <v>94</v>
      </c>
      <c r="C104" s="140" t="s">
        <v>5</v>
      </c>
      <c r="D104" s="36" t="s">
        <v>3</v>
      </c>
      <c r="E104" s="24">
        <f>H104+K104+N104+Q104+T104+W104+Z104+AC104+AF104+AI104+AL104+AO104</f>
        <v>0</v>
      </c>
      <c r="F104" s="24">
        <f>I104+L104+O104+R104+U104+X104+AA104+AD104+AG104+AJ104+AM104+AP104</f>
        <v>0</v>
      </c>
      <c r="G104" s="24"/>
      <c r="H104" s="24">
        <f>H105+H106+H107+H108</f>
        <v>0</v>
      </c>
      <c r="I104" s="24"/>
      <c r="J104" s="22"/>
      <c r="K104" s="24">
        <f t="shared" ref="K104:AO104" si="120">K105+K106+K107+K108</f>
        <v>0</v>
      </c>
      <c r="L104" s="24"/>
      <c r="M104" s="22"/>
      <c r="N104" s="24">
        <f t="shared" si="120"/>
        <v>0</v>
      </c>
      <c r="O104" s="24"/>
      <c r="P104" s="22"/>
      <c r="Q104" s="24">
        <f t="shared" si="120"/>
        <v>0</v>
      </c>
      <c r="R104" s="24"/>
      <c r="S104" s="22"/>
      <c r="T104" s="24">
        <f t="shared" si="120"/>
        <v>0</v>
      </c>
      <c r="U104" s="24"/>
      <c r="V104" s="22"/>
      <c r="W104" s="24">
        <f t="shared" si="120"/>
        <v>0</v>
      </c>
      <c r="X104" s="24">
        <f t="shared" si="120"/>
        <v>0</v>
      </c>
      <c r="Y104" s="22"/>
      <c r="Z104" s="24">
        <f t="shared" si="120"/>
        <v>0</v>
      </c>
      <c r="AA104" s="24"/>
      <c r="AB104" s="22"/>
      <c r="AC104" s="24">
        <f t="shared" si="120"/>
        <v>0</v>
      </c>
      <c r="AD104" s="24"/>
      <c r="AE104" s="22"/>
      <c r="AF104" s="24">
        <f>AF105+AF106+AF107+AF108</f>
        <v>0</v>
      </c>
      <c r="AG104" s="24">
        <f>AG105+AG106+AG107+AG108</f>
        <v>0</v>
      </c>
      <c r="AH104" s="24"/>
      <c r="AI104" s="24">
        <f t="shared" si="120"/>
        <v>0</v>
      </c>
      <c r="AJ104" s="24"/>
      <c r="AK104" s="22"/>
      <c r="AL104" s="24">
        <f t="shared" si="120"/>
        <v>0</v>
      </c>
      <c r="AM104" s="24"/>
      <c r="AN104" s="24"/>
      <c r="AO104" s="24">
        <f t="shared" si="120"/>
        <v>0</v>
      </c>
      <c r="AP104" s="24"/>
      <c r="AQ104" s="22"/>
      <c r="AR104" s="34"/>
      <c r="AS104" s="34"/>
      <c r="AT104" s="100"/>
      <c r="AU104" s="83">
        <f t="shared" si="99"/>
        <v>0</v>
      </c>
      <c r="AV104" s="83">
        <f t="shared" si="100"/>
        <v>0</v>
      </c>
      <c r="AW104" s="83">
        <f>Z104+AC104+AF104</f>
        <v>0</v>
      </c>
      <c r="AX104" s="83">
        <f t="shared" si="102"/>
        <v>0</v>
      </c>
    </row>
    <row r="105" spans="1:50" x14ac:dyDescent="0.3">
      <c r="A105" s="140"/>
      <c r="B105" s="140"/>
      <c r="C105" s="140"/>
      <c r="D105" s="36" t="s">
        <v>21</v>
      </c>
      <c r="E105" s="24">
        <f t="shared" si="114"/>
        <v>0</v>
      </c>
      <c r="F105" s="24">
        <f t="shared" si="114"/>
        <v>0</v>
      </c>
      <c r="G105" s="24"/>
      <c r="H105" s="24"/>
      <c r="I105" s="24"/>
      <c r="J105" s="22"/>
      <c r="K105" s="24"/>
      <c r="L105" s="24"/>
      <c r="M105" s="22"/>
      <c r="N105" s="24"/>
      <c r="O105" s="24"/>
      <c r="P105" s="22"/>
      <c r="Q105" s="24"/>
      <c r="R105" s="24"/>
      <c r="S105" s="22"/>
      <c r="T105" s="24"/>
      <c r="U105" s="24"/>
      <c r="V105" s="22"/>
      <c r="W105" s="24"/>
      <c r="X105" s="24"/>
      <c r="Y105" s="22"/>
      <c r="Z105" s="24"/>
      <c r="AA105" s="24"/>
      <c r="AB105" s="22"/>
      <c r="AC105" s="24"/>
      <c r="AD105" s="24"/>
      <c r="AE105" s="22"/>
      <c r="AF105" s="24"/>
      <c r="AG105" s="24"/>
      <c r="AH105" s="24"/>
      <c r="AI105" s="24"/>
      <c r="AJ105" s="24"/>
      <c r="AK105" s="22"/>
      <c r="AL105" s="24"/>
      <c r="AM105" s="24"/>
      <c r="AN105" s="22"/>
      <c r="AO105" s="24"/>
      <c r="AP105" s="24"/>
      <c r="AQ105" s="22"/>
      <c r="AR105" s="34"/>
      <c r="AS105" s="34"/>
      <c r="AT105" s="100"/>
      <c r="AU105" s="83">
        <f t="shared" si="99"/>
        <v>0</v>
      </c>
      <c r="AV105" s="83">
        <f t="shared" si="100"/>
        <v>0</v>
      </c>
      <c r="AW105" s="83">
        <f t="shared" si="101"/>
        <v>0</v>
      </c>
      <c r="AX105" s="83">
        <f t="shared" si="102"/>
        <v>0</v>
      </c>
    </row>
    <row r="106" spans="1:50" ht="24" x14ac:dyDescent="0.3">
      <c r="A106" s="140"/>
      <c r="B106" s="140"/>
      <c r="C106" s="140"/>
      <c r="D106" s="36" t="s">
        <v>4</v>
      </c>
      <c r="E106" s="24">
        <f t="shared" si="114"/>
        <v>0</v>
      </c>
      <c r="F106" s="24">
        <f t="shared" si="114"/>
        <v>0</v>
      </c>
      <c r="G106" s="24"/>
      <c r="H106" s="24"/>
      <c r="I106" s="24"/>
      <c r="J106" s="22"/>
      <c r="K106" s="24"/>
      <c r="L106" s="24"/>
      <c r="M106" s="22"/>
      <c r="N106" s="24"/>
      <c r="O106" s="24"/>
      <c r="P106" s="22"/>
      <c r="Q106" s="24"/>
      <c r="R106" s="24"/>
      <c r="S106" s="22"/>
      <c r="T106" s="24"/>
      <c r="U106" s="24"/>
      <c r="V106" s="22"/>
      <c r="W106" s="24"/>
      <c r="X106" s="24"/>
      <c r="Y106" s="22"/>
      <c r="Z106" s="24"/>
      <c r="AA106" s="24"/>
      <c r="AB106" s="22"/>
      <c r="AC106" s="24"/>
      <c r="AD106" s="24"/>
      <c r="AE106" s="22"/>
      <c r="AF106" s="24"/>
      <c r="AG106" s="24"/>
      <c r="AH106" s="24"/>
      <c r="AI106" s="24"/>
      <c r="AJ106" s="24"/>
      <c r="AK106" s="22"/>
      <c r="AL106" s="24"/>
      <c r="AM106" s="24"/>
      <c r="AN106" s="22"/>
      <c r="AO106" s="24"/>
      <c r="AP106" s="24"/>
      <c r="AQ106" s="22"/>
      <c r="AR106" s="34"/>
      <c r="AS106" s="34"/>
      <c r="AT106" s="100"/>
      <c r="AU106" s="83">
        <f t="shared" si="99"/>
        <v>0</v>
      </c>
      <c r="AV106" s="83">
        <f t="shared" si="100"/>
        <v>0</v>
      </c>
      <c r="AW106" s="83">
        <f t="shared" si="101"/>
        <v>0</v>
      </c>
      <c r="AX106" s="83">
        <f t="shared" si="102"/>
        <v>0</v>
      </c>
    </row>
    <row r="107" spans="1:50" x14ac:dyDescent="0.3">
      <c r="A107" s="140"/>
      <c r="B107" s="140"/>
      <c r="C107" s="140"/>
      <c r="D107" s="36" t="s">
        <v>44</v>
      </c>
      <c r="E107" s="24">
        <f t="shared" si="114"/>
        <v>0</v>
      </c>
      <c r="F107" s="24">
        <f t="shared" si="114"/>
        <v>0</v>
      </c>
      <c r="G107" s="24"/>
      <c r="H107" s="24"/>
      <c r="I107" s="24"/>
      <c r="J107" s="22"/>
      <c r="K107" s="24"/>
      <c r="L107" s="24"/>
      <c r="M107" s="22"/>
      <c r="N107" s="24"/>
      <c r="O107" s="24"/>
      <c r="P107" s="22"/>
      <c r="Q107" s="24"/>
      <c r="R107" s="24"/>
      <c r="S107" s="22"/>
      <c r="T107" s="24"/>
      <c r="U107" s="24"/>
      <c r="V107" s="22"/>
      <c r="W107" s="24"/>
      <c r="X107" s="24"/>
      <c r="Y107" s="22"/>
      <c r="Z107" s="24"/>
      <c r="AA107" s="24"/>
      <c r="AB107" s="22"/>
      <c r="AC107" s="24"/>
      <c r="AD107" s="24"/>
      <c r="AE107" s="22"/>
      <c r="AF107" s="24"/>
      <c r="AG107" s="24"/>
      <c r="AH107" s="24"/>
      <c r="AI107" s="24"/>
      <c r="AJ107" s="24"/>
      <c r="AK107" s="22"/>
      <c r="AL107" s="24"/>
      <c r="AM107" s="24"/>
      <c r="AN107" s="22"/>
      <c r="AO107" s="24"/>
      <c r="AP107" s="24"/>
      <c r="AQ107" s="22"/>
      <c r="AR107" s="41"/>
      <c r="AS107" s="34"/>
      <c r="AT107" s="100"/>
      <c r="AU107" s="83">
        <f t="shared" si="99"/>
        <v>0</v>
      </c>
      <c r="AV107" s="83">
        <f t="shared" si="100"/>
        <v>0</v>
      </c>
      <c r="AW107" s="83">
        <f t="shared" si="101"/>
        <v>0</v>
      </c>
      <c r="AX107" s="83">
        <f t="shared" si="102"/>
        <v>0</v>
      </c>
    </row>
    <row r="108" spans="1:50" ht="15.75" customHeight="1" x14ac:dyDescent="0.3">
      <c r="A108" s="140"/>
      <c r="B108" s="140"/>
      <c r="C108" s="140"/>
      <c r="D108" s="36" t="s">
        <v>22</v>
      </c>
      <c r="E108" s="24">
        <f t="shared" si="114"/>
        <v>0</v>
      </c>
      <c r="F108" s="24">
        <f t="shared" si="114"/>
        <v>0</v>
      </c>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34"/>
      <c r="AS108" s="34"/>
      <c r="AT108" s="100"/>
      <c r="AU108" s="83">
        <f t="shared" si="99"/>
        <v>0</v>
      </c>
      <c r="AV108" s="83">
        <f t="shared" si="100"/>
        <v>0</v>
      </c>
      <c r="AW108" s="83">
        <f t="shared" si="101"/>
        <v>0</v>
      </c>
      <c r="AX108" s="83">
        <f t="shared" si="102"/>
        <v>0</v>
      </c>
    </row>
    <row r="109" spans="1:50" ht="12.6" customHeight="1" x14ac:dyDescent="0.3">
      <c r="A109" s="140" t="s">
        <v>58</v>
      </c>
      <c r="B109" s="140" t="s">
        <v>95</v>
      </c>
      <c r="C109" s="140" t="s">
        <v>5</v>
      </c>
      <c r="D109" s="36" t="s">
        <v>3</v>
      </c>
      <c r="E109" s="24">
        <f t="shared" si="114"/>
        <v>0</v>
      </c>
      <c r="F109" s="24">
        <f t="shared" si="114"/>
        <v>0</v>
      </c>
      <c r="G109" s="24"/>
      <c r="H109" s="24">
        <f>H110+H111+H112+H113</f>
        <v>0</v>
      </c>
      <c r="I109" s="24"/>
      <c r="J109" s="22"/>
      <c r="K109" s="24">
        <f t="shared" ref="K109:AO109" si="121">K110+K111+K112+K113</f>
        <v>0</v>
      </c>
      <c r="L109" s="24"/>
      <c r="M109" s="22"/>
      <c r="N109" s="24">
        <f t="shared" si="121"/>
        <v>0</v>
      </c>
      <c r="O109" s="24">
        <f t="shared" si="121"/>
        <v>0</v>
      </c>
      <c r="P109" s="24"/>
      <c r="Q109" s="24">
        <f t="shared" si="121"/>
        <v>0</v>
      </c>
      <c r="R109" s="24">
        <f t="shared" si="121"/>
        <v>0</v>
      </c>
      <c r="S109" s="24"/>
      <c r="T109" s="24">
        <f t="shared" si="121"/>
        <v>0</v>
      </c>
      <c r="U109" s="24">
        <f t="shared" si="121"/>
        <v>0</v>
      </c>
      <c r="V109" s="22"/>
      <c r="W109" s="24">
        <f t="shared" si="121"/>
        <v>0</v>
      </c>
      <c r="X109" s="24">
        <f t="shared" si="121"/>
        <v>0</v>
      </c>
      <c r="Y109" s="22"/>
      <c r="Z109" s="24">
        <f t="shared" si="121"/>
        <v>0</v>
      </c>
      <c r="AA109" s="24"/>
      <c r="AB109" s="22"/>
      <c r="AC109" s="24">
        <f t="shared" si="121"/>
        <v>0</v>
      </c>
      <c r="AD109" s="24">
        <f t="shared" si="121"/>
        <v>0</v>
      </c>
      <c r="AE109" s="22"/>
      <c r="AF109" s="24">
        <f t="shared" si="121"/>
        <v>0</v>
      </c>
      <c r="AG109" s="24">
        <f t="shared" si="121"/>
        <v>0</v>
      </c>
      <c r="AH109" s="24"/>
      <c r="AI109" s="24">
        <f t="shared" si="121"/>
        <v>0</v>
      </c>
      <c r="AJ109" s="24">
        <f t="shared" si="121"/>
        <v>0</v>
      </c>
      <c r="AK109" s="22"/>
      <c r="AL109" s="24">
        <f t="shared" si="121"/>
        <v>0</v>
      </c>
      <c r="AM109" s="24"/>
      <c r="AN109" s="22"/>
      <c r="AO109" s="24">
        <f t="shared" si="121"/>
        <v>0</v>
      </c>
      <c r="AP109" s="24"/>
      <c r="AQ109" s="22"/>
      <c r="AR109" s="34"/>
      <c r="AS109" s="34"/>
      <c r="AT109" s="100"/>
      <c r="AU109" s="83">
        <f t="shared" si="99"/>
        <v>0</v>
      </c>
      <c r="AV109" s="83">
        <f t="shared" si="100"/>
        <v>0</v>
      </c>
      <c r="AW109" s="83">
        <f t="shared" si="101"/>
        <v>0</v>
      </c>
      <c r="AX109" s="83">
        <f t="shared" si="102"/>
        <v>0</v>
      </c>
    </row>
    <row r="110" spans="1:50" x14ac:dyDescent="0.3">
      <c r="A110" s="140"/>
      <c r="B110" s="140"/>
      <c r="C110" s="140"/>
      <c r="D110" s="36" t="s">
        <v>21</v>
      </c>
      <c r="E110" s="24">
        <f t="shared" si="114"/>
        <v>0</v>
      </c>
      <c r="F110" s="24">
        <f t="shared" si="114"/>
        <v>0</v>
      </c>
      <c r="G110" s="24"/>
      <c r="H110" s="24"/>
      <c r="I110" s="24"/>
      <c r="J110" s="22"/>
      <c r="K110" s="24"/>
      <c r="L110" s="24"/>
      <c r="M110" s="22"/>
      <c r="N110" s="24"/>
      <c r="O110" s="24"/>
      <c r="P110" s="24"/>
      <c r="Q110" s="24"/>
      <c r="R110" s="24"/>
      <c r="S110" s="24"/>
      <c r="T110" s="24"/>
      <c r="U110" s="24"/>
      <c r="V110" s="22"/>
      <c r="W110" s="24"/>
      <c r="X110" s="24"/>
      <c r="Y110" s="22"/>
      <c r="Z110" s="24"/>
      <c r="AA110" s="24"/>
      <c r="AB110" s="22"/>
      <c r="AC110" s="24"/>
      <c r="AD110" s="24"/>
      <c r="AE110" s="22"/>
      <c r="AF110" s="24"/>
      <c r="AG110" s="24"/>
      <c r="AH110" s="24"/>
      <c r="AI110" s="24"/>
      <c r="AJ110" s="24"/>
      <c r="AK110" s="22"/>
      <c r="AL110" s="24"/>
      <c r="AM110" s="24"/>
      <c r="AN110" s="22"/>
      <c r="AO110" s="24"/>
      <c r="AP110" s="24"/>
      <c r="AQ110" s="22"/>
      <c r="AR110" s="34"/>
      <c r="AS110" s="34"/>
      <c r="AT110" s="100"/>
      <c r="AU110" s="83">
        <f t="shared" si="99"/>
        <v>0</v>
      </c>
      <c r="AV110" s="83">
        <f t="shared" si="100"/>
        <v>0</v>
      </c>
      <c r="AW110" s="83">
        <f t="shared" si="101"/>
        <v>0</v>
      </c>
      <c r="AX110" s="83">
        <f t="shared" si="102"/>
        <v>0</v>
      </c>
    </row>
    <row r="111" spans="1:50" ht="24" x14ac:dyDescent="0.3">
      <c r="A111" s="140"/>
      <c r="B111" s="140"/>
      <c r="C111" s="140"/>
      <c r="D111" s="36" t="s">
        <v>4</v>
      </c>
      <c r="E111" s="24">
        <f t="shared" si="114"/>
        <v>0</v>
      </c>
      <c r="F111" s="24">
        <f t="shared" si="114"/>
        <v>0</v>
      </c>
      <c r="G111" s="24"/>
      <c r="H111" s="24"/>
      <c r="I111" s="24"/>
      <c r="J111" s="22"/>
      <c r="K111" s="24"/>
      <c r="L111" s="24"/>
      <c r="M111" s="22"/>
      <c r="N111" s="24"/>
      <c r="O111" s="24"/>
      <c r="P111" s="24"/>
      <c r="Q111" s="24"/>
      <c r="R111" s="24"/>
      <c r="S111" s="24"/>
      <c r="T111" s="24"/>
      <c r="U111" s="24"/>
      <c r="V111" s="22"/>
      <c r="W111" s="24"/>
      <c r="X111" s="24"/>
      <c r="Y111" s="22"/>
      <c r="Z111" s="24"/>
      <c r="AA111" s="24"/>
      <c r="AB111" s="22"/>
      <c r="AC111" s="24"/>
      <c r="AD111" s="24"/>
      <c r="AE111" s="22"/>
      <c r="AF111" s="24"/>
      <c r="AG111" s="24"/>
      <c r="AH111" s="24"/>
      <c r="AI111" s="24"/>
      <c r="AJ111" s="24"/>
      <c r="AK111" s="22"/>
      <c r="AL111" s="24"/>
      <c r="AM111" s="24"/>
      <c r="AN111" s="22"/>
      <c r="AO111" s="24"/>
      <c r="AP111" s="24"/>
      <c r="AQ111" s="22"/>
      <c r="AR111" s="34"/>
      <c r="AS111" s="34"/>
      <c r="AT111" s="100"/>
      <c r="AU111" s="83">
        <f t="shared" si="99"/>
        <v>0</v>
      </c>
      <c r="AV111" s="83">
        <f t="shared" si="100"/>
        <v>0</v>
      </c>
      <c r="AW111" s="83">
        <f t="shared" si="101"/>
        <v>0</v>
      </c>
      <c r="AX111" s="83">
        <f t="shared" si="102"/>
        <v>0</v>
      </c>
    </row>
    <row r="112" spans="1:50" x14ac:dyDescent="0.3">
      <c r="A112" s="140"/>
      <c r="B112" s="140"/>
      <c r="C112" s="140"/>
      <c r="D112" s="36" t="s">
        <v>44</v>
      </c>
      <c r="E112" s="24">
        <f t="shared" si="114"/>
        <v>0</v>
      </c>
      <c r="F112" s="24">
        <f t="shared" si="114"/>
        <v>0</v>
      </c>
      <c r="G112" s="24"/>
      <c r="H112" s="24"/>
      <c r="I112" s="24"/>
      <c r="J112" s="22"/>
      <c r="K112" s="24"/>
      <c r="L112" s="24"/>
      <c r="M112" s="22"/>
      <c r="N112" s="24"/>
      <c r="O112" s="24"/>
      <c r="P112" s="24"/>
      <c r="Q112" s="24">
        <f>20-20</f>
        <v>0</v>
      </c>
      <c r="R112" s="24"/>
      <c r="S112" s="24"/>
      <c r="T112" s="24"/>
      <c r="U112" s="24"/>
      <c r="V112" s="22"/>
      <c r="W112" s="24"/>
      <c r="X112" s="24"/>
      <c r="Y112" s="22"/>
      <c r="Z112" s="24"/>
      <c r="AA112" s="24"/>
      <c r="AB112" s="22"/>
      <c r="AC112" s="24"/>
      <c r="AD112" s="24"/>
      <c r="AE112" s="22"/>
      <c r="AF112" s="24"/>
      <c r="AG112" s="24"/>
      <c r="AH112" s="24"/>
      <c r="AI112" s="24">
        <f>17.8-17.8</f>
        <v>0</v>
      </c>
      <c r="AJ112" s="24">
        <v>0</v>
      </c>
      <c r="AK112" s="22"/>
      <c r="AL112" s="24">
        <f>20-20</f>
        <v>0</v>
      </c>
      <c r="AM112" s="24"/>
      <c r="AN112" s="22"/>
      <c r="AO112" s="24"/>
      <c r="AP112" s="24"/>
      <c r="AQ112" s="22"/>
      <c r="AR112" s="90"/>
      <c r="AS112" s="90"/>
      <c r="AT112" s="100"/>
      <c r="AU112" s="83">
        <f t="shared" si="99"/>
        <v>0</v>
      </c>
      <c r="AV112" s="83">
        <f t="shared" si="100"/>
        <v>0</v>
      </c>
      <c r="AW112" s="83">
        <f t="shared" si="101"/>
        <v>0</v>
      </c>
      <c r="AX112" s="83">
        <f t="shared" si="102"/>
        <v>0</v>
      </c>
    </row>
    <row r="113" spans="1:50" ht="15.75" customHeight="1" x14ac:dyDescent="0.3">
      <c r="A113" s="140"/>
      <c r="B113" s="140"/>
      <c r="C113" s="140"/>
      <c r="D113" s="36" t="s">
        <v>22</v>
      </c>
      <c r="E113" s="24">
        <f t="shared" si="114"/>
        <v>0</v>
      </c>
      <c r="F113" s="24">
        <f t="shared" si="114"/>
        <v>0</v>
      </c>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34"/>
      <c r="AS113" s="34"/>
      <c r="AT113" s="100"/>
      <c r="AU113" s="83">
        <f t="shared" si="99"/>
        <v>0</v>
      </c>
      <c r="AV113" s="83">
        <f t="shared" si="100"/>
        <v>0</v>
      </c>
      <c r="AW113" s="83">
        <f t="shared" si="101"/>
        <v>0</v>
      </c>
      <c r="AX113" s="83">
        <f t="shared" si="102"/>
        <v>0</v>
      </c>
    </row>
    <row r="114" spans="1:50" ht="13.8" customHeight="1" x14ac:dyDescent="0.3">
      <c r="A114" s="140" t="s">
        <v>59</v>
      </c>
      <c r="B114" s="140" t="s">
        <v>146</v>
      </c>
      <c r="C114" s="140" t="s">
        <v>5</v>
      </c>
      <c r="D114" s="36" t="s">
        <v>3</v>
      </c>
      <c r="E114" s="24">
        <f t="shared" si="114"/>
        <v>696610.9</v>
      </c>
      <c r="F114" s="24">
        <f t="shared" si="114"/>
        <v>696519.60000000009</v>
      </c>
      <c r="G114" s="24">
        <f>F114/E114*100</f>
        <v>99.986893687710037</v>
      </c>
      <c r="H114" s="24">
        <f>H115+H116+H117+H118</f>
        <v>14518.9</v>
      </c>
      <c r="I114" s="24">
        <f>I115+I116+I117+I118</f>
        <v>14518.9</v>
      </c>
      <c r="J114" s="24">
        <f>I114/H114*100</f>
        <v>100</v>
      </c>
      <c r="K114" s="24">
        <f t="shared" ref="K114:AP114" si="122">K115+K116+K117+K118</f>
        <v>60857.3</v>
      </c>
      <c r="L114" s="24">
        <f t="shared" si="122"/>
        <v>60857.3</v>
      </c>
      <c r="M114" s="24">
        <f>L114/K114*100</f>
        <v>100</v>
      </c>
      <c r="N114" s="24">
        <f t="shared" si="122"/>
        <v>52605.4</v>
      </c>
      <c r="O114" s="24">
        <f t="shared" si="122"/>
        <v>52605.399999999994</v>
      </c>
      <c r="P114" s="24">
        <f>O114/N114*100</f>
        <v>99.999999999999986</v>
      </c>
      <c r="Q114" s="24">
        <f t="shared" si="122"/>
        <v>81895.100000000006</v>
      </c>
      <c r="R114" s="24">
        <f t="shared" si="122"/>
        <v>81895.100000000006</v>
      </c>
      <c r="S114" s="24">
        <f>R114/Q114*100</f>
        <v>100</v>
      </c>
      <c r="T114" s="24">
        <f t="shared" si="122"/>
        <v>62330.799999999996</v>
      </c>
      <c r="U114" s="24">
        <f t="shared" si="122"/>
        <v>62330.799999999996</v>
      </c>
      <c r="V114" s="24">
        <f>U114/T114*100</f>
        <v>100</v>
      </c>
      <c r="W114" s="24">
        <f t="shared" si="122"/>
        <v>114640.8</v>
      </c>
      <c r="X114" s="24">
        <f t="shared" si="122"/>
        <v>114640.8</v>
      </c>
      <c r="Y114" s="24">
        <f>X114/W114*100</f>
        <v>100</v>
      </c>
      <c r="Z114" s="24">
        <f t="shared" si="122"/>
        <v>59408.9</v>
      </c>
      <c r="AA114" s="24">
        <f t="shared" si="122"/>
        <v>59208.9</v>
      </c>
      <c r="AB114" s="24">
        <f>AA114/Z114*100</f>
        <v>99.663350104108986</v>
      </c>
      <c r="AC114" s="24">
        <f t="shared" si="122"/>
        <v>26301.5</v>
      </c>
      <c r="AD114" s="24">
        <f t="shared" si="122"/>
        <v>28001.5</v>
      </c>
      <c r="AE114" s="24">
        <f>AD114/AC114*100</f>
        <v>106.46350968575938</v>
      </c>
      <c r="AF114" s="24">
        <f>AF115+AF116+AF117+AF118</f>
        <v>34744.1</v>
      </c>
      <c r="AG114" s="24">
        <f t="shared" si="122"/>
        <v>33244.199999999997</v>
      </c>
      <c r="AH114" s="24">
        <f>AG114/AF114*100</f>
        <v>95.683008050287668</v>
      </c>
      <c r="AI114" s="24">
        <f t="shared" si="122"/>
        <v>53773.799999999996</v>
      </c>
      <c r="AJ114" s="24">
        <f t="shared" si="122"/>
        <v>53382.9</v>
      </c>
      <c r="AK114" s="24">
        <f>AJ114/AI114*100</f>
        <v>99.273066065630488</v>
      </c>
      <c r="AL114" s="24">
        <f t="shared" si="122"/>
        <v>51112.3</v>
      </c>
      <c r="AM114" s="24">
        <f t="shared" si="122"/>
        <v>50325.8</v>
      </c>
      <c r="AN114" s="24">
        <f>AM114/AL114*100</f>
        <v>98.461231445268567</v>
      </c>
      <c r="AO114" s="24">
        <f t="shared" si="122"/>
        <v>84422</v>
      </c>
      <c r="AP114" s="24">
        <f t="shared" si="122"/>
        <v>85508.000000000015</v>
      </c>
      <c r="AQ114" s="24">
        <f>AP114/AO114*100</f>
        <v>101.28639454170715</v>
      </c>
      <c r="AR114" s="34"/>
      <c r="AS114" s="34"/>
      <c r="AT114" s="100">
        <f t="shared" si="92"/>
        <v>0.99986893687710032</v>
      </c>
      <c r="AU114" s="83">
        <f t="shared" si="99"/>
        <v>127981.6</v>
      </c>
      <c r="AV114" s="83">
        <f t="shared" si="100"/>
        <v>258866.7</v>
      </c>
      <c r="AW114" s="83">
        <f t="shared" si="101"/>
        <v>120454.5</v>
      </c>
      <c r="AX114" s="83">
        <f t="shared" si="102"/>
        <v>189308.1</v>
      </c>
    </row>
    <row r="115" spans="1:50" ht="60" x14ac:dyDescent="0.3">
      <c r="A115" s="140"/>
      <c r="B115" s="140"/>
      <c r="C115" s="140"/>
      <c r="D115" s="36" t="s">
        <v>21</v>
      </c>
      <c r="E115" s="24">
        <f t="shared" si="114"/>
        <v>32275</v>
      </c>
      <c r="F115" s="24">
        <f t="shared" si="114"/>
        <v>32183.7</v>
      </c>
      <c r="G115" s="24">
        <f>F115/E115*100</f>
        <v>99.717118512780786</v>
      </c>
      <c r="H115" s="24"/>
      <c r="I115" s="24">
        <v>0</v>
      </c>
      <c r="J115" s="24"/>
      <c r="K115" s="24">
        <v>5268.1</v>
      </c>
      <c r="L115" s="24">
        <v>5268.1</v>
      </c>
      <c r="M115" s="24">
        <f>L115/K115*100</f>
        <v>100</v>
      </c>
      <c r="N115" s="24">
        <v>2699.6</v>
      </c>
      <c r="O115" s="24">
        <v>2699.6</v>
      </c>
      <c r="P115" s="24">
        <f>O115/N115*100</f>
        <v>100</v>
      </c>
      <c r="Q115" s="24">
        <v>2647.3</v>
      </c>
      <c r="R115" s="24">
        <v>2647.3</v>
      </c>
      <c r="S115" s="24">
        <f>R115/Q115*100</f>
        <v>100</v>
      </c>
      <c r="T115" s="24">
        <v>4307.1000000000004</v>
      </c>
      <c r="U115" s="24">
        <v>4307.1000000000004</v>
      </c>
      <c r="V115" s="24">
        <f>U115/T115*100</f>
        <v>100</v>
      </c>
      <c r="W115" s="24">
        <v>6100.8</v>
      </c>
      <c r="X115" s="24">
        <v>6100.8</v>
      </c>
      <c r="Y115" s="24">
        <f t="shared" ref="Y115:Y116" si="123">X115/W115*100</f>
        <v>100</v>
      </c>
      <c r="Z115" s="24">
        <f>33-33</f>
        <v>0</v>
      </c>
      <c r="AA115" s="24"/>
      <c r="AB115" s="24"/>
      <c r="AC115" s="24">
        <v>546.70000000000005</v>
      </c>
      <c r="AD115" s="24">
        <v>546.70000000000005</v>
      </c>
      <c r="AE115" s="24">
        <f>AD115/AC115*100</f>
        <v>100</v>
      </c>
      <c r="AF115" s="24">
        <v>2615</v>
      </c>
      <c r="AG115" s="24">
        <v>2615</v>
      </c>
      <c r="AH115" s="24">
        <f t="shared" ref="AH115:AH116" si="124">AG115/AF115*100</f>
        <v>100</v>
      </c>
      <c r="AI115" s="24">
        <v>2761.1</v>
      </c>
      <c r="AJ115" s="24">
        <v>2622.1</v>
      </c>
      <c r="AK115" s="24">
        <f>AJ115/AI115*100</f>
        <v>94.965774510158994</v>
      </c>
      <c r="AL115" s="24">
        <v>2804.3</v>
      </c>
      <c r="AM115" s="24">
        <v>2629.9</v>
      </c>
      <c r="AN115" s="24">
        <f>AM115/AL115*100</f>
        <v>93.78097921049816</v>
      </c>
      <c r="AO115" s="24">
        <f>3841.6-1316.6</f>
        <v>2525</v>
      </c>
      <c r="AP115" s="24">
        <v>2747.1</v>
      </c>
      <c r="AQ115" s="24">
        <f>AP115/AO115*100</f>
        <v>108.79603960396038</v>
      </c>
      <c r="AR115" s="90" t="s">
        <v>180</v>
      </c>
      <c r="AS115" s="106" t="s">
        <v>197</v>
      </c>
      <c r="AT115" s="100">
        <f t="shared" si="92"/>
        <v>0.99717118512780789</v>
      </c>
      <c r="AU115" s="83">
        <f t="shared" si="99"/>
        <v>7967.7000000000007</v>
      </c>
      <c r="AV115" s="83">
        <f t="shared" si="100"/>
        <v>13055.2</v>
      </c>
      <c r="AW115" s="83">
        <f t="shared" si="101"/>
        <v>3161.7</v>
      </c>
      <c r="AX115" s="83">
        <f t="shared" si="102"/>
        <v>8090.4</v>
      </c>
    </row>
    <row r="116" spans="1:50" ht="121.8" customHeight="1" x14ac:dyDescent="0.3">
      <c r="A116" s="140"/>
      <c r="B116" s="140"/>
      <c r="C116" s="140"/>
      <c r="D116" s="36" t="s">
        <v>4</v>
      </c>
      <c r="E116" s="24">
        <f t="shared" si="114"/>
        <v>610840.29999999993</v>
      </c>
      <c r="F116" s="24">
        <f t="shared" si="114"/>
        <v>610840.29999999993</v>
      </c>
      <c r="G116" s="24">
        <f t="shared" ref="G116:G117" si="125">F116/E116*100</f>
        <v>100</v>
      </c>
      <c r="H116" s="24">
        <v>14346</v>
      </c>
      <c r="I116" s="24">
        <v>14346</v>
      </c>
      <c r="J116" s="24">
        <f t="shared" ref="J116:J117" si="126">I116/H116*100</f>
        <v>100</v>
      </c>
      <c r="K116" s="24">
        <v>45910.5</v>
      </c>
      <c r="L116" s="24">
        <v>45910.5</v>
      </c>
      <c r="M116" s="24">
        <f t="shared" ref="M116:M136" si="127">L116/K116*100</f>
        <v>100</v>
      </c>
      <c r="N116" s="24">
        <v>46694.400000000001</v>
      </c>
      <c r="O116" s="24">
        <v>46694.399999999994</v>
      </c>
      <c r="P116" s="24">
        <f t="shared" ref="P116:P117" si="128">O116/N116*100</f>
        <v>99.999999999999986</v>
      </c>
      <c r="Q116" s="24">
        <f>50359.5+23700</f>
        <v>74059.5</v>
      </c>
      <c r="R116" s="24">
        <v>74059.5</v>
      </c>
      <c r="S116" s="24">
        <f t="shared" ref="S116:S117" si="129">R116/Q116*100</f>
        <v>100</v>
      </c>
      <c r="T116" s="24">
        <f>78008-23700</f>
        <v>54308</v>
      </c>
      <c r="U116" s="24">
        <v>54308</v>
      </c>
      <c r="V116" s="24">
        <f t="shared" ref="V116:V117" si="130">U116/T116*100</f>
        <v>100</v>
      </c>
      <c r="W116" s="24">
        <f>110385.3-4000</f>
        <v>106385.3</v>
      </c>
      <c r="X116" s="24">
        <v>106385.3</v>
      </c>
      <c r="Y116" s="24">
        <f t="shared" si="123"/>
        <v>100</v>
      </c>
      <c r="Z116" s="24">
        <f>49689.9+200+3000</f>
        <v>52889.9</v>
      </c>
      <c r="AA116" s="24">
        <v>52689.9</v>
      </c>
      <c r="AB116" s="24">
        <f t="shared" ref="AB116:AB117" si="131">AA116/Z116*100</f>
        <v>99.621855968719927</v>
      </c>
      <c r="AC116" s="24">
        <v>22945.5</v>
      </c>
      <c r="AD116" s="24">
        <v>24645.5</v>
      </c>
      <c r="AE116" s="24">
        <f t="shared" ref="AE116:AE117" si="132">AD116/AC116*100</f>
        <v>107.408860125079</v>
      </c>
      <c r="AF116" s="24">
        <v>29419.1</v>
      </c>
      <c r="AG116" s="24">
        <v>27919.1</v>
      </c>
      <c r="AH116" s="24">
        <f t="shared" si="124"/>
        <v>94.901271622857266</v>
      </c>
      <c r="AI116" s="24">
        <f>44085+1000</f>
        <v>45085</v>
      </c>
      <c r="AJ116" s="24">
        <v>45085</v>
      </c>
      <c r="AK116" s="24">
        <f t="shared" ref="AK116:AK117" si="133">AJ116/AI116*100</f>
        <v>100</v>
      </c>
      <c r="AL116" s="24">
        <v>45042</v>
      </c>
      <c r="AM116" s="24">
        <v>44585</v>
      </c>
      <c r="AN116" s="24">
        <f t="shared" ref="AN116:AN117" si="134">AM116/AL116*100</f>
        <v>98.985391412459478</v>
      </c>
      <c r="AO116" s="24">
        <f>85895.5-12140.4</f>
        <v>73755.100000000006</v>
      </c>
      <c r="AP116" s="24">
        <v>74212.100000000006</v>
      </c>
      <c r="AQ116" s="24">
        <f t="shared" ref="AQ116:AQ117" si="135">AP116/AO116*100</f>
        <v>100.61961816877749</v>
      </c>
      <c r="AR116" s="90" t="s">
        <v>181</v>
      </c>
      <c r="AS116" s="34"/>
      <c r="AT116" s="100">
        <f t="shared" si="92"/>
        <v>1</v>
      </c>
      <c r="AU116" s="83">
        <f t="shared" si="99"/>
        <v>106950.9</v>
      </c>
      <c r="AV116" s="83">
        <f t="shared" si="100"/>
        <v>234752.8</v>
      </c>
      <c r="AW116" s="83">
        <f t="shared" si="101"/>
        <v>105254.5</v>
      </c>
      <c r="AX116" s="83">
        <f t="shared" si="102"/>
        <v>163882.1</v>
      </c>
    </row>
    <row r="117" spans="1:50" ht="75" customHeight="1" x14ac:dyDescent="0.3">
      <c r="A117" s="140"/>
      <c r="B117" s="140"/>
      <c r="C117" s="140"/>
      <c r="D117" s="36" t="s">
        <v>44</v>
      </c>
      <c r="E117" s="24">
        <f t="shared" si="114"/>
        <v>53495.6</v>
      </c>
      <c r="F117" s="24">
        <f t="shared" si="114"/>
        <v>53495.600000000006</v>
      </c>
      <c r="G117" s="24">
        <f t="shared" si="125"/>
        <v>100.00000000000003</v>
      </c>
      <c r="H117" s="24">
        <v>172.9</v>
      </c>
      <c r="I117" s="24">
        <v>172.9</v>
      </c>
      <c r="J117" s="24">
        <f t="shared" si="126"/>
        <v>100</v>
      </c>
      <c r="K117" s="24">
        <v>9678.7000000000007</v>
      </c>
      <c r="L117" s="24">
        <v>9678.7000000000007</v>
      </c>
      <c r="M117" s="24">
        <f t="shared" si="127"/>
        <v>100</v>
      </c>
      <c r="N117" s="24">
        <v>3211.4</v>
      </c>
      <c r="O117" s="24">
        <v>3211.4</v>
      </c>
      <c r="P117" s="24">
        <f t="shared" si="128"/>
        <v>100</v>
      </c>
      <c r="Q117" s="24">
        <f>4551.3+637</f>
        <v>5188.3</v>
      </c>
      <c r="R117" s="24">
        <v>5188.3</v>
      </c>
      <c r="S117" s="24">
        <f t="shared" si="129"/>
        <v>100</v>
      </c>
      <c r="T117" s="24">
        <v>3715.7</v>
      </c>
      <c r="U117" s="24">
        <v>3715.7</v>
      </c>
      <c r="V117" s="24">
        <f t="shared" si="130"/>
        <v>100</v>
      </c>
      <c r="W117" s="24">
        <f>2154.7</f>
        <v>2154.6999999999998</v>
      </c>
      <c r="X117" s="24">
        <f>2154.8-0.1</f>
        <v>2154.7000000000003</v>
      </c>
      <c r="Y117" s="24">
        <f t="shared" ref="Y117" si="136">X117/W117*100</f>
        <v>100.00000000000003</v>
      </c>
      <c r="Z117" s="24">
        <v>6519</v>
      </c>
      <c r="AA117" s="24">
        <v>6519</v>
      </c>
      <c r="AB117" s="24">
        <f t="shared" si="131"/>
        <v>100</v>
      </c>
      <c r="AC117" s="24">
        <v>2809.3</v>
      </c>
      <c r="AD117" s="24">
        <v>2809.3</v>
      </c>
      <c r="AE117" s="24">
        <f t="shared" si="132"/>
        <v>100</v>
      </c>
      <c r="AF117" s="24">
        <v>2710</v>
      </c>
      <c r="AG117" s="24">
        <v>2710.1</v>
      </c>
      <c r="AH117" s="24">
        <f>AG117/AF117*100</f>
        <v>100.00369003690037</v>
      </c>
      <c r="AI117" s="24">
        <v>5927.7</v>
      </c>
      <c r="AJ117" s="24">
        <v>5675.8</v>
      </c>
      <c r="AK117" s="24">
        <f t="shared" si="133"/>
        <v>95.750459706125483</v>
      </c>
      <c r="AL117" s="24">
        <v>3266</v>
      </c>
      <c r="AM117" s="24">
        <v>3110.9</v>
      </c>
      <c r="AN117" s="24">
        <f t="shared" si="134"/>
        <v>95.251071647274955</v>
      </c>
      <c r="AO117" s="24">
        <f>5747.7+2394.2</f>
        <v>8141.9</v>
      </c>
      <c r="AP117" s="24">
        <v>8548.7999999999993</v>
      </c>
      <c r="AQ117" s="24">
        <f t="shared" si="135"/>
        <v>104.99760498163819</v>
      </c>
      <c r="AR117" s="90" t="s">
        <v>182</v>
      </c>
      <c r="AS117" s="90"/>
      <c r="AT117" s="100">
        <f t="shared" si="92"/>
        <v>1.0000000000000002</v>
      </c>
      <c r="AU117" s="83">
        <f t="shared" si="99"/>
        <v>13063</v>
      </c>
      <c r="AV117" s="83">
        <f t="shared" si="100"/>
        <v>11058.7</v>
      </c>
      <c r="AW117" s="83">
        <f t="shared" si="101"/>
        <v>12038.3</v>
      </c>
      <c r="AX117" s="83">
        <f t="shared" si="102"/>
        <v>17335.599999999999</v>
      </c>
    </row>
    <row r="118" spans="1:50" ht="15.75" customHeight="1" x14ac:dyDescent="0.3">
      <c r="A118" s="140"/>
      <c r="B118" s="140"/>
      <c r="C118" s="140"/>
      <c r="D118" s="36" t="s">
        <v>22</v>
      </c>
      <c r="E118" s="24">
        <f t="shared" si="114"/>
        <v>0</v>
      </c>
      <c r="F118" s="79">
        <f t="shared" si="114"/>
        <v>0</v>
      </c>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34"/>
      <c r="AS118" s="34"/>
      <c r="AT118" s="100"/>
      <c r="AU118" s="85">
        <f t="shared" si="99"/>
        <v>0</v>
      </c>
      <c r="AV118" s="85">
        <f t="shared" si="100"/>
        <v>0</v>
      </c>
      <c r="AW118" s="85">
        <f t="shared" si="101"/>
        <v>0</v>
      </c>
      <c r="AX118" s="85">
        <f t="shared" si="102"/>
        <v>0</v>
      </c>
    </row>
    <row r="119" spans="1:50" ht="13.8" customHeight="1" x14ac:dyDescent="0.3">
      <c r="A119" s="151" t="s">
        <v>145</v>
      </c>
      <c r="B119" s="140" t="s">
        <v>147</v>
      </c>
      <c r="C119" s="140" t="s">
        <v>5</v>
      </c>
      <c r="D119" s="36" t="s">
        <v>3</v>
      </c>
      <c r="E119" s="24">
        <f t="shared" ref="E119:E123" si="137">H119+K119+N119+Q119+T119+W119+Z119+AC119+AF119+AI119+AL119+AO119</f>
        <v>32275</v>
      </c>
      <c r="F119" s="24">
        <f t="shared" ref="F119:F123" si="138">I119+L119+O119+R119+U119+X119+AA119+AD119+AG119+AJ119+AM119+AP119</f>
        <v>32183.7</v>
      </c>
      <c r="G119" s="24">
        <f>F119/E119*100</f>
        <v>99.717118512780786</v>
      </c>
      <c r="H119" s="24">
        <f>H120+H121+H122+H123</f>
        <v>0</v>
      </c>
      <c r="I119" s="24">
        <f>I120+I121+I122+I123</f>
        <v>0</v>
      </c>
      <c r="J119" s="24" t="e">
        <f>I119/H119*100</f>
        <v>#DIV/0!</v>
      </c>
      <c r="K119" s="24">
        <f t="shared" ref="K119:L119" si="139">K120+K121+K122+K123</f>
        <v>5268.1</v>
      </c>
      <c r="L119" s="24">
        <f t="shared" si="139"/>
        <v>5268.1</v>
      </c>
      <c r="M119" s="24">
        <f>L119/K119*100</f>
        <v>100</v>
      </c>
      <c r="N119" s="24">
        <f t="shared" ref="N119:O119" si="140">N120+N121+N122+N123</f>
        <v>2699.6</v>
      </c>
      <c r="O119" s="24">
        <f t="shared" si="140"/>
        <v>2699.6</v>
      </c>
      <c r="P119" s="24">
        <f>O119/N119*100</f>
        <v>100</v>
      </c>
      <c r="Q119" s="24">
        <f t="shared" ref="Q119:R119" si="141">Q120+Q121+Q122+Q123</f>
        <v>2647.3</v>
      </c>
      <c r="R119" s="24">
        <f t="shared" si="141"/>
        <v>2647.3</v>
      </c>
      <c r="S119" s="24">
        <f>R119/Q119*100</f>
        <v>100</v>
      </c>
      <c r="T119" s="24">
        <f t="shared" ref="T119:U119" si="142">T120+T121+T122+T123</f>
        <v>4307.1000000000004</v>
      </c>
      <c r="U119" s="24">
        <f t="shared" si="142"/>
        <v>4307.1000000000004</v>
      </c>
      <c r="V119" s="24">
        <f>U119/T119*100</f>
        <v>100</v>
      </c>
      <c r="W119" s="24">
        <f t="shared" ref="W119:X119" si="143">W120+W121+W122+W123</f>
        <v>6100.8</v>
      </c>
      <c r="X119" s="24">
        <f t="shared" si="143"/>
        <v>6100.8</v>
      </c>
      <c r="Y119" s="24">
        <f>X119/W119*100</f>
        <v>100</v>
      </c>
      <c r="Z119" s="24">
        <f t="shared" ref="Z119:AA119" si="144">Z120+Z121+Z122+Z123</f>
        <v>0</v>
      </c>
      <c r="AA119" s="24">
        <f t="shared" si="144"/>
        <v>0</v>
      </c>
      <c r="AB119" s="24"/>
      <c r="AC119" s="24">
        <f t="shared" ref="AC119:AD119" si="145">AC120+AC121+AC122+AC123</f>
        <v>546.70000000000005</v>
      </c>
      <c r="AD119" s="24">
        <f t="shared" si="145"/>
        <v>546.70000000000005</v>
      </c>
      <c r="AE119" s="24">
        <f>AD119/AC119*100</f>
        <v>100</v>
      </c>
      <c r="AF119" s="24">
        <f>AF120+AF121+AF122+AF123</f>
        <v>2615</v>
      </c>
      <c r="AG119" s="24">
        <f t="shared" ref="AG119" si="146">AG120+AG121+AG122+AG123</f>
        <v>2615</v>
      </c>
      <c r="AH119" s="24">
        <f>AG119/AF119*100</f>
        <v>100</v>
      </c>
      <c r="AI119" s="24">
        <f t="shared" ref="AI119:AJ119" si="147">AI120+AI121+AI122+AI123</f>
        <v>2761.1</v>
      </c>
      <c r="AJ119" s="24">
        <f t="shared" si="147"/>
        <v>2622.1</v>
      </c>
      <c r="AK119" s="24">
        <f>AJ119/AI119*100</f>
        <v>94.965774510158994</v>
      </c>
      <c r="AL119" s="24">
        <f t="shared" ref="AL119:AM119" si="148">AL120+AL121+AL122+AL123</f>
        <v>2804.3</v>
      </c>
      <c r="AM119" s="24">
        <f t="shared" si="148"/>
        <v>2629.9</v>
      </c>
      <c r="AN119" s="24">
        <f>AM119/AL119*100</f>
        <v>93.78097921049816</v>
      </c>
      <c r="AO119" s="24">
        <f t="shared" ref="AO119:AP119" si="149">AO120+AO121+AO122+AO123</f>
        <v>2525</v>
      </c>
      <c r="AP119" s="24">
        <f t="shared" si="149"/>
        <v>2747.1</v>
      </c>
      <c r="AQ119" s="24">
        <f>AP119/AO119*100</f>
        <v>108.79603960396038</v>
      </c>
      <c r="AR119" s="34"/>
      <c r="AS119" s="34"/>
      <c r="AT119" s="100">
        <f t="shared" si="92"/>
        <v>0.99717118512780789</v>
      </c>
      <c r="AU119" s="83">
        <f t="shared" ref="AU119:AU123" si="150">H119+K119+N119</f>
        <v>7967.7000000000007</v>
      </c>
      <c r="AV119" s="83">
        <f t="shared" ref="AV119:AV123" si="151">Q119+T119+W119</f>
        <v>13055.2</v>
      </c>
      <c r="AW119" s="83">
        <f t="shared" ref="AW119:AW123" si="152">Z119+AC119+AF119</f>
        <v>3161.7</v>
      </c>
      <c r="AX119" s="83">
        <f t="shared" ref="AX119:AX123" si="153">AI119+AL119+AO119</f>
        <v>8090.4</v>
      </c>
    </row>
    <row r="120" spans="1:50" ht="60" x14ac:dyDescent="0.3">
      <c r="A120" s="140"/>
      <c r="B120" s="140"/>
      <c r="C120" s="140"/>
      <c r="D120" s="36" t="s">
        <v>21</v>
      </c>
      <c r="E120" s="24">
        <f t="shared" si="137"/>
        <v>32275</v>
      </c>
      <c r="F120" s="24">
        <f t="shared" si="138"/>
        <v>32183.7</v>
      </c>
      <c r="G120" s="24">
        <f>F120/E120*100</f>
        <v>99.717118512780786</v>
      </c>
      <c r="H120" s="24"/>
      <c r="I120" s="24">
        <v>0</v>
      </c>
      <c r="J120" s="24" t="e">
        <f>I120/H120*100</f>
        <v>#DIV/0!</v>
      </c>
      <c r="K120" s="24">
        <v>5268.1</v>
      </c>
      <c r="L120" s="24">
        <v>5268.1</v>
      </c>
      <c r="M120" s="24">
        <f>L120/K120*100</f>
        <v>100</v>
      </c>
      <c r="N120" s="24">
        <v>2699.6</v>
      </c>
      <c r="O120" s="24">
        <v>2699.6</v>
      </c>
      <c r="P120" s="24">
        <f>O120/N120*100</f>
        <v>100</v>
      </c>
      <c r="Q120" s="24">
        <v>2647.3</v>
      </c>
      <c r="R120" s="24">
        <v>2647.3</v>
      </c>
      <c r="S120" s="24">
        <f>R120/Q120*100</f>
        <v>100</v>
      </c>
      <c r="T120" s="24">
        <v>4307.1000000000004</v>
      </c>
      <c r="U120" s="24">
        <v>4307.1000000000004</v>
      </c>
      <c r="V120" s="24">
        <f>U120/T120*100</f>
        <v>100</v>
      </c>
      <c r="W120" s="24">
        <v>6100.8</v>
      </c>
      <c r="X120" s="24">
        <v>6100.8</v>
      </c>
      <c r="Y120" s="24">
        <f>X120/W120*100</f>
        <v>100</v>
      </c>
      <c r="Z120" s="24">
        <f>33-33</f>
        <v>0</v>
      </c>
      <c r="AA120" s="24"/>
      <c r="AB120" s="24"/>
      <c r="AC120" s="24">
        <v>546.70000000000005</v>
      </c>
      <c r="AD120" s="24">
        <v>546.70000000000005</v>
      </c>
      <c r="AE120" s="24">
        <f>AD120/AC120*100</f>
        <v>100</v>
      </c>
      <c r="AF120" s="24">
        <v>2615</v>
      </c>
      <c r="AG120" s="24">
        <v>2615</v>
      </c>
      <c r="AH120" s="24">
        <f t="shared" ref="AH120" si="154">AG120/AF120*100</f>
        <v>100</v>
      </c>
      <c r="AI120" s="24">
        <v>2761.1</v>
      </c>
      <c r="AJ120" s="24">
        <v>2622.1</v>
      </c>
      <c r="AK120" s="24">
        <f>AJ120/AI120*100</f>
        <v>94.965774510158994</v>
      </c>
      <c r="AL120" s="24">
        <v>2804.3</v>
      </c>
      <c r="AM120" s="24">
        <v>2629.9</v>
      </c>
      <c r="AN120" s="24">
        <f>AM120/AL120*100</f>
        <v>93.78097921049816</v>
      </c>
      <c r="AO120" s="24">
        <f>3841.6-1316.6</f>
        <v>2525</v>
      </c>
      <c r="AP120" s="24">
        <v>2747.1</v>
      </c>
      <c r="AQ120" s="24">
        <f>AP120/AO120*100</f>
        <v>108.79603960396038</v>
      </c>
      <c r="AR120" s="90" t="s">
        <v>180</v>
      </c>
      <c r="AS120" s="106" t="s">
        <v>197</v>
      </c>
      <c r="AT120" s="100">
        <f t="shared" si="92"/>
        <v>0.99717118512780789</v>
      </c>
      <c r="AU120" s="83">
        <f t="shared" si="150"/>
        <v>7967.7000000000007</v>
      </c>
      <c r="AV120" s="83">
        <f t="shared" si="151"/>
        <v>13055.2</v>
      </c>
      <c r="AW120" s="83">
        <f t="shared" si="152"/>
        <v>3161.7</v>
      </c>
      <c r="AX120" s="83">
        <f t="shared" si="153"/>
        <v>8090.4</v>
      </c>
    </row>
    <row r="121" spans="1:50" ht="24" x14ac:dyDescent="0.3">
      <c r="A121" s="140"/>
      <c r="B121" s="140"/>
      <c r="C121" s="140"/>
      <c r="D121" s="36" t="s">
        <v>4</v>
      </c>
      <c r="E121" s="24">
        <f t="shared" si="137"/>
        <v>0</v>
      </c>
      <c r="F121" s="24">
        <f t="shared" si="138"/>
        <v>0</v>
      </c>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90"/>
      <c r="AS121" s="34"/>
      <c r="AT121" s="100"/>
      <c r="AU121" s="83">
        <f t="shared" si="150"/>
        <v>0</v>
      </c>
      <c r="AV121" s="83">
        <f t="shared" si="151"/>
        <v>0</v>
      </c>
      <c r="AW121" s="83">
        <f t="shared" si="152"/>
        <v>0</v>
      </c>
      <c r="AX121" s="83">
        <f t="shared" si="153"/>
        <v>0</v>
      </c>
    </row>
    <row r="122" spans="1:50" ht="16.2" customHeight="1" x14ac:dyDescent="0.3">
      <c r="A122" s="140"/>
      <c r="B122" s="140"/>
      <c r="C122" s="140"/>
      <c r="D122" s="36" t="s">
        <v>44</v>
      </c>
      <c r="E122" s="24">
        <f t="shared" si="137"/>
        <v>0</v>
      </c>
      <c r="F122" s="24">
        <f t="shared" si="138"/>
        <v>0</v>
      </c>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90"/>
      <c r="AS122" s="90"/>
      <c r="AT122" s="100"/>
      <c r="AU122" s="83">
        <f t="shared" si="150"/>
        <v>0</v>
      </c>
      <c r="AV122" s="83">
        <f t="shared" si="151"/>
        <v>0</v>
      </c>
      <c r="AW122" s="83">
        <f t="shared" si="152"/>
        <v>0</v>
      </c>
      <c r="AX122" s="83">
        <f t="shared" si="153"/>
        <v>0</v>
      </c>
    </row>
    <row r="123" spans="1:50" ht="15.75" customHeight="1" x14ac:dyDescent="0.3">
      <c r="A123" s="140"/>
      <c r="B123" s="140"/>
      <c r="C123" s="140"/>
      <c r="D123" s="36" t="s">
        <v>22</v>
      </c>
      <c r="E123" s="24">
        <f t="shared" si="137"/>
        <v>0</v>
      </c>
      <c r="F123" s="79">
        <f t="shared" si="138"/>
        <v>0</v>
      </c>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34"/>
      <c r="AS123" s="34"/>
      <c r="AT123" s="100"/>
      <c r="AU123" s="85">
        <f t="shared" si="150"/>
        <v>0</v>
      </c>
      <c r="AV123" s="85">
        <f t="shared" si="151"/>
        <v>0</v>
      </c>
      <c r="AW123" s="85">
        <f t="shared" si="152"/>
        <v>0</v>
      </c>
      <c r="AX123" s="85">
        <f t="shared" si="153"/>
        <v>0</v>
      </c>
    </row>
    <row r="124" spans="1:50" ht="15.75" customHeight="1" x14ac:dyDescent="0.3">
      <c r="A124" s="140" t="s">
        <v>60</v>
      </c>
      <c r="B124" s="140" t="s">
        <v>115</v>
      </c>
      <c r="C124" s="140" t="s">
        <v>5</v>
      </c>
      <c r="D124" s="36" t="s">
        <v>3</v>
      </c>
      <c r="E124" s="24">
        <f t="shared" si="114"/>
        <v>35885.9</v>
      </c>
      <c r="F124" s="24">
        <f t="shared" si="114"/>
        <v>35885.9</v>
      </c>
      <c r="G124" s="24">
        <f>F124/E124*100</f>
        <v>100</v>
      </c>
      <c r="H124" s="24">
        <f>H125+H126+H127+H128</f>
        <v>1870</v>
      </c>
      <c r="I124" s="24">
        <f>I125+I126+I127+I128</f>
        <v>1870</v>
      </c>
      <c r="J124" s="24">
        <f>I124/H124*100</f>
        <v>100</v>
      </c>
      <c r="K124" s="24">
        <f t="shared" ref="K124:AP124" si="155">K125+K126+K127+K128</f>
        <v>3033</v>
      </c>
      <c r="L124" s="24">
        <f t="shared" si="155"/>
        <v>3033</v>
      </c>
      <c r="M124" s="24">
        <f t="shared" si="127"/>
        <v>100</v>
      </c>
      <c r="N124" s="24">
        <f t="shared" si="155"/>
        <v>2932</v>
      </c>
      <c r="O124" s="24">
        <f t="shared" si="155"/>
        <v>2932</v>
      </c>
      <c r="P124" s="24">
        <f>O124/N124*100</f>
        <v>100</v>
      </c>
      <c r="Q124" s="24">
        <f t="shared" si="155"/>
        <v>4829</v>
      </c>
      <c r="R124" s="24">
        <f t="shared" si="155"/>
        <v>4829</v>
      </c>
      <c r="S124" s="24">
        <f>R124/Q124*100</f>
        <v>100</v>
      </c>
      <c r="T124" s="24">
        <f t="shared" si="155"/>
        <v>2174</v>
      </c>
      <c r="U124" s="24">
        <f t="shared" si="155"/>
        <v>2174</v>
      </c>
      <c r="V124" s="24">
        <f>U124/T124*100</f>
        <v>100</v>
      </c>
      <c r="W124" s="24">
        <f t="shared" si="155"/>
        <v>3790</v>
      </c>
      <c r="X124" s="24">
        <f t="shared" si="155"/>
        <v>3790</v>
      </c>
      <c r="Y124" s="24">
        <f>X124/W124*100</f>
        <v>100</v>
      </c>
      <c r="Z124" s="24">
        <f t="shared" si="155"/>
        <v>2061</v>
      </c>
      <c r="AA124" s="24">
        <f t="shared" si="155"/>
        <v>2061</v>
      </c>
      <c r="AB124" s="24">
        <f>AA124/Z124*100</f>
        <v>100</v>
      </c>
      <c r="AC124" s="24">
        <f t="shared" si="155"/>
        <v>1687</v>
      </c>
      <c r="AD124" s="24">
        <f t="shared" si="155"/>
        <v>1687</v>
      </c>
      <c r="AE124" s="24">
        <f>AD124/AC124*100</f>
        <v>100</v>
      </c>
      <c r="AF124" s="24">
        <f t="shared" si="155"/>
        <v>2035</v>
      </c>
      <c r="AG124" s="24">
        <f t="shared" si="155"/>
        <v>2035</v>
      </c>
      <c r="AH124" s="24">
        <f>AG124/AF124*100</f>
        <v>100</v>
      </c>
      <c r="AI124" s="24">
        <f t="shared" si="155"/>
        <v>2144.5</v>
      </c>
      <c r="AJ124" s="24">
        <f t="shared" si="155"/>
        <v>2144.5</v>
      </c>
      <c r="AK124" s="24">
        <f>AJ124/AI124*100</f>
        <v>100</v>
      </c>
      <c r="AL124" s="24">
        <f t="shared" si="155"/>
        <v>1581</v>
      </c>
      <c r="AM124" s="24">
        <f t="shared" si="155"/>
        <v>1580.9</v>
      </c>
      <c r="AN124" s="24">
        <f>AM124/AL124*100</f>
        <v>99.993674889310569</v>
      </c>
      <c r="AO124" s="24">
        <f t="shared" si="155"/>
        <v>7749.4</v>
      </c>
      <c r="AP124" s="24">
        <f t="shared" si="155"/>
        <v>7749.5</v>
      </c>
      <c r="AQ124" s="24">
        <f>AP124/AO124*100</f>
        <v>100.00129042248433</v>
      </c>
      <c r="AR124" s="34"/>
      <c r="AS124" s="34"/>
      <c r="AT124" s="100">
        <f t="shared" si="92"/>
        <v>1</v>
      </c>
      <c r="AU124" s="83">
        <f t="shared" si="99"/>
        <v>7835</v>
      </c>
      <c r="AV124" s="83">
        <f t="shared" si="100"/>
        <v>10793</v>
      </c>
      <c r="AW124" s="83">
        <f t="shared" si="101"/>
        <v>5783</v>
      </c>
      <c r="AX124" s="83">
        <f t="shared" si="102"/>
        <v>11474.9</v>
      </c>
    </row>
    <row r="125" spans="1:50" ht="14.25" customHeight="1" x14ac:dyDescent="0.3">
      <c r="A125" s="140"/>
      <c r="B125" s="140"/>
      <c r="C125" s="140"/>
      <c r="D125" s="36" t="s">
        <v>21</v>
      </c>
      <c r="E125" s="24">
        <f t="shared" si="114"/>
        <v>0</v>
      </c>
      <c r="F125" s="61">
        <f t="shared" si="114"/>
        <v>0</v>
      </c>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2"/>
      <c r="AR125" s="34"/>
      <c r="AS125" s="34"/>
      <c r="AT125" s="100"/>
      <c r="AU125" s="83">
        <f t="shared" si="99"/>
        <v>0</v>
      </c>
      <c r="AV125" s="83">
        <f t="shared" si="100"/>
        <v>0</v>
      </c>
      <c r="AW125" s="83">
        <f t="shared" si="101"/>
        <v>0</v>
      </c>
      <c r="AX125" s="83">
        <f t="shared" si="102"/>
        <v>0</v>
      </c>
    </row>
    <row r="126" spans="1:50" ht="25.95" customHeight="1" x14ac:dyDescent="0.3">
      <c r="A126" s="140"/>
      <c r="B126" s="140"/>
      <c r="C126" s="140"/>
      <c r="D126" s="36" t="s">
        <v>4</v>
      </c>
      <c r="E126" s="24">
        <f t="shared" si="114"/>
        <v>0</v>
      </c>
      <c r="F126" s="24">
        <f t="shared" si="114"/>
        <v>0</v>
      </c>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2"/>
      <c r="AR126" s="90"/>
      <c r="AS126" s="34"/>
      <c r="AT126" s="100"/>
      <c r="AU126" s="83">
        <f t="shared" si="99"/>
        <v>0</v>
      </c>
      <c r="AV126" s="83">
        <f t="shared" si="100"/>
        <v>0</v>
      </c>
      <c r="AW126" s="83">
        <f t="shared" si="101"/>
        <v>0</v>
      </c>
      <c r="AX126" s="83">
        <f t="shared" si="102"/>
        <v>0</v>
      </c>
    </row>
    <row r="127" spans="1:50" ht="63" customHeight="1" x14ac:dyDescent="0.3">
      <c r="A127" s="140"/>
      <c r="B127" s="140"/>
      <c r="C127" s="140"/>
      <c r="D127" s="36" t="s">
        <v>44</v>
      </c>
      <c r="E127" s="24">
        <f t="shared" si="114"/>
        <v>35885.9</v>
      </c>
      <c r="F127" s="24">
        <f t="shared" si="114"/>
        <v>35885.9</v>
      </c>
      <c r="G127" s="24">
        <f>F127/E127*100</f>
        <v>100</v>
      </c>
      <c r="H127" s="24">
        <v>1870</v>
      </c>
      <c r="I127" s="24">
        <v>1870</v>
      </c>
      <c r="J127" s="24">
        <f t="shared" ref="J127" si="156">I127/H127*100</f>
        <v>100</v>
      </c>
      <c r="K127" s="24">
        <v>3033</v>
      </c>
      <c r="L127" s="24">
        <v>3033</v>
      </c>
      <c r="M127" s="24">
        <f t="shared" si="127"/>
        <v>100</v>
      </c>
      <c r="N127" s="24">
        <v>2932</v>
      </c>
      <c r="O127" s="24">
        <v>2932</v>
      </c>
      <c r="P127" s="24">
        <f t="shared" ref="P127" si="157">O127/N127*100</f>
        <v>100</v>
      </c>
      <c r="Q127" s="24">
        <f>3329+1500</f>
        <v>4829</v>
      </c>
      <c r="R127" s="24">
        <v>4829</v>
      </c>
      <c r="S127" s="24">
        <f t="shared" ref="S127" si="158">R127/Q127*100</f>
        <v>100</v>
      </c>
      <c r="T127" s="24">
        <f>3674-1500</f>
        <v>2174</v>
      </c>
      <c r="U127" s="24">
        <f>3674-1500</f>
        <v>2174</v>
      </c>
      <c r="V127" s="24">
        <f t="shared" ref="V127" si="159">U127/T127*100</f>
        <v>100</v>
      </c>
      <c r="W127" s="24">
        <v>3790</v>
      </c>
      <c r="X127" s="24">
        <v>3790</v>
      </c>
      <c r="Y127" s="24">
        <f t="shared" ref="Y127" si="160">X127/W127*100</f>
        <v>100</v>
      </c>
      <c r="Z127" s="24">
        <v>2061</v>
      </c>
      <c r="AA127" s="24">
        <v>2061</v>
      </c>
      <c r="AB127" s="24">
        <f t="shared" ref="AB127" si="161">AA127/Z127*100</f>
        <v>100</v>
      </c>
      <c r="AC127" s="24">
        <v>1687</v>
      </c>
      <c r="AD127" s="24">
        <v>1687</v>
      </c>
      <c r="AE127" s="24">
        <f>AD127/AC127*100</f>
        <v>100</v>
      </c>
      <c r="AF127" s="24">
        <v>2035</v>
      </c>
      <c r="AG127" s="24">
        <v>2035</v>
      </c>
      <c r="AH127" s="24">
        <f t="shared" ref="AH127" si="162">AG127/AF127*100</f>
        <v>100</v>
      </c>
      <c r="AI127" s="24">
        <f>2126+18.5</f>
        <v>2144.5</v>
      </c>
      <c r="AJ127" s="24">
        <v>2144.5</v>
      </c>
      <c r="AK127" s="24">
        <f t="shared" ref="AK127" si="163">AJ127/AI127*100</f>
        <v>100</v>
      </c>
      <c r="AL127" s="24">
        <v>1581</v>
      </c>
      <c r="AM127" s="24">
        <v>1580.9</v>
      </c>
      <c r="AN127" s="24">
        <f t="shared" ref="AN127" si="164">AM127/AL127*100</f>
        <v>99.993674889310569</v>
      </c>
      <c r="AO127" s="24">
        <f>2939.9+4809.5</f>
        <v>7749.4</v>
      </c>
      <c r="AP127" s="24">
        <v>7749.5</v>
      </c>
      <c r="AQ127" s="24">
        <f t="shared" ref="AQ127" si="165">AP127/AO127*100</f>
        <v>100.00129042248433</v>
      </c>
      <c r="AR127" s="90" t="s">
        <v>183</v>
      </c>
      <c r="AS127" s="34"/>
      <c r="AT127" s="100">
        <f t="shared" si="92"/>
        <v>1</v>
      </c>
      <c r="AU127" s="83">
        <f t="shared" si="99"/>
        <v>7835</v>
      </c>
      <c r="AV127" s="83">
        <f t="shared" si="100"/>
        <v>10793</v>
      </c>
      <c r="AW127" s="83">
        <f t="shared" si="101"/>
        <v>5783</v>
      </c>
      <c r="AX127" s="83">
        <f t="shared" si="102"/>
        <v>11474.9</v>
      </c>
    </row>
    <row r="128" spans="1:50" ht="15.75" customHeight="1" x14ac:dyDescent="0.3">
      <c r="A128" s="140"/>
      <c r="B128" s="140"/>
      <c r="C128" s="140"/>
      <c r="D128" s="36" t="s">
        <v>22</v>
      </c>
      <c r="E128" s="24">
        <f t="shared" si="114"/>
        <v>0</v>
      </c>
      <c r="F128" s="24">
        <f t="shared" si="114"/>
        <v>0</v>
      </c>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34"/>
      <c r="AS128" s="34"/>
      <c r="AT128" s="100"/>
      <c r="AU128" s="83">
        <f t="shared" si="99"/>
        <v>0</v>
      </c>
      <c r="AV128" s="83">
        <f t="shared" si="100"/>
        <v>0</v>
      </c>
      <c r="AW128" s="83">
        <f t="shared" si="101"/>
        <v>0</v>
      </c>
      <c r="AX128" s="83">
        <f t="shared" si="102"/>
        <v>0</v>
      </c>
    </row>
    <row r="129" spans="1:50" ht="12.6" customHeight="1" x14ac:dyDescent="0.3">
      <c r="A129" s="140" t="s">
        <v>61</v>
      </c>
      <c r="B129" s="140" t="s">
        <v>96</v>
      </c>
      <c r="C129" s="140" t="s">
        <v>5</v>
      </c>
      <c r="D129" s="36" t="s">
        <v>3</v>
      </c>
      <c r="E129" s="24">
        <f t="shared" si="114"/>
        <v>34440.100000000006</v>
      </c>
      <c r="F129" s="24">
        <f t="shared" si="114"/>
        <v>34335.100000000006</v>
      </c>
      <c r="G129" s="24">
        <f>F129/E129*100</f>
        <v>99.695122836460982</v>
      </c>
      <c r="H129" s="24">
        <f>H130+H131+H132+H133</f>
        <v>177</v>
      </c>
      <c r="I129" s="24">
        <f>I130+I131+I132+I133</f>
        <v>177</v>
      </c>
      <c r="J129" s="24">
        <f>I129/H129*100</f>
        <v>100</v>
      </c>
      <c r="K129" s="24">
        <f t="shared" ref="K129:AP129" si="166">K130+K131+K132+K133</f>
        <v>4813.5000000000009</v>
      </c>
      <c r="L129" s="24">
        <f t="shared" si="166"/>
        <v>6582</v>
      </c>
      <c r="M129" s="24">
        <f t="shared" si="127"/>
        <v>136.7404175755687</v>
      </c>
      <c r="N129" s="24">
        <f t="shared" si="166"/>
        <v>5447.9</v>
      </c>
      <c r="O129" s="24">
        <f t="shared" si="166"/>
        <v>3679.4</v>
      </c>
      <c r="P129" s="24">
        <f>O129/N129*100</f>
        <v>67.537950402907555</v>
      </c>
      <c r="Q129" s="24">
        <f t="shared" si="166"/>
        <v>4630.3</v>
      </c>
      <c r="R129" s="24">
        <f t="shared" si="166"/>
        <v>4630.3</v>
      </c>
      <c r="S129" s="24">
        <f>R129/Q129*100</f>
        <v>100</v>
      </c>
      <c r="T129" s="24">
        <f t="shared" si="166"/>
        <v>5050.6000000000004</v>
      </c>
      <c r="U129" s="24">
        <f t="shared" si="166"/>
        <v>5050.6000000000004</v>
      </c>
      <c r="V129" s="24">
        <f>U129/T129*100</f>
        <v>100</v>
      </c>
      <c r="W129" s="24">
        <f t="shared" si="166"/>
        <v>1217</v>
      </c>
      <c r="X129" s="24">
        <f t="shared" si="166"/>
        <v>1217</v>
      </c>
      <c r="Y129" s="24">
        <f>X129/W129*100</f>
        <v>100</v>
      </c>
      <c r="Z129" s="24">
        <f t="shared" si="166"/>
        <v>340.9</v>
      </c>
      <c r="AA129" s="24">
        <f t="shared" si="166"/>
        <v>340.9</v>
      </c>
      <c r="AB129" s="24">
        <f>AA129/Z129*100</f>
        <v>100</v>
      </c>
      <c r="AC129" s="24">
        <f t="shared" si="166"/>
        <v>0</v>
      </c>
      <c r="AD129" s="24">
        <f t="shared" si="166"/>
        <v>0</v>
      </c>
      <c r="AE129" s="24"/>
      <c r="AF129" s="24">
        <f t="shared" si="166"/>
        <v>167.4</v>
      </c>
      <c r="AG129" s="24">
        <f t="shared" si="166"/>
        <v>167.3</v>
      </c>
      <c r="AH129" s="24">
        <f>AG129/AF129*100</f>
        <v>99.940262843488654</v>
      </c>
      <c r="AI129" s="24">
        <f t="shared" si="166"/>
        <v>4977.7</v>
      </c>
      <c r="AJ129" s="24">
        <f t="shared" si="166"/>
        <v>4214.7</v>
      </c>
      <c r="AK129" s="24">
        <f>AJ129/AI129*100</f>
        <v>84.671635494304596</v>
      </c>
      <c r="AL129" s="24">
        <f t="shared" si="166"/>
        <v>4984.2</v>
      </c>
      <c r="AM129" s="24">
        <f t="shared" si="166"/>
        <v>4295.5</v>
      </c>
      <c r="AN129" s="24">
        <f>AM129/AL129*100</f>
        <v>86.182336182336186</v>
      </c>
      <c r="AO129" s="24">
        <f t="shared" si="166"/>
        <v>2633.5999999999985</v>
      </c>
      <c r="AP129" s="24">
        <f t="shared" si="166"/>
        <v>3980.4</v>
      </c>
      <c r="AQ129" s="24">
        <f>AP129/AO129*100</f>
        <v>151.13912515188343</v>
      </c>
      <c r="AR129" s="34"/>
      <c r="AS129" s="34"/>
      <c r="AT129" s="100">
        <f t="shared" si="92"/>
        <v>0.99695122836460981</v>
      </c>
      <c r="AU129" s="83">
        <f t="shared" si="99"/>
        <v>10438.400000000001</v>
      </c>
      <c r="AV129" s="83">
        <f t="shared" si="100"/>
        <v>10897.900000000001</v>
      </c>
      <c r="AW129" s="83">
        <f t="shared" si="101"/>
        <v>508.29999999999995</v>
      </c>
      <c r="AX129" s="83">
        <f t="shared" si="102"/>
        <v>12595.499999999998</v>
      </c>
    </row>
    <row r="130" spans="1:50" x14ac:dyDescent="0.3">
      <c r="A130" s="140"/>
      <c r="B130" s="140"/>
      <c r="C130" s="140"/>
      <c r="D130" s="36" t="s">
        <v>21</v>
      </c>
      <c r="E130" s="24">
        <f t="shared" si="114"/>
        <v>0</v>
      </c>
      <c r="F130" s="24">
        <f t="shared" si="114"/>
        <v>0</v>
      </c>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34"/>
      <c r="AS130" s="34"/>
      <c r="AT130" s="100"/>
      <c r="AU130" s="83">
        <f t="shared" si="99"/>
        <v>0</v>
      </c>
      <c r="AV130" s="83">
        <f t="shared" si="100"/>
        <v>0</v>
      </c>
      <c r="AW130" s="83">
        <f t="shared" si="101"/>
        <v>0</v>
      </c>
      <c r="AX130" s="83">
        <f t="shared" si="102"/>
        <v>0</v>
      </c>
    </row>
    <row r="131" spans="1:50" ht="24" x14ac:dyDescent="0.3">
      <c r="A131" s="140"/>
      <c r="B131" s="140"/>
      <c r="C131" s="140"/>
      <c r="D131" s="36" t="s">
        <v>4</v>
      </c>
      <c r="E131" s="24">
        <f t="shared" si="114"/>
        <v>0</v>
      </c>
      <c r="F131" s="24">
        <f t="shared" si="114"/>
        <v>0</v>
      </c>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34"/>
      <c r="AS131" s="34"/>
      <c r="AT131" s="100"/>
      <c r="AU131" s="83">
        <f t="shared" si="99"/>
        <v>0</v>
      </c>
      <c r="AV131" s="83">
        <f t="shared" si="100"/>
        <v>0</v>
      </c>
      <c r="AW131" s="83">
        <f t="shared" si="101"/>
        <v>0</v>
      </c>
      <c r="AX131" s="83">
        <f t="shared" si="102"/>
        <v>0</v>
      </c>
    </row>
    <row r="132" spans="1:50" ht="51" customHeight="1" x14ac:dyDescent="0.3">
      <c r="A132" s="140"/>
      <c r="B132" s="140"/>
      <c r="C132" s="140"/>
      <c r="D132" s="36" t="s">
        <v>44</v>
      </c>
      <c r="E132" s="24">
        <f t="shared" si="114"/>
        <v>34440.100000000006</v>
      </c>
      <c r="F132" s="24">
        <f t="shared" si="114"/>
        <v>34335.100000000006</v>
      </c>
      <c r="G132" s="24">
        <f t="shared" ref="G132" si="167">F132/E132*100</f>
        <v>99.695122836460982</v>
      </c>
      <c r="H132" s="24">
        <v>177</v>
      </c>
      <c r="I132" s="24">
        <v>177</v>
      </c>
      <c r="J132" s="24">
        <f t="shared" ref="J132" si="168">I132/H132*100</f>
        <v>100</v>
      </c>
      <c r="K132" s="24">
        <f>8328.7-3515.2</f>
        <v>4813.5000000000009</v>
      </c>
      <c r="L132" s="24">
        <v>6582</v>
      </c>
      <c r="M132" s="24">
        <f t="shared" si="127"/>
        <v>136.7404175755687</v>
      </c>
      <c r="N132" s="24">
        <v>5447.9</v>
      </c>
      <c r="O132" s="24">
        <v>3679.4</v>
      </c>
      <c r="P132" s="24">
        <f t="shared" ref="P132" si="169">O132/N132*100</f>
        <v>67.537950402907555</v>
      </c>
      <c r="Q132" s="24">
        <v>4630.3</v>
      </c>
      <c r="R132" s="24">
        <v>4630.3</v>
      </c>
      <c r="S132" s="24">
        <f t="shared" ref="S132" si="170">R132/Q132*100</f>
        <v>100</v>
      </c>
      <c r="T132" s="24">
        <v>5050.6000000000004</v>
      </c>
      <c r="U132" s="24">
        <v>5050.6000000000004</v>
      </c>
      <c r="V132" s="24">
        <f t="shared" ref="V132" si="171">U132/T132*100</f>
        <v>100</v>
      </c>
      <c r="W132" s="24">
        <v>1217</v>
      </c>
      <c r="X132" s="24">
        <v>1217</v>
      </c>
      <c r="Y132" s="24">
        <f t="shared" ref="Y132" si="172">X132/W132*100</f>
        <v>100</v>
      </c>
      <c r="Z132" s="24">
        <v>340.9</v>
      </c>
      <c r="AA132" s="24">
        <v>340.9</v>
      </c>
      <c r="AB132" s="24">
        <f t="shared" ref="AB132" si="173">AA132/Z132*100</f>
        <v>100</v>
      </c>
      <c r="AC132" s="24"/>
      <c r="AD132" s="24"/>
      <c r="AE132" s="24"/>
      <c r="AF132" s="24">
        <v>167.4</v>
      </c>
      <c r="AG132" s="24">
        <f>167.4-0.1</f>
        <v>167.3</v>
      </c>
      <c r="AH132" s="24">
        <f t="shared" ref="AH132" si="174">AG132/AF132*100</f>
        <v>99.940262843488654</v>
      </c>
      <c r="AI132" s="24">
        <f>4870.9+106.8</f>
        <v>4977.7</v>
      </c>
      <c r="AJ132" s="24">
        <v>4214.7</v>
      </c>
      <c r="AK132" s="24">
        <f t="shared" ref="AK132" si="175">AJ132/AI132*100</f>
        <v>84.671635494304596</v>
      </c>
      <c r="AL132" s="24">
        <f>4877.4+106.8</f>
        <v>4984.2</v>
      </c>
      <c r="AM132" s="24">
        <v>4295.5</v>
      </c>
      <c r="AN132" s="24">
        <f t="shared" ref="AN132" si="176">AM132/AL132*100</f>
        <v>86.182336182336186</v>
      </c>
      <c r="AO132" s="24">
        <f>3475.1+106.8+4392.4+6695.8-12036.5</f>
        <v>2633.5999999999985</v>
      </c>
      <c r="AP132" s="24">
        <v>3980.4</v>
      </c>
      <c r="AQ132" s="24">
        <f t="shared" ref="AQ132" si="177">AP132/AO132*100</f>
        <v>151.13912515188343</v>
      </c>
      <c r="AR132" s="90" t="s">
        <v>155</v>
      </c>
      <c r="AS132" s="90" t="s">
        <v>190</v>
      </c>
      <c r="AT132" s="102">
        <f>(I132+L132+O132+R132+U132+X132+AA132+AD132+AG132+AJ132+AM132+AP132)/(H132+K132+N132+Q132+T132+W132+Z132+AC132+AF132+AI132+AL132+AO132)</f>
        <v>0.99695122836460981</v>
      </c>
      <c r="AU132" s="83">
        <f t="shared" si="99"/>
        <v>10438.400000000001</v>
      </c>
      <c r="AV132" s="83">
        <f t="shared" si="100"/>
        <v>10897.900000000001</v>
      </c>
      <c r="AW132" s="83">
        <f t="shared" si="101"/>
        <v>508.29999999999995</v>
      </c>
      <c r="AX132" s="83">
        <f t="shared" si="102"/>
        <v>12595.499999999998</v>
      </c>
    </row>
    <row r="133" spans="1:50" ht="15.75" customHeight="1" x14ac:dyDescent="0.3">
      <c r="A133" s="140"/>
      <c r="B133" s="140"/>
      <c r="C133" s="140"/>
      <c r="D133" s="36" t="s">
        <v>22</v>
      </c>
      <c r="E133" s="24">
        <f t="shared" si="114"/>
        <v>0</v>
      </c>
      <c r="F133" s="24">
        <f t="shared" si="114"/>
        <v>0</v>
      </c>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34"/>
      <c r="AS133" s="34"/>
      <c r="AT133" s="100"/>
      <c r="AU133" s="83">
        <f t="shared" si="99"/>
        <v>0</v>
      </c>
      <c r="AV133" s="83">
        <f t="shared" si="100"/>
        <v>0</v>
      </c>
      <c r="AW133" s="83">
        <f t="shared" si="101"/>
        <v>0</v>
      </c>
      <c r="AX133" s="83">
        <f t="shared" si="102"/>
        <v>0</v>
      </c>
    </row>
    <row r="134" spans="1:50" ht="13.2" customHeight="1" x14ac:dyDescent="0.3">
      <c r="A134" s="140" t="s">
        <v>62</v>
      </c>
      <c r="B134" s="140" t="s">
        <v>97</v>
      </c>
      <c r="C134" s="140" t="s">
        <v>5</v>
      </c>
      <c r="D134" s="36" t="s">
        <v>3</v>
      </c>
      <c r="E134" s="24">
        <f t="shared" si="114"/>
        <v>3558.6</v>
      </c>
      <c r="F134" s="24">
        <f t="shared" si="114"/>
        <v>3558.5</v>
      </c>
      <c r="G134" s="24">
        <f>F134/E134*100</f>
        <v>99.997189906142864</v>
      </c>
      <c r="H134" s="24">
        <f>H135+H136+H137+H138</f>
        <v>0</v>
      </c>
      <c r="I134" s="24"/>
      <c r="J134" s="24"/>
      <c r="K134" s="24">
        <f t="shared" ref="K134:AO134" si="178">K135+K136+K137+K138</f>
        <v>749.9</v>
      </c>
      <c r="L134" s="24">
        <f t="shared" si="178"/>
        <v>629.79999999999995</v>
      </c>
      <c r="M134" s="24">
        <f t="shared" si="127"/>
        <v>83.984531270836101</v>
      </c>
      <c r="N134" s="24">
        <f t="shared" si="178"/>
        <v>61.7</v>
      </c>
      <c r="O134" s="24">
        <f t="shared" si="178"/>
        <v>181.8</v>
      </c>
      <c r="P134" s="24">
        <f>O134/N134*100</f>
        <v>294.65153970826583</v>
      </c>
      <c r="Q134" s="24">
        <f t="shared" si="178"/>
        <v>1268.4000000000001</v>
      </c>
      <c r="R134" s="24">
        <f t="shared" si="178"/>
        <v>1268.4000000000001</v>
      </c>
      <c r="S134" s="24">
        <f>R134/Q134*100</f>
        <v>100</v>
      </c>
      <c r="T134" s="24">
        <f t="shared" si="178"/>
        <v>333.1</v>
      </c>
      <c r="U134" s="24">
        <f t="shared" si="178"/>
        <v>333.1</v>
      </c>
      <c r="V134" s="24">
        <f>U134/T134*100</f>
        <v>100</v>
      </c>
      <c r="W134" s="24">
        <f t="shared" si="178"/>
        <v>1080.1999999999998</v>
      </c>
      <c r="X134" s="24">
        <f t="shared" si="178"/>
        <v>1076.3</v>
      </c>
      <c r="Y134" s="24">
        <f>X134/W134*100</f>
        <v>99.638955748935402</v>
      </c>
      <c r="Z134" s="24">
        <f t="shared" si="178"/>
        <v>48.000000000000014</v>
      </c>
      <c r="AA134" s="24">
        <f t="shared" si="178"/>
        <v>170.3</v>
      </c>
      <c r="AB134" s="24">
        <f>AA134/Z134*100</f>
        <v>354.79166666666657</v>
      </c>
      <c r="AC134" s="24">
        <f t="shared" si="178"/>
        <v>17.3</v>
      </c>
      <c r="AD134" s="24">
        <f t="shared" si="178"/>
        <v>17.3</v>
      </c>
      <c r="AE134" s="24">
        <f>AD134/AC134*100</f>
        <v>100</v>
      </c>
      <c r="AF134" s="24">
        <f t="shared" si="178"/>
        <v>0</v>
      </c>
      <c r="AG134" s="24">
        <f t="shared" si="178"/>
        <v>0</v>
      </c>
      <c r="AH134" s="22"/>
      <c r="AI134" s="24">
        <f t="shared" si="178"/>
        <v>0</v>
      </c>
      <c r="AJ134" s="24">
        <f t="shared" si="178"/>
        <v>-118.5</v>
      </c>
      <c r="AK134" s="24"/>
      <c r="AL134" s="24">
        <f t="shared" si="178"/>
        <v>0</v>
      </c>
      <c r="AM134" s="24">
        <f t="shared" si="178"/>
        <v>0</v>
      </c>
      <c r="AN134" s="24"/>
      <c r="AO134" s="24">
        <f t="shared" si="178"/>
        <v>0</v>
      </c>
      <c r="AP134" s="24"/>
      <c r="AQ134" s="24"/>
      <c r="AR134" s="34"/>
      <c r="AS134" s="34"/>
      <c r="AT134" s="100">
        <f t="shared" si="92"/>
        <v>0.99997189906142869</v>
      </c>
      <c r="AU134" s="83">
        <f t="shared" si="99"/>
        <v>811.6</v>
      </c>
      <c r="AV134" s="83">
        <f t="shared" si="100"/>
        <v>2681.7</v>
      </c>
      <c r="AW134" s="83">
        <f t="shared" si="101"/>
        <v>65.300000000000011</v>
      </c>
      <c r="AX134" s="83">
        <f t="shared" si="102"/>
        <v>0</v>
      </c>
    </row>
    <row r="135" spans="1:50" x14ac:dyDescent="0.3">
      <c r="A135" s="140"/>
      <c r="B135" s="140"/>
      <c r="C135" s="140"/>
      <c r="D135" s="36" t="s">
        <v>21</v>
      </c>
      <c r="E135" s="24">
        <f t="shared" si="114"/>
        <v>0</v>
      </c>
      <c r="F135" s="24">
        <f t="shared" si="114"/>
        <v>0</v>
      </c>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2"/>
      <c r="AI135" s="24"/>
      <c r="AJ135" s="24"/>
      <c r="AK135" s="24"/>
      <c r="AL135" s="24"/>
      <c r="AM135" s="24"/>
      <c r="AN135" s="24"/>
      <c r="AO135" s="24"/>
      <c r="AP135" s="24"/>
      <c r="AQ135" s="24"/>
      <c r="AR135" s="34"/>
      <c r="AS135" s="34"/>
      <c r="AT135" s="100"/>
      <c r="AU135" s="83">
        <f t="shared" si="99"/>
        <v>0</v>
      </c>
      <c r="AV135" s="83">
        <f t="shared" si="100"/>
        <v>0</v>
      </c>
      <c r="AW135" s="83">
        <f t="shared" si="101"/>
        <v>0</v>
      </c>
      <c r="AX135" s="83">
        <f t="shared" si="102"/>
        <v>0</v>
      </c>
    </row>
    <row r="136" spans="1:50" ht="120" x14ac:dyDescent="0.3">
      <c r="A136" s="140"/>
      <c r="B136" s="140"/>
      <c r="C136" s="140"/>
      <c r="D136" s="36" t="s">
        <v>4</v>
      </c>
      <c r="E136" s="24">
        <f t="shared" si="114"/>
        <v>3558.6</v>
      </c>
      <c r="F136" s="24">
        <f t="shared" si="114"/>
        <v>3558.5</v>
      </c>
      <c r="G136" s="24">
        <f>F136/E136*100</f>
        <v>99.997189906142864</v>
      </c>
      <c r="H136" s="24"/>
      <c r="I136" s="24"/>
      <c r="J136" s="24"/>
      <c r="K136" s="24">
        <f>367.9+322+60</f>
        <v>749.9</v>
      </c>
      <c r="L136" s="24">
        <v>629.79999999999995</v>
      </c>
      <c r="M136" s="24">
        <f t="shared" si="127"/>
        <v>83.984531270836101</v>
      </c>
      <c r="N136" s="24">
        <f>126.9-65.2</f>
        <v>61.7</v>
      </c>
      <c r="O136" s="24">
        <v>181.8</v>
      </c>
      <c r="P136" s="24">
        <f>O136/N136*100</f>
        <v>294.65153970826583</v>
      </c>
      <c r="Q136" s="24">
        <f>300.3+968.1</f>
        <v>1268.4000000000001</v>
      </c>
      <c r="R136" s="24">
        <v>1268.4000000000001</v>
      </c>
      <c r="S136" s="24">
        <f>R136/Q136*100</f>
        <v>100</v>
      </c>
      <c r="T136" s="24">
        <v>333.1</v>
      </c>
      <c r="U136" s="24">
        <v>333.1</v>
      </c>
      <c r="V136" s="24">
        <f>U136/T136*100</f>
        <v>100</v>
      </c>
      <c r="W136" s="24">
        <f>1374.2-61.7-87.6-8.9-17.4-118.4</f>
        <v>1080.1999999999998</v>
      </c>
      <c r="X136" s="24">
        <v>1076.3</v>
      </c>
      <c r="Y136" s="24">
        <f>X136/W136*100</f>
        <v>99.638955748935402</v>
      </c>
      <c r="Z136" s="24">
        <f>170.3-122.3</f>
        <v>48.000000000000014</v>
      </c>
      <c r="AA136" s="24">
        <v>170.3</v>
      </c>
      <c r="AB136" s="24">
        <f>AA136/Z136*100</f>
        <v>354.79166666666657</v>
      </c>
      <c r="AC136" s="24">
        <v>17.3</v>
      </c>
      <c r="AD136" s="24">
        <v>17.3</v>
      </c>
      <c r="AE136" s="24">
        <f>AD136/AC136*100</f>
        <v>100</v>
      </c>
      <c r="AF136" s="24"/>
      <c r="AG136" s="24"/>
      <c r="AH136" s="22"/>
      <c r="AI136" s="24"/>
      <c r="AJ136" s="24">
        <v>-118.5</v>
      </c>
      <c r="AK136" s="24"/>
      <c r="AL136" s="24"/>
      <c r="AM136" s="24"/>
      <c r="AN136" s="24"/>
      <c r="AO136" s="24"/>
      <c r="AP136" s="25"/>
      <c r="AQ136" s="24"/>
      <c r="AR136" s="90" t="s">
        <v>164</v>
      </c>
      <c r="AS136" s="88"/>
      <c r="AT136" s="100">
        <f t="shared" si="92"/>
        <v>0.99997189906142869</v>
      </c>
      <c r="AU136" s="83">
        <f t="shared" si="99"/>
        <v>811.6</v>
      </c>
      <c r="AV136" s="83">
        <f t="shared" si="100"/>
        <v>2681.7</v>
      </c>
      <c r="AW136" s="83">
        <f t="shared" si="101"/>
        <v>65.300000000000011</v>
      </c>
      <c r="AX136" s="83">
        <f t="shared" si="102"/>
        <v>0</v>
      </c>
    </row>
    <row r="137" spans="1:50" ht="12.6" customHeight="1" x14ac:dyDescent="0.3">
      <c r="A137" s="140"/>
      <c r="B137" s="140"/>
      <c r="C137" s="140"/>
      <c r="D137" s="36" t="s">
        <v>44</v>
      </c>
      <c r="E137" s="24">
        <f t="shared" si="114"/>
        <v>0</v>
      </c>
      <c r="F137" s="24">
        <f t="shared" si="114"/>
        <v>0</v>
      </c>
      <c r="G137" s="24"/>
      <c r="H137" s="24"/>
      <c r="I137" s="24"/>
      <c r="J137" s="22"/>
      <c r="K137" s="24"/>
      <c r="L137" s="24"/>
      <c r="M137" s="24"/>
      <c r="N137" s="24"/>
      <c r="O137" s="24"/>
      <c r="P137" s="24"/>
      <c r="Q137" s="24"/>
      <c r="R137" s="24"/>
      <c r="S137" s="22"/>
      <c r="T137" s="24"/>
      <c r="U137" s="24"/>
      <c r="V137" s="24"/>
      <c r="W137" s="24"/>
      <c r="X137" s="24"/>
      <c r="Y137" s="22"/>
      <c r="Z137" s="24"/>
      <c r="AA137" s="24"/>
      <c r="AB137" s="22"/>
      <c r="AC137" s="24"/>
      <c r="AD137" s="24"/>
      <c r="AE137" s="22"/>
      <c r="AF137" s="24"/>
      <c r="AG137" s="24"/>
      <c r="AH137" s="22"/>
      <c r="AI137" s="24"/>
      <c r="AJ137" s="24"/>
      <c r="AK137" s="22"/>
      <c r="AL137" s="24"/>
      <c r="AM137" s="24"/>
      <c r="AN137" s="22"/>
      <c r="AO137" s="24"/>
      <c r="AP137" s="25"/>
      <c r="AQ137" s="22"/>
      <c r="AR137" s="34"/>
      <c r="AS137" s="34"/>
      <c r="AT137" s="100"/>
      <c r="AU137" s="83">
        <f t="shared" si="99"/>
        <v>0</v>
      </c>
      <c r="AV137" s="83">
        <f t="shared" si="100"/>
        <v>0</v>
      </c>
      <c r="AW137" s="83">
        <f t="shared" si="101"/>
        <v>0</v>
      </c>
      <c r="AX137" s="83">
        <f t="shared" si="102"/>
        <v>0</v>
      </c>
    </row>
    <row r="138" spans="1:50" ht="12.6" customHeight="1" thickBot="1" x14ac:dyDescent="0.35">
      <c r="A138" s="140"/>
      <c r="B138" s="140"/>
      <c r="C138" s="140"/>
      <c r="D138" s="36" t="s">
        <v>22</v>
      </c>
      <c r="E138" s="24">
        <f t="shared" si="114"/>
        <v>0</v>
      </c>
      <c r="F138" s="24">
        <f t="shared" si="114"/>
        <v>0</v>
      </c>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5"/>
      <c r="AQ138" s="25"/>
      <c r="AR138" s="34"/>
      <c r="AS138" s="34"/>
      <c r="AT138" s="100"/>
      <c r="AU138" s="83">
        <f t="shared" si="99"/>
        <v>0</v>
      </c>
      <c r="AV138" s="83">
        <f t="shared" si="100"/>
        <v>0</v>
      </c>
      <c r="AW138" s="83">
        <f t="shared" si="101"/>
        <v>0</v>
      </c>
      <c r="AX138" s="83">
        <f t="shared" si="102"/>
        <v>0</v>
      </c>
    </row>
    <row r="139" spans="1:50" ht="13.2" customHeight="1" x14ac:dyDescent="0.3">
      <c r="A139" s="140" t="s">
        <v>136</v>
      </c>
      <c r="B139" s="149" t="s">
        <v>138</v>
      </c>
      <c r="C139" s="140" t="s">
        <v>5</v>
      </c>
      <c r="D139" s="36" t="s">
        <v>3</v>
      </c>
      <c r="E139" s="24">
        <f t="shared" ref="E139:F153" si="179">H139+K139+N139+Q139+T139+W139+Z139+AC139+AF139+AI139+AL139+AO139</f>
        <v>0</v>
      </c>
      <c r="F139" s="24">
        <f t="shared" si="179"/>
        <v>0</v>
      </c>
      <c r="G139" s="24"/>
      <c r="H139" s="24">
        <f>H140+H141+H142+H143</f>
        <v>0</v>
      </c>
      <c r="I139" s="24"/>
      <c r="J139" s="22"/>
      <c r="K139" s="24">
        <f t="shared" ref="K139:L139" si="180">K140+K141+K142+K143</f>
        <v>0</v>
      </c>
      <c r="L139" s="24">
        <f t="shared" si="180"/>
        <v>0</v>
      </c>
      <c r="M139" s="24"/>
      <c r="N139" s="24">
        <f t="shared" ref="N139:O139" si="181">N140+N141+N142+N143</f>
        <v>0</v>
      </c>
      <c r="O139" s="24">
        <f t="shared" si="181"/>
        <v>0</v>
      </c>
      <c r="P139" s="24"/>
      <c r="Q139" s="24">
        <f t="shared" ref="Q139:R139" si="182">Q140+Q141+Q142+Q143</f>
        <v>0</v>
      </c>
      <c r="R139" s="24">
        <f t="shared" si="182"/>
        <v>0</v>
      </c>
      <c r="S139" s="24"/>
      <c r="T139" s="24">
        <f t="shared" ref="T139:U139" si="183">T140+T141+T142+T143</f>
        <v>0</v>
      </c>
      <c r="U139" s="24">
        <f t="shared" si="183"/>
        <v>0</v>
      </c>
      <c r="V139" s="24"/>
      <c r="W139" s="24">
        <f t="shared" ref="W139:X139" si="184">W140+W141+W142+W143</f>
        <v>0</v>
      </c>
      <c r="X139" s="24">
        <f t="shared" si="184"/>
        <v>0</v>
      </c>
      <c r="Y139" s="24"/>
      <c r="Z139" s="24">
        <f t="shared" ref="Z139:AA139" si="185">Z140+Z141+Z142+Z143</f>
        <v>0</v>
      </c>
      <c r="AA139" s="24">
        <f t="shared" si="185"/>
        <v>0</v>
      </c>
      <c r="AB139" s="24"/>
      <c r="AC139" s="24">
        <f t="shared" ref="AC139:AD139" si="186">AC140+AC141+AC142+AC143</f>
        <v>0</v>
      </c>
      <c r="AD139" s="24">
        <f t="shared" si="186"/>
        <v>0</v>
      </c>
      <c r="AE139" s="24"/>
      <c r="AF139" s="24">
        <f t="shared" ref="AF139" si="187">AF140+AF141+AF142+AF143</f>
        <v>0</v>
      </c>
      <c r="AG139" s="24"/>
      <c r="AH139" s="22"/>
      <c r="AI139" s="24">
        <f t="shared" ref="AI139:AJ139" si="188">AI140+AI141+AI142+AI143</f>
        <v>0</v>
      </c>
      <c r="AJ139" s="24">
        <f t="shared" si="188"/>
        <v>0</v>
      </c>
      <c r="AK139" s="24"/>
      <c r="AL139" s="24">
        <f t="shared" ref="AL139:AM139" si="189">AL140+AL141+AL142+AL143</f>
        <v>0</v>
      </c>
      <c r="AM139" s="24">
        <f t="shared" si="189"/>
        <v>0</v>
      </c>
      <c r="AN139" s="24"/>
      <c r="AO139" s="24">
        <f t="shared" ref="AO139" si="190">AO140+AO141+AO142+AO143</f>
        <v>0</v>
      </c>
      <c r="AP139" s="24"/>
      <c r="AQ139" s="22"/>
      <c r="AR139" s="34"/>
      <c r="AS139" s="34"/>
      <c r="AT139" s="100"/>
      <c r="AU139" s="83">
        <f t="shared" si="99"/>
        <v>0</v>
      </c>
      <c r="AV139" s="83">
        <f t="shared" si="100"/>
        <v>0</v>
      </c>
      <c r="AW139" s="83">
        <f t="shared" si="101"/>
        <v>0</v>
      </c>
      <c r="AX139" s="83">
        <f t="shared" si="102"/>
        <v>0</v>
      </c>
    </row>
    <row r="140" spans="1:50" x14ac:dyDescent="0.3">
      <c r="A140" s="140"/>
      <c r="B140" s="144"/>
      <c r="C140" s="140"/>
      <c r="D140" s="36" t="s">
        <v>21</v>
      </c>
      <c r="E140" s="24">
        <f t="shared" si="179"/>
        <v>0</v>
      </c>
      <c r="F140" s="24">
        <f t="shared" si="179"/>
        <v>0</v>
      </c>
      <c r="G140" s="24"/>
      <c r="H140" s="24"/>
      <c r="I140" s="24"/>
      <c r="J140" s="22"/>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2"/>
      <c r="AI140" s="24"/>
      <c r="AJ140" s="24"/>
      <c r="AK140" s="24"/>
      <c r="AL140" s="24"/>
      <c r="AM140" s="24"/>
      <c r="AN140" s="24"/>
      <c r="AO140" s="24"/>
      <c r="AP140" s="24"/>
      <c r="AQ140" s="22"/>
      <c r="AR140" s="34"/>
      <c r="AS140" s="34"/>
      <c r="AT140" s="100"/>
      <c r="AU140" s="83">
        <f t="shared" si="99"/>
        <v>0</v>
      </c>
      <c r="AV140" s="83">
        <f t="shared" si="100"/>
        <v>0</v>
      </c>
      <c r="AW140" s="83">
        <f t="shared" si="101"/>
        <v>0</v>
      </c>
      <c r="AX140" s="83">
        <f t="shared" si="102"/>
        <v>0</v>
      </c>
    </row>
    <row r="141" spans="1:50" ht="23.4" customHeight="1" x14ac:dyDescent="0.3">
      <c r="A141" s="140"/>
      <c r="B141" s="144"/>
      <c r="C141" s="140"/>
      <c r="D141" s="36" t="s">
        <v>4</v>
      </c>
      <c r="E141" s="24">
        <f t="shared" si="179"/>
        <v>0</v>
      </c>
      <c r="F141" s="24">
        <f t="shared" si="179"/>
        <v>0</v>
      </c>
      <c r="G141" s="24"/>
      <c r="H141" s="24"/>
      <c r="I141" s="24"/>
      <c r="J141" s="22"/>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2"/>
      <c r="AI141" s="24"/>
      <c r="AJ141" s="24"/>
      <c r="AK141" s="24"/>
      <c r="AL141" s="24"/>
      <c r="AM141" s="24"/>
      <c r="AN141" s="24"/>
      <c r="AO141" s="24"/>
      <c r="AP141" s="25"/>
      <c r="AQ141" s="22"/>
      <c r="AR141" s="90"/>
      <c r="AS141" s="88"/>
      <c r="AT141" s="100"/>
      <c r="AU141" s="85">
        <f t="shared" si="99"/>
        <v>0</v>
      </c>
      <c r="AV141" s="83">
        <f t="shared" si="100"/>
        <v>0</v>
      </c>
      <c r="AW141" s="85">
        <f t="shared" si="101"/>
        <v>0</v>
      </c>
      <c r="AX141" s="86">
        <f t="shared" si="102"/>
        <v>0</v>
      </c>
    </row>
    <row r="142" spans="1:50" x14ac:dyDescent="0.3">
      <c r="A142" s="140"/>
      <c r="B142" s="144"/>
      <c r="C142" s="140"/>
      <c r="D142" s="36" t="s">
        <v>44</v>
      </c>
      <c r="E142" s="24">
        <f t="shared" si="179"/>
        <v>0</v>
      </c>
      <c r="F142" s="24">
        <f t="shared" si="179"/>
        <v>0</v>
      </c>
      <c r="G142" s="24"/>
      <c r="H142" s="24"/>
      <c r="I142" s="24"/>
      <c r="J142" s="22"/>
      <c r="K142" s="24"/>
      <c r="L142" s="24"/>
      <c r="M142" s="24"/>
      <c r="N142" s="24"/>
      <c r="O142" s="24"/>
      <c r="P142" s="24"/>
      <c r="Q142" s="24"/>
      <c r="R142" s="24"/>
      <c r="S142" s="22"/>
      <c r="T142" s="24"/>
      <c r="U142" s="24"/>
      <c r="V142" s="24"/>
      <c r="W142" s="24"/>
      <c r="X142" s="24"/>
      <c r="Y142" s="22"/>
      <c r="Z142" s="24"/>
      <c r="AA142" s="24"/>
      <c r="AB142" s="22"/>
      <c r="AC142" s="24"/>
      <c r="AD142" s="24"/>
      <c r="AE142" s="24"/>
      <c r="AF142" s="24"/>
      <c r="AG142" s="24"/>
      <c r="AH142" s="22"/>
      <c r="AI142" s="24"/>
      <c r="AJ142" s="24"/>
      <c r="AK142" s="22"/>
      <c r="AL142" s="24"/>
      <c r="AM142" s="24"/>
      <c r="AN142" s="22"/>
      <c r="AO142" s="24"/>
      <c r="AP142" s="25"/>
      <c r="AQ142" s="22"/>
      <c r="AR142" s="90"/>
      <c r="AS142" s="34"/>
      <c r="AT142" s="100"/>
      <c r="AU142" s="83">
        <f t="shared" si="99"/>
        <v>0</v>
      </c>
      <c r="AV142" s="83">
        <f t="shared" si="100"/>
        <v>0</v>
      </c>
      <c r="AW142" s="83">
        <f t="shared" si="101"/>
        <v>0</v>
      </c>
      <c r="AX142" s="83">
        <f t="shared" si="102"/>
        <v>0</v>
      </c>
    </row>
    <row r="143" spans="1:50" ht="15.75" customHeight="1" thickBot="1" x14ac:dyDescent="0.35">
      <c r="A143" s="140"/>
      <c r="B143" s="150"/>
      <c r="C143" s="140"/>
      <c r="D143" s="36" t="s">
        <v>22</v>
      </c>
      <c r="E143" s="24">
        <f t="shared" si="179"/>
        <v>0</v>
      </c>
      <c r="F143" s="24">
        <f t="shared" si="179"/>
        <v>0</v>
      </c>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5"/>
      <c r="AQ143" s="25"/>
      <c r="AR143" s="34"/>
      <c r="AS143" s="34"/>
      <c r="AT143" s="100"/>
      <c r="AU143" s="83">
        <f t="shared" si="99"/>
        <v>0</v>
      </c>
      <c r="AV143" s="83">
        <f t="shared" si="100"/>
        <v>0</v>
      </c>
      <c r="AW143" s="83">
        <f t="shared" si="101"/>
        <v>0</v>
      </c>
      <c r="AX143" s="83">
        <f t="shared" si="102"/>
        <v>0</v>
      </c>
    </row>
    <row r="144" spans="1:50" ht="13.2" customHeight="1" x14ac:dyDescent="0.3">
      <c r="A144" s="140" t="s">
        <v>137</v>
      </c>
      <c r="B144" s="149" t="s">
        <v>139</v>
      </c>
      <c r="C144" s="140" t="s">
        <v>5</v>
      </c>
      <c r="D144" s="36" t="s">
        <v>3</v>
      </c>
      <c r="E144" s="24">
        <f t="shared" si="179"/>
        <v>0</v>
      </c>
      <c r="F144" s="24">
        <f t="shared" si="179"/>
        <v>0</v>
      </c>
      <c r="G144" s="24"/>
      <c r="H144" s="24">
        <f>H145+H146+H147+H148</f>
        <v>0</v>
      </c>
      <c r="I144" s="24"/>
      <c r="J144" s="22"/>
      <c r="K144" s="24">
        <f t="shared" ref="K144:L144" si="191">K145+K146+K147+K148</f>
        <v>0</v>
      </c>
      <c r="L144" s="24">
        <f t="shared" si="191"/>
        <v>0</v>
      </c>
      <c r="M144" s="24"/>
      <c r="N144" s="24">
        <f t="shared" ref="N144:O144" si="192">N145+N146+N147+N148</f>
        <v>0</v>
      </c>
      <c r="O144" s="24">
        <f t="shared" si="192"/>
        <v>0</v>
      </c>
      <c r="P144" s="24"/>
      <c r="Q144" s="24">
        <f t="shared" ref="Q144:R144" si="193">Q145+Q146+Q147+Q148</f>
        <v>0</v>
      </c>
      <c r="R144" s="24">
        <f t="shared" si="193"/>
        <v>0</v>
      </c>
      <c r="S144" s="24"/>
      <c r="T144" s="24">
        <f t="shared" ref="T144:U144" si="194">T145+T146+T147+T148</f>
        <v>0</v>
      </c>
      <c r="U144" s="24">
        <f t="shared" si="194"/>
        <v>0</v>
      </c>
      <c r="V144" s="24"/>
      <c r="W144" s="24">
        <f t="shared" ref="W144:X144" si="195">W145+W146+W147+W148</f>
        <v>0</v>
      </c>
      <c r="X144" s="24">
        <f t="shared" si="195"/>
        <v>0</v>
      </c>
      <c r="Y144" s="24"/>
      <c r="Z144" s="24">
        <f t="shared" ref="Z144:AA144" si="196">Z145+Z146+Z147+Z148</f>
        <v>0</v>
      </c>
      <c r="AA144" s="24">
        <f t="shared" si="196"/>
        <v>0</v>
      </c>
      <c r="AB144" s="24"/>
      <c r="AC144" s="24">
        <f t="shared" ref="AC144:AD144" si="197">AC145+AC146+AC147+AC148</f>
        <v>0</v>
      </c>
      <c r="AD144" s="24">
        <f t="shared" si="197"/>
        <v>0</v>
      </c>
      <c r="AE144" s="24"/>
      <c r="AF144" s="24">
        <f t="shared" ref="AF144:AG144" si="198">AF145+AF146+AF147+AF148</f>
        <v>0</v>
      </c>
      <c r="AG144" s="24">
        <f t="shared" si="198"/>
        <v>0</v>
      </c>
      <c r="AH144" s="24"/>
      <c r="AI144" s="24">
        <f t="shared" ref="AI144:AJ144" si="199">AI145+AI146+AI147+AI148</f>
        <v>0</v>
      </c>
      <c r="AJ144" s="24">
        <f t="shared" si="199"/>
        <v>0</v>
      </c>
      <c r="AK144" s="24"/>
      <c r="AL144" s="24">
        <f t="shared" ref="AL144:AM144" si="200">AL145+AL146+AL147+AL148</f>
        <v>0</v>
      </c>
      <c r="AM144" s="24">
        <f t="shared" si="200"/>
        <v>0</v>
      </c>
      <c r="AN144" s="24"/>
      <c r="AO144" s="24">
        <f t="shared" ref="AO144" si="201">AO145+AO146+AO147+AO148</f>
        <v>0</v>
      </c>
      <c r="AP144" s="24"/>
      <c r="AQ144" s="22"/>
      <c r="AR144" s="34"/>
      <c r="AS144" s="34"/>
      <c r="AT144" s="100"/>
      <c r="AU144" s="83">
        <f t="shared" si="99"/>
        <v>0</v>
      </c>
      <c r="AV144" s="83">
        <f t="shared" si="100"/>
        <v>0</v>
      </c>
      <c r="AW144" s="83">
        <f t="shared" si="101"/>
        <v>0</v>
      </c>
      <c r="AX144" s="83">
        <f t="shared" si="102"/>
        <v>0</v>
      </c>
    </row>
    <row r="145" spans="1:50" ht="14.4" customHeight="1" x14ac:dyDescent="0.3">
      <c r="A145" s="140"/>
      <c r="B145" s="144"/>
      <c r="C145" s="140"/>
      <c r="D145" s="36" t="s">
        <v>21</v>
      </c>
      <c r="E145" s="24">
        <f t="shared" si="179"/>
        <v>0</v>
      </c>
      <c r="F145" s="24">
        <f t="shared" si="179"/>
        <v>0</v>
      </c>
      <c r="G145" s="24"/>
      <c r="H145" s="24"/>
      <c r="I145" s="24"/>
      <c r="J145" s="22"/>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2"/>
      <c r="AR145" s="88"/>
      <c r="AS145" s="34"/>
      <c r="AT145" s="100"/>
      <c r="AU145" s="83">
        <f t="shared" si="99"/>
        <v>0</v>
      </c>
      <c r="AV145" s="83">
        <f t="shared" si="100"/>
        <v>0</v>
      </c>
      <c r="AW145" s="83">
        <f t="shared" si="101"/>
        <v>0</v>
      </c>
      <c r="AX145" s="83">
        <f t="shared" si="102"/>
        <v>0</v>
      </c>
    </row>
    <row r="146" spans="1:50" ht="27" customHeight="1" x14ac:dyDescent="0.3">
      <c r="A146" s="140"/>
      <c r="B146" s="144"/>
      <c r="C146" s="140"/>
      <c r="D146" s="36" t="s">
        <v>4</v>
      </c>
      <c r="E146" s="24">
        <f t="shared" si="179"/>
        <v>0</v>
      </c>
      <c r="F146" s="24">
        <f t="shared" si="179"/>
        <v>0</v>
      </c>
      <c r="G146" s="24"/>
      <c r="H146" s="24"/>
      <c r="I146" s="24"/>
      <c r="J146" s="22"/>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5"/>
      <c r="AQ146" s="22"/>
      <c r="AR146" s="88"/>
      <c r="AS146" s="88"/>
      <c r="AT146" s="100"/>
      <c r="AU146" s="85">
        <f t="shared" si="99"/>
        <v>0</v>
      </c>
      <c r="AV146" s="83">
        <f t="shared" si="100"/>
        <v>0</v>
      </c>
      <c r="AW146" s="83">
        <f t="shared" si="101"/>
        <v>0</v>
      </c>
      <c r="AX146" s="83">
        <f t="shared" si="102"/>
        <v>0</v>
      </c>
    </row>
    <row r="147" spans="1:50" ht="14.4" customHeight="1" x14ac:dyDescent="0.3">
      <c r="A147" s="140"/>
      <c r="B147" s="144"/>
      <c r="C147" s="140"/>
      <c r="D147" s="36" t="s">
        <v>44</v>
      </c>
      <c r="E147" s="24">
        <f t="shared" si="179"/>
        <v>0</v>
      </c>
      <c r="F147" s="24">
        <f t="shared" si="179"/>
        <v>0</v>
      </c>
      <c r="G147" s="24"/>
      <c r="H147" s="24"/>
      <c r="I147" s="24"/>
      <c r="J147" s="22"/>
      <c r="K147" s="24"/>
      <c r="L147" s="24"/>
      <c r="M147" s="24"/>
      <c r="N147" s="24"/>
      <c r="O147" s="24"/>
      <c r="P147" s="24"/>
      <c r="Q147" s="24"/>
      <c r="R147" s="24"/>
      <c r="S147" s="22"/>
      <c r="T147" s="24">
        <f>477-477</f>
        <v>0</v>
      </c>
      <c r="U147" s="24"/>
      <c r="V147" s="24"/>
      <c r="W147" s="24"/>
      <c r="X147" s="24"/>
      <c r="Y147" s="22"/>
      <c r="Z147" s="24"/>
      <c r="AA147" s="24"/>
      <c r="AB147" s="22"/>
      <c r="AC147" s="24"/>
      <c r="AD147" s="24"/>
      <c r="AE147" s="22"/>
      <c r="AF147" s="24"/>
      <c r="AG147" s="24"/>
      <c r="AH147" s="24"/>
      <c r="AI147" s="24"/>
      <c r="AJ147" s="24"/>
      <c r="AK147" s="24"/>
      <c r="AL147" s="24"/>
      <c r="AM147" s="24"/>
      <c r="AN147" s="22"/>
      <c r="AO147" s="24"/>
      <c r="AP147" s="25"/>
      <c r="AQ147" s="22"/>
      <c r="AR147" s="88"/>
      <c r="AS147" s="34"/>
      <c r="AT147" s="100"/>
      <c r="AU147" s="83">
        <f t="shared" si="99"/>
        <v>0</v>
      </c>
      <c r="AV147" s="83">
        <f t="shared" si="100"/>
        <v>0</v>
      </c>
      <c r="AW147" s="83">
        <f t="shared" si="101"/>
        <v>0</v>
      </c>
      <c r="AX147" s="83">
        <f t="shared" si="102"/>
        <v>0</v>
      </c>
    </row>
    <row r="148" spans="1:50" ht="12" customHeight="1" thickBot="1" x14ac:dyDescent="0.35">
      <c r="A148" s="140"/>
      <c r="B148" s="150"/>
      <c r="C148" s="140"/>
      <c r="D148" s="36" t="s">
        <v>22</v>
      </c>
      <c r="E148" s="24">
        <f t="shared" si="179"/>
        <v>0</v>
      </c>
      <c r="F148" s="24">
        <f t="shared" si="179"/>
        <v>0</v>
      </c>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5"/>
      <c r="AQ148" s="25"/>
      <c r="AR148" s="34"/>
      <c r="AS148" s="34"/>
      <c r="AT148" s="100"/>
      <c r="AU148" s="83">
        <f t="shared" si="99"/>
        <v>0</v>
      </c>
      <c r="AV148" s="83">
        <f t="shared" si="100"/>
        <v>0</v>
      </c>
      <c r="AW148" s="83">
        <f t="shared" si="101"/>
        <v>0</v>
      </c>
      <c r="AX148" s="83">
        <f t="shared" si="102"/>
        <v>0</v>
      </c>
    </row>
    <row r="149" spans="1:50" ht="13.2" customHeight="1" x14ac:dyDescent="0.3">
      <c r="A149" s="148" t="s">
        <v>10</v>
      </c>
      <c r="B149" s="148"/>
      <c r="C149" s="148"/>
      <c r="D149" s="37" t="s">
        <v>3</v>
      </c>
      <c r="E149" s="38">
        <f t="shared" si="179"/>
        <v>771251.09999999986</v>
      </c>
      <c r="F149" s="38">
        <f t="shared" si="179"/>
        <v>770990.9</v>
      </c>
      <c r="G149" s="38">
        <f>F149/E149*100</f>
        <v>99.966262608896145</v>
      </c>
      <c r="H149" s="38">
        <f>H151+H150+H152+H153</f>
        <v>16565.900000000001</v>
      </c>
      <c r="I149" s="38">
        <f>I151+I150+I152+I153</f>
        <v>16565.900000000001</v>
      </c>
      <c r="J149" s="38">
        <f>I149/H149*100</f>
        <v>100</v>
      </c>
      <c r="K149" s="38">
        <f t="shared" ref="K149:AO149" si="202">K151+K150+K152+K153</f>
        <v>69453.7</v>
      </c>
      <c r="L149" s="38">
        <f t="shared" si="202"/>
        <v>71102.100000000006</v>
      </c>
      <c r="M149" s="38">
        <f t="shared" ref="M149:M152" si="203">L149/K149*100</f>
        <v>102.37337967595681</v>
      </c>
      <c r="N149" s="38">
        <f t="shared" si="202"/>
        <v>61057.2</v>
      </c>
      <c r="O149" s="38">
        <f t="shared" si="202"/>
        <v>59408.799999999996</v>
      </c>
      <c r="P149" s="38">
        <f t="shared" ref="P149:P152" si="204">O149/N149*100</f>
        <v>97.300236499544695</v>
      </c>
      <c r="Q149" s="38">
        <f t="shared" si="202"/>
        <v>92632.799999999988</v>
      </c>
      <c r="R149" s="38">
        <f t="shared" si="202"/>
        <v>92632.799999999988</v>
      </c>
      <c r="S149" s="38">
        <f>R149/Q149*100</f>
        <v>100</v>
      </c>
      <c r="T149" s="38">
        <f t="shared" si="202"/>
        <v>69917.8</v>
      </c>
      <c r="U149" s="38">
        <f t="shared" si="202"/>
        <v>69917.8</v>
      </c>
      <c r="V149" s="38">
        <f>U149/T149*100</f>
        <v>100</v>
      </c>
      <c r="W149" s="38">
        <f t="shared" si="202"/>
        <v>121001.3</v>
      </c>
      <c r="X149" s="38">
        <f t="shared" si="202"/>
        <v>120997.40000000001</v>
      </c>
      <c r="Y149" s="38">
        <f>X149/W149*100</f>
        <v>99.996776894132537</v>
      </c>
      <c r="Z149" s="38">
        <f t="shared" si="202"/>
        <v>61874.8</v>
      </c>
      <c r="AA149" s="38">
        <f t="shared" si="202"/>
        <v>61797.100000000006</v>
      </c>
      <c r="AB149" s="38">
        <f>AA149/Z149*100</f>
        <v>99.874423836521501</v>
      </c>
      <c r="AC149" s="38">
        <f t="shared" si="202"/>
        <v>28083.9</v>
      </c>
      <c r="AD149" s="38">
        <f t="shared" si="202"/>
        <v>29783.9</v>
      </c>
      <c r="AE149" s="38">
        <f>AD149/AC149*100</f>
        <v>106.05329031936448</v>
      </c>
      <c r="AF149" s="38">
        <f t="shared" si="202"/>
        <v>36948.399999999994</v>
      </c>
      <c r="AG149" s="38">
        <f t="shared" si="202"/>
        <v>35452.400000000001</v>
      </c>
      <c r="AH149" s="38">
        <f>AG149/AF149*100</f>
        <v>95.951110196923295</v>
      </c>
      <c r="AI149" s="38">
        <f t="shared" si="202"/>
        <v>61138.399999999994</v>
      </c>
      <c r="AJ149" s="38">
        <f t="shared" si="202"/>
        <v>59665.899999999994</v>
      </c>
      <c r="AK149" s="38">
        <f>AJ149/AI149*100</f>
        <v>97.591530036769029</v>
      </c>
      <c r="AL149" s="38">
        <f t="shared" si="202"/>
        <v>57728.200000000004</v>
      </c>
      <c r="AM149" s="38">
        <f t="shared" si="202"/>
        <v>56348.2</v>
      </c>
      <c r="AN149" s="38">
        <f>AM149/AL149*100</f>
        <v>97.609487217685626</v>
      </c>
      <c r="AO149" s="38">
        <f t="shared" si="202"/>
        <v>94848.700000000012</v>
      </c>
      <c r="AP149" s="38">
        <f t="shared" ref="AP149" si="205">AP151+AP150+AP152+AP153</f>
        <v>97318.6</v>
      </c>
      <c r="AQ149" s="38">
        <f>AP149/AO149*100</f>
        <v>102.60404201639031</v>
      </c>
      <c r="AR149" s="34"/>
      <c r="AS149" s="34"/>
      <c r="AT149" s="100">
        <f t="shared" ref="AT149:AT204" si="206">(I149+L149+O149+R149+U149+X149+AA149+AD149+AG149+AJ149+AM149+AP149)/(H149+K149+N149+Q149+T149+W149+Z149+AC149+AF149+AI149+AL149+AO149)</f>
        <v>0.99966262608896139</v>
      </c>
      <c r="AU149" s="84">
        <f t="shared" si="99"/>
        <v>147076.79999999999</v>
      </c>
      <c r="AV149" s="84">
        <f t="shared" si="100"/>
        <v>283551.89999999997</v>
      </c>
      <c r="AW149" s="84">
        <f t="shared" si="101"/>
        <v>126907.1</v>
      </c>
      <c r="AX149" s="84">
        <f t="shared" si="102"/>
        <v>213715.30000000002</v>
      </c>
    </row>
    <row r="150" spans="1:50" ht="12.75" customHeight="1" x14ac:dyDescent="0.3">
      <c r="A150" s="148"/>
      <c r="B150" s="148"/>
      <c r="C150" s="148"/>
      <c r="D150" s="37" t="s">
        <v>21</v>
      </c>
      <c r="E150" s="38">
        <f t="shared" si="179"/>
        <v>32275</v>
      </c>
      <c r="F150" s="38">
        <f t="shared" si="179"/>
        <v>32183.7</v>
      </c>
      <c r="G150" s="38">
        <f>F150/E150*100</f>
        <v>99.717118512780786</v>
      </c>
      <c r="H150" s="38">
        <f t="shared" ref="H150:I153" si="207">H85+H90+H95+H100+H105+H110+H115+H125+H130+H135+H140+H145</f>
        <v>0</v>
      </c>
      <c r="I150" s="38">
        <f t="shared" si="207"/>
        <v>0</v>
      </c>
      <c r="J150" s="38"/>
      <c r="K150" s="38">
        <f t="shared" ref="K150:L153" si="208">K85+K90+K95+K100+K105+K110+K115+K125+K130+K135+K140+K145</f>
        <v>5268.1</v>
      </c>
      <c r="L150" s="38">
        <f t="shared" si="208"/>
        <v>5268.1</v>
      </c>
      <c r="M150" s="38">
        <f t="shared" si="203"/>
        <v>100</v>
      </c>
      <c r="N150" s="38">
        <f t="shared" ref="N150:O153" si="209">N85+N90+N95+N100+N105+N110+N115+N125+N130+N135+N140+N145</f>
        <v>2699.6</v>
      </c>
      <c r="O150" s="38">
        <f t="shared" si="209"/>
        <v>2699.6</v>
      </c>
      <c r="P150" s="38">
        <f t="shared" si="204"/>
        <v>100</v>
      </c>
      <c r="Q150" s="38">
        <f t="shared" ref="Q150:R153" si="210">Q85+Q90+Q95+Q100+Q105+Q110+Q115+Q125+Q130+Q135+Q140+Q145</f>
        <v>2647.3</v>
      </c>
      <c r="R150" s="38">
        <f t="shared" si="210"/>
        <v>2647.3</v>
      </c>
      <c r="S150" s="38">
        <f>R150/Q150*100</f>
        <v>100</v>
      </c>
      <c r="T150" s="38">
        <f t="shared" ref="T150:U153" si="211">T85+T90+T95+T100+T105+T110+T115+T125+T130+T135+T140+T145</f>
        <v>4307.1000000000004</v>
      </c>
      <c r="U150" s="38">
        <f t="shared" si="211"/>
        <v>4307.1000000000004</v>
      </c>
      <c r="V150" s="38">
        <f>U150/T150*100</f>
        <v>100</v>
      </c>
      <c r="W150" s="38">
        <f t="shared" ref="W150:X153" si="212">W85+W90+W95+W100+W105+W110+W115+W125+W130+W135+W140+W145</f>
        <v>6100.8</v>
      </c>
      <c r="X150" s="38">
        <f t="shared" si="212"/>
        <v>6100.8</v>
      </c>
      <c r="Y150" s="38">
        <f>X150/W150*100</f>
        <v>100</v>
      </c>
      <c r="Z150" s="38">
        <f t="shared" ref="Z150:AA153" si="213">Z85+Z90+Z95+Z100+Z105+Z110+Z115+Z125+Z130+Z135+Z140+Z145</f>
        <v>0</v>
      </c>
      <c r="AA150" s="38">
        <f t="shared" si="213"/>
        <v>0</v>
      </c>
      <c r="AB150" s="38"/>
      <c r="AC150" s="38">
        <f t="shared" ref="AC150:AD153" si="214">AC85+AC90+AC95+AC100+AC105+AC110+AC115+AC125+AC130+AC135+AC140+AC145</f>
        <v>546.70000000000005</v>
      </c>
      <c r="AD150" s="38">
        <f t="shared" si="214"/>
        <v>546.70000000000005</v>
      </c>
      <c r="AE150" s="38">
        <f>AD150/AC150*100</f>
        <v>100</v>
      </c>
      <c r="AF150" s="38">
        <f t="shared" ref="AF150:AG153" si="215">AF85+AF90+AF95+AF100+AF105+AF110+AF115+AF125+AF130+AF135+AF140+AF145</f>
        <v>2615</v>
      </c>
      <c r="AG150" s="38">
        <f t="shared" si="215"/>
        <v>2615</v>
      </c>
      <c r="AH150" s="38">
        <f>AG150/AF150*100</f>
        <v>100</v>
      </c>
      <c r="AI150" s="38">
        <f t="shared" ref="AI150:AJ153" si="216">AI85+AI90+AI95+AI100+AI105+AI110+AI115+AI125+AI130+AI135+AI140+AI145</f>
        <v>2761.1</v>
      </c>
      <c r="AJ150" s="38">
        <f t="shared" si="216"/>
        <v>2622.1</v>
      </c>
      <c r="AK150" s="38">
        <f>AJ150/AI150*100</f>
        <v>94.965774510158994</v>
      </c>
      <c r="AL150" s="38">
        <f t="shared" ref="AL150:AM153" si="217">AL85+AL90+AL95+AL100+AL105+AL110+AL115+AL125+AL130+AL135+AL140+AL145</f>
        <v>2804.3</v>
      </c>
      <c r="AM150" s="38">
        <f t="shared" si="217"/>
        <v>2629.9</v>
      </c>
      <c r="AN150" s="38">
        <f>AM150/AL150*100</f>
        <v>93.78097921049816</v>
      </c>
      <c r="AO150" s="38">
        <f t="shared" ref="AO150:AP152" si="218">AO85+AO90+AO95+AO100+AO105+AO110+AO115+AO125+AO130+AO135+AO140+AO145</f>
        <v>2525</v>
      </c>
      <c r="AP150" s="38">
        <f t="shared" si="218"/>
        <v>2747.1</v>
      </c>
      <c r="AQ150" s="38">
        <f>AP150/AO150*100</f>
        <v>108.79603960396038</v>
      </c>
      <c r="AR150" s="34"/>
      <c r="AS150" s="34"/>
      <c r="AT150" s="100">
        <f t="shared" si="206"/>
        <v>0.99717118512780789</v>
      </c>
      <c r="AU150" s="84">
        <f t="shared" si="99"/>
        <v>7967.7000000000007</v>
      </c>
      <c r="AV150" s="84">
        <f t="shared" si="100"/>
        <v>13055.2</v>
      </c>
      <c r="AW150" s="84">
        <f t="shared" si="101"/>
        <v>3161.7</v>
      </c>
      <c r="AX150" s="84">
        <f t="shared" si="102"/>
        <v>8090.4</v>
      </c>
    </row>
    <row r="151" spans="1:50" ht="23.25" customHeight="1" x14ac:dyDescent="0.3">
      <c r="A151" s="148"/>
      <c r="B151" s="148"/>
      <c r="C151" s="148"/>
      <c r="D151" s="37" t="s">
        <v>4</v>
      </c>
      <c r="E151" s="38">
        <f t="shared" si="179"/>
        <v>614548.9</v>
      </c>
      <c r="F151" s="38">
        <f t="shared" si="179"/>
        <v>614548.79999999993</v>
      </c>
      <c r="G151" s="38">
        <f t="shared" ref="G151:G152" si="219">F151/E151*100</f>
        <v>99.999983727901864</v>
      </c>
      <c r="H151" s="38">
        <f t="shared" si="207"/>
        <v>14346</v>
      </c>
      <c r="I151" s="38">
        <f t="shared" si="207"/>
        <v>14346</v>
      </c>
      <c r="J151" s="38">
        <f t="shared" ref="J151:J152" si="220">I151/H151*100</f>
        <v>100</v>
      </c>
      <c r="K151" s="38">
        <f t="shared" si="208"/>
        <v>46660.4</v>
      </c>
      <c r="L151" s="38">
        <f t="shared" si="208"/>
        <v>46540.3</v>
      </c>
      <c r="M151" s="38">
        <f t="shared" si="203"/>
        <v>99.742608293113648</v>
      </c>
      <c r="N151" s="38">
        <f t="shared" si="209"/>
        <v>46756.1</v>
      </c>
      <c r="O151" s="38">
        <f t="shared" si="209"/>
        <v>46876.2</v>
      </c>
      <c r="P151" s="38">
        <f t="shared" si="204"/>
        <v>100.25686487966277</v>
      </c>
      <c r="Q151" s="38">
        <f t="shared" si="210"/>
        <v>75327.899999999994</v>
      </c>
      <c r="R151" s="38">
        <f t="shared" si="210"/>
        <v>75327.899999999994</v>
      </c>
      <c r="S151" s="38">
        <f t="shared" ref="S151:S152" si="221">R151/Q151*100</f>
        <v>100</v>
      </c>
      <c r="T151" s="38">
        <f t="shared" si="211"/>
        <v>54641.1</v>
      </c>
      <c r="U151" s="38">
        <f t="shared" si="211"/>
        <v>54641.1</v>
      </c>
      <c r="V151" s="38">
        <f t="shared" ref="V151:V152" si="222">U151/T151*100</f>
        <v>100</v>
      </c>
      <c r="W151" s="38">
        <f t="shared" si="212"/>
        <v>107465.5</v>
      </c>
      <c r="X151" s="38">
        <f t="shared" si="212"/>
        <v>107461.6</v>
      </c>
      <c r="Y151" s="38">
        <f t="shared" ref="Y151:Y152" si="223">X151/W151*100</f>
        <v>99.996370928344447</v>
      </c>
      <c r="Z151" s="38">
        <f t="shared" si="213"/>
        <v>52937.9</v>
      </c>
      <c r="AA151" s="38">
        <f t="shared" si="213"/>
        <v>52860.200000000004</v>
      </c>
      <c r="AB151" s="38">
        <f t="shared" ref="AB151:AB152" si="224">AA151/Z151*100</f>
        <v>99.853224249545221</v>
      </c>
      <c r="AC151" s="38">
        <f t="shared" si="214"/>
        <v>22962.799999999999</v>
      </c>
      <c r="AD151" s="38">
        <f t="shared" si="214"/>
        <v>24662.799999999999</v>
      </c>
      <c r="AE151" s="38">
        <f t="shared" ref="AE151:AE152" si="225">AD151/AC151*100</f>
        <v>107.40327834584633</v>
      </c>
      <c r="AF151" s="38">
        <f t="shared" si="215"/>
        <v>29419.1</v>
      </c>
      <c r="AG151" s="38">
        <f t="shared" si="215"/>
        <v>27919.1</v>
      </c>
      <c r="AH151" s="38">
        <f t="shared" ref="AH151:AH152" si="226">AG151/AF151*100</f>
        <v>94.901271622857266</v>
      </c>
      <c r="AI151" s="38">
        <f t="shared" si="216"/>
        <v>45235</v>
      </c>
      <c r="AJ151" s="38">
        <f t="shared" si="216"/>
        <v>44966.5</v>
      </c>
      <c r="AK151" s="38">
        <f t="shared" ref="AK151:AK152" si="227">AJ151/AI151*100</f>
        <v>99.406433071736487</v>
      </c>
      <c r="AL151" s="38">
        <f t="shared" si="217"/>
        <v>45042</v>
      </c>
      <c r="AM151" s="38">
        <f t="shared" si="217"/>
        <v>44735</v>
      </c>
      <c r="AN151" s="38">
        <f t="shared" ref="AN151:AN152" si="228">AM151/AL151*100</f>
        <v>99.318413924781311</v>
      </c>
      <c r="AO151" s="38">
        <f t="shared" si="218"/>
        <v>73755.100000000006</v>
      </c>
      <c r="AP151" s="38">
        <f t="shared" si="218"/>
        <v>74212.100000000006</v>
      </c>
      <c r="AQ151" s="38">
        <f t="shared" ref="AQ151:AQ152" si="229">AP151/AO151*100</f>
        <v>100.61961816877749</v>
      </c>
      <c r="AR151" s="34"/>
      <c r="AS151" s="34"/>
      <c r="AT151" s="100">
        <f t="shared" si="206"/>
        <v>0.99999983727901864</v>
      </c>
      <c r="AU151" s="84">
        <f t="shared" si="99"/>
        <v>107762.5</v>
      </c>
      <c r="AV151" s="84">
        <f t="shared" si="100"/>
        <v>237434.5</v>
      </c>
      <c r="AW151" s="84">
        <f t="shared" si="101"/>
        <v>105319.79999999999</v>
      </c>
      <c r="AX151" s="84">
        <f t="shared" si="102"/>
        <v>164032.1</v>
      </c>
    </row>
    <row r="152" spans="1:50" x14ac:dyDescent="0.3">
      <c r="A152" s="148"/>
      <c r="B152" s="148"/>
      <c r="C152" s="148"/>
      <c r="D152" s="37" t="s">
        <v>44</v>
      </c>
      <c r="E152" s="38">
        <f t="shared" si="179"/>
        <v>124427.19999999998</v>
      </c>
      <c r="F152" s="38">
        <f t="shared" si="179"/>
        <v>124258.4</v>
      </c>
      <c r="G152" s="38">
        <f t="shared" si="219"/>
        <v>99.864338344027686</v>
      </c>
      <c r="H152" s="38">
        <f t="shared" si="207"/>
        <v>2219.9</v>
      </c>
      <c r="I152" s="38">
        <f t="shared" si="207"/>
        <v>2219.9</v>
      </c>
      <c r="J152" s="38">
        <f t="shared" si="220"/>
        <v>100</v>
      </c>
      <c r="K152" s="38">
        <f t="shared" si="208"/>
        <v>17525.2</v>
      </c>
      <c r="L152" s="38">
        <f t="shared" si="208"/>
        <v>19293.7</v>
      </c>
      <c r="M152" s="38">
        <f t="shared" si="203"/>
        <v>110.09118298221989</v>
      </c>
      <c r="N152" s="38">
        <f t="shared" si="209"/>
        <v>11601.5</v>
      </c>
      <c r="O152" s="38">
        <f t="shared" si="209"/>
        <v>9833</v>
      </c>
      <c r="P152" s="38">
        <f t="shared" si="204"/>
        <v>84.756281515321291</v>
      </c>
      <c r="Q152" s="38">
        <f t="shared" si="210"/>
        <v>14657.599999999999</v>
      </c>
      <c r="R152" s="38">
        <f t="shared" si="210"/>
        <v>14657.599999999999</v>
      </c>
      <c r="S152" s="38">
        <f t="shared" si="221"/>
        <v>100</v>
      </c>
      <c r="T152" s="38">
        <f t="shared" si="211"/>
        <v>10969.6</v>
      </c>
      <c r="U152" s="38">
        <f t="shared" si="211"/>
        <v>10969.6</v>
      </c>
      <c r="V152" s="38">
        <f t="shared" si="222"/>
        <v>100</v>
      </c>
      <c r="W152" s="38">
        <f t="shared" si="212"/>
        <v>7435</v>
      </c>
      <c r="X152" s="38">
        <f t="shared" si="212"/>
        <v>7435</v>
      </c>
      <c r="Y152" s="38">
        <f t="shared" si="223"/>
        <v>100</v>
      </c>
      <c r="Z152" s="38">
        <f t="shared" si="213"/>
        <v>8936.9</v>
      </c>
      <c r="AA152" s="38">
        <f t="shared" si="213"/>
        <v>8936.9</v>
      </c>
      <c r="AB152" s="38">
        <f t="shared" si="224"/>
        <v>100</v>
      </c>
      <c r="AC152" s="38">
        <f t="shared" si="214"/>
        <v>4574.3999999999996</v>
      </c>
      <c r="AD152" s="38">
        <f t="shared" si="214"/>
        <v>4574.3999999999996</v>
      </c>
      <c r="AE152" s="38">
        <f t="shared" si="225"/>
        <v>100</v>
      </c>
      <c r="AF152" s="38">
        <f t="shared" si="215"/>
        <v>4914.2999999999993</v>
      </c>
      <c r="AG152" s="38">
        <f t="shared" si="215"/>
        <v>4918.3</v>
      </c>
      <c r="AH152" s="38">
        <f t="shared" si="226"/>
        <v>100.08139511222353</v>
      </c>
      <c r="AI152" s="38">
        <f t="shared" si="216"/>
        <v>13142.3</v>
      </c>
      <c r="AJ152" s="38">
        <f t="shared" si="216"/>
        <v>12077.3</v>
      </c>
      <c r="AK152" s="38">
        <f t="shared" si="227"/>
        <v>91.896395608074684</v>
      </c>
      <c r="AL152" s="38">
        <f t="shared" si="217"/>
        <v>9881.9</v>
      </c>
      <c r="AM152" s="38">
        <f t="shared" si="217"/>
        <v>8983.2999999999993</v>
      </c>
      <c r="AN152" s="38">
        <f t="shared" si="228"/>
        <v>90.906607029012633</v>
      </c>
      <c r="AO152" s="38">
        <f t="shared" si="218"/>
        <v>18568.599999999999</v>
      </c>
      <c r="AP152" s="38">
        <f t="shared" si="218"/>
        <v>20359.400000000001</v>
      </c>
      <c r="AQ152" s="38">
        <f t="shared" si="229"/>
        <v>109.64423812242174</v>
      </c>
      <c r="AR152" s="34"/>
      <c r="AS152" s="34"/>
      <c r="AT152" s="100">
        <f t="shared" si="206"/>
        <v>0.99864338344027681</v>
      </c>
      <c r="AU152" s="84">
        <f t="shared" si="99"/>
        <v>31346.600000000002</v>
      </c>
      <c r="AV152" s="84">
        <f t="shared" si="100"/>
        <v>33062.199999999997</v>
      </c>
      <c r="AW152" s="84">
        <f t="shared" si="101"/>
        <v>18425.599999999999</v>
      </c>
      <c r="AX152" s="84">
        <f t="shared" si="102"/>
        <v>41592.799999999996</v>
      </c>
    </row>
    <row r="153" spans="1:50" ht="13.8" customHeight="1" x14ac:dyDescent="0.3">
      <c r="A153" s="148"/>
      <c r="B153" s="148"/>
      <c r="C153" s="148"/>
      <c r="D153" s="37" t="s">
        <v>22</v>
      </c>
      <c r="E153" s="38">
        <f t="shared" si="179"/>
        <v>0</v>
      </c>
      <c r="F153" s="38">
        <f t="shared" si="179"/>
        <v>0</v>
      </c>
      <c r="G153" s="38"/>
      <c r="H153" s="38">
        <f t="shared" si="207"/>
        <v>0</v>
      </c>
      <c r="I153" s="38">
        <f t="shared" si="207"/>
        <v>0</v>
      </c>
      <c r="J153" s="38"/>
      <c r="K153" s="38">
        <f t="shared" si="208"/>
        <v>0</v>
      </c>
      <c r="L153" s="38">
        <f t="shared" si="208"/>
        <v>0</v>
      </c>
      <c r="M153" s="38"/>
      <c r="N153" s="38">
        <f t="shared" si="209"/>
        <v>0</v>
      </c>
      <c r="O153" s="38">
        <f t="shared" si="209"/>
        <v>0</v>
      </c>
      <c r="P153" s="38"/>
      <c r="Q153" s="38">
        <f t="shared" si="210"/>
        <v>0</v>
      </c>
      <c r="R153" s="38">
        <f t="shared" si="210"/>
        <v>0</v>
      </c>
      <c r="S153" s="38"/>
      <c r="T153" s="38">
        <f t="shared" si="211"/>
        <v>0</v>
      </c>
      <c r="U153" s="38">
        <f t="shared" si="211"/>
        <v>0</v>
      </c>
      <c r="V153" s="38"/>
      <c r="W153" s="38">
        <f t="shared" si="212"/>
        <v>0</v>
      </c>
      <c r="X153" s="38">
        <f t="shared" si="212"/>
        <v>0</v>
      </c>
      <c r="Y153" s="38"/>
      <c r="Z153" s="38">
        <f t="shared" si="213"/>
        <v>0</v>
      </c>
      <c r="AA153" s="38">
        <f t="shared" si="213"/>
        <v>0</v>
      </c>
      <c r="AB153" s="38"/>
      <c r="AC153" s="38">
        <f t="shared" si="214"/>
        <v>0</v>
      </c>
      <c r="AD153" s="38">
        <f t="shared" si="214"/>
        <v>0</v>
      </c>
      <c r="AE153" s="38"/>
      <c r="AF153" s="38">
        <f t="shared" si="215"/>
        <v>0</v>
      </c>
      <c r="AG153" s="38">
        <f t="shared" si="215"/>
        <v>0</v>
      </c>
      <c r="AH153" s="38"/>
      <c r="AI153" s="38">
        <f t="shared" si="216"/>
        <v>0</v>
      </c>
      <c r="AJ153" s="38">
        <f t="shared" si="216"/>
        <v>0</v>
      </c>
      <c r="AK153" s="38"/>
      <c r="AL153" s="38">
        <f t="shared" si="217"/>
        <v>0</v>
      </c>
      <c r="AM153" s="38">
        <f t="shared" si="217"/>
        <v>0</v>
      </c>
      <c r="AN153" s="38"/>
      <c r="AO153" s="38">
        <f>AO88+AO93+AO98+AO103+AO108+AO113+AO118+AO128+AO133+AO138+AO143+AO148</f>
        <v>0</v>
      </c>
      <c r="AP153" s="24"/>
      <c r="AQ153" s="38"/>
      <c r="AR153" s="34"/>
      <c r="AS153" s="34"/>
      <c r="AT153" s="100"/>
      <c r="AU153" s="83">
        <f t="shared" si="99"/>
        <v>0</v>
      </c>
      <c r="AV153" s="83">
        <f t="shared" si="100"/>
        <v>0</v>
      </c>
      <c r="AW153" s="83">
        <f t="shared" si="101"/>
        <v>0</v>
      </c>
      <c r="AX153" s="83">
        <f t="shared" si="102"/>
        <v>0</v>
      </c>
    </row>
    <row r="154" spans="1:50" ht="15.6" x14ac:dyDescent="0.3">
      <c r="A154" s="42" t="s">
        <v>63</v>
      </c>
      <c r="B154" s="35" t="s">
        <v>11</v>
      </c>
      <c r="C154" s="35"/>
      <c r="D154" s="35"/>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c r="AD154" s="99"/>
      <c r="AE154" s="99"/>
      <c r="AF154" s="99"/>
      <c r="AG154" s="99"/>
      <c r="AH154" s="99"/>
      <c r="AI154" s="99"/>
      <c r="AJ154" s="99"/>
      <c r="AK154" s="99"/>
      <c r="AL154" s="99"/>
      <c r="AM154" s="99"/>
      <c r="AN154" s="99"/>
      <c r="AO154" s="99"/>
      <c r="AP154" s="35"/>
      <c r="AQ154" s="35"/>
      <c r="AR154" s="34"/>
      <c r="AS154" s="34"/>
      <c r="AT154" s="100"/>
      <c r="AU154" s="83">
        <f t="shared" si="99"/>
        <v>0</v>
      </c>
      <c r="AV154" s="83">
        <f t="shared" si="100"/>
        <v>0</v>
      </c>
      <c r="AW154" s="83">
        <f t="shared" si="101"/>
        <v>0</v>
      </c>
      <c r="AX154" s="83">
        <f t="shared" si="102"/>
        <v>0</v>
      </c>
    </row>
    <row r="155" spans="1:50" x14ac:dyDescent="0.3">
      <c r="A155" s="140" t="s">
        <v>64</v>
      </c>
      <c r="B155" s="140" t="s">
        <v>98</v>
      </c>
      <c r="C155" s="140" t="s">
        <v>5</v>
      </c>
      <c r="D155" s="36" t="s">
        <v>3</v>
      </c>
      <c r="E155" s="24">
        <f t="shared" ref="E155:F170" si="230">H155+K155+N155+Q155+T155+W155+Z155+AC155+AF155+AI155+AL155+AO155</f>
        <v>0</v>
      </c>
      <c r="F155" s="24">
        <f t="shared" si="230"/>
        <v>0</v>
      </c>
      <c r="G155" s="24"/>
      <c r="H155" s="24">
        <f>H156+H157+H158+H159</f>
        <v>0</v>
      </c>
      <c r="I155" s="24">
        <f>I156+I157+I158+I159</f>
        <v>0</v>
      </c>
      <c r="J155" s="24"/>
      <c r="K155" s="24">
        <f t="shared" ref="K155:AO155" si="231">K156+K157+K158+K159</f>
        <v>0</v>
      </c>
      <c r="L155" s="24">
        <f t="shared" si="231"/>
        <v>0</v>
      </c>
      <c r="M155" s="24"/>
      <c r="N155" s="24">
        <f t="shared" si="231"/>
        <v>0</v>
      </c>
      <c r="O155" s="24"/>
      <c r="P155" s="22"/>
      <c r="Q155" s="24">
        <f t="shared" si="231"/>
        <v>0</v>
      </c>
      <c r="R155" s="24"/>
      <c r="S155" s="22"/>
      <c r="T155" s="24">
        <f t="shared" si="231"/>
        <v>0</v>
      </c>
      <c r="U155" s="24"/>
      <c r="V155" s="22"/>
      <c r="W155" s="24">
        <f t="shared" si="231"/>
        <v>0</v>
      </c>
      <c r="X155" s="24"/>
      <c r="Y155" s="22"/>
      <c r="Z155" s="24">
        <f t="shared" si="231"/>
        <v>0</v>
      </c>
      <c r="AA155" s="24"/>
      <c r="AB155" s="22"/>
      <c r="AC155" s="24">
        <f t="shared" si="231"/>
        <v>0</v>
      </c>
      <c r="AD155" s="24"/>
      <c r="AE155" s="22"/>
      <c r="AF155" s="24">
        <f t="shared" si="231"/>
        <v>0</v>
      </c>
      <c r="AG155" s="24">
        <f t="shared" si="231"/>
        <v>0</v>
      </c>
      <c r="AH155" s="22"/>
      <c r="AI155" s="24">
        <f t="shared" si="231"/>
        <v>0</v>
      </c>
      <c r="AJ155" s="24">
        <f t="shared" si="231"/>
        <v>0</v>
      </c>
      <c r="AK155" s="24"/>
      <c r="AL155" s="24">
        <f t="shared" si="231"/>
        <v>0</v>
      </c>
      <c r="AM155" s="24"/>
      <c r="AN155" s="24"/>
      <c r="AO155" s="24">
        <f t="shared" si="231"/>
        <v>0</v>
      </c>
      <c r="AP155" s="24"/>
      <c r="AQ155" s="22"/>
      <c r="AR155" s="34"/>
      <c r="AS155" s="34"/>
      <c r="AT155" s="100"/>
      <c r="AU155" s="83">
        <f t="shared" si="99"/>
        <v>0</v>
      </c>
      <c r="AV155" s="83">
        <f t="shared" si="100"/>
        <v>0</v>
      </c>
      <c r="AW155" s="83">
        <f t="shared" si="101"/>
        <v>0</v>
      </c>
      <c r="AX155" s="83">
        <f t="shared" si="102"/>
        <v>0</v>
      </c>
    </row>
    <row r="156" spans="1:50" ht="12" customHeight="1" x14ac:dyDescent="0.3">
      <c r="A156" s="140"/>
      <c r="B156" s="140"/>
      <c r="C156" s="140"/>
      <c r="D156" s="36" t="s">
        <v>21</v>
      </c>
      <c r="E156" s="24">
        <f t="shared" si="230"/>
        <v>0</v>
      </c>
      <c r="F156" s="24">
        <f t="shared" si="230"/>
        <v>0</v>
      </c>
      <c r="G156" s="24"/>
      <c r="H156" s="24"/>
      <c r="I156" s="24"/>
      <c r="J156" s="24"/>
      <c r="K156" s="24"/>
      <c r="L156" s="24"/>
      <c r="M156" s="24"/>
      <c r="N156" s="24"/>
      <c r="O156" s="24"/>
      <c r="P156" s="22"/>
      <c r="Q156" s="24"/>
      <c r="R156" s="24"/>
      <c r="S156" s="22"/>
      <c r="T156" s="24"/>
      <c r="U156" s="24"/>
      <c r="V156" s="22"/>
      <c r="W156" s="24"/>
      <c r="X156" s="24"/>
      <c r="Y156" s="22"/>
      <c r="Z156" s="24"/>
      <c r="AA156" s="24"/>
      <c r="AB156" s="22"/>
      <c r="AC156" s="24"/>
      <c r="AD156" s="24"/>
      <c r="AE156" s="22"/>
      <c r="AF156" s="24"/>
      <c r="AG156" s="24"/>
      <c r="AH156" s="22"/>
      <c r="AI156" s="24"/>
      <c r="AJ156" s="24"/>
      <c r="AK156" s="24"/>
      <c r="AL156" s="24"/>
      <c r="AM156" s="24"/>
      <c r="AN156" s="24"/>
      <c r="AO156" s="24"/>
      <c r="AP156" s="24"/>
      <c r="AQ156" s="22"/>
      <c r="AR156" s="34"/>
      <c r="AS156" s="34"/>
      <c r="AT156" s="100"/>
      <c r="AU156" s="83">
        <f t="shared" si="99"/>
        <v>0</v>
      </c>
      <c r="AV156" s="83">
        <f t="shared" si="100"/>
        <v>0</v>
      </c>
      <c r="AW156" s="83">
        <f t="shared" si="101"/>
        <v>0</v>
      </c>
      <c r="AX156" s="83">
        <f t="shared" si="102"/>
        <v>0</v>
      </c>
    </row>
    <row r="157" spans="1:50" ht="24" customHeight="1" x14ac:dyDescent="0.3">
      <c r="A157" s="140"/>
      <c r="B157" s="140"/>
      <c r="C157" s="140"/>
      <c r="D157" s="36" t="s">
        <v>4</v>
      </c>
      <c r="E157" s="24">
        <f t="shared" si="230"/>
        <v>0</v>
      </c>
      <c r="F157" s="24">
        <f t="shared" si="230"/>
        <v>0</v>
      </c>
      <c r="G157" s="24"/>
      <c r="H157" s="24"/>
      <c r="I157" s="24"/>
      <c r="J157" s="24"/>
      <c r="K157" s="24"/>
      <c r="L157" s="24"/>
      <c r="M157" s="24"/>
      <c r="N157" s="24"/>
      <c r="O157" s="24"/>
      <c r="P157" s="22"/>
      <c r="Q157" s="24"/>
      <c r="R157" s="24"/>
      <c r="S157" s="22"/>
      <c r="T157" s="24"/>
      <c r="U157" s="24"/>
      <c r="V157" s="22"/>
      <c r="W157" s="24"/>
      <c r="X157" s="24"/>
      <c r="Y157" s="22"/>
      <c r="Z157" s="24"/>
      <c r="AA157" s="24"/>
      <c r="AB157" s="22"/>
      <c r="AC157" s="24"/>
      <c r="AD157" s="24"/>
      <c r="AE157" s="22"/>
      <c r="AF157" s="24"/>
      <c r="AG157" s="24"/>
      <c r="AH157" s="22"/>
      <c r="AI157" s="24"/>
      <c r="AJ157" s="24"/>
      <c r="AK157" s="24"/>
      <c r="AL157" s="24"/>
      <c r="AM157" s="24"/>
      <c r="AN157" s="24"/>
      <c r="AO157" s="24"/>
      <c r="AP157" s="25"/>
      <c r="AQ157" s="22"/>
      <c r="AR157" s="34"/>
      <c r="AS157" s="34"/>
      <c r="AT157" s="100"/>
      <c r="AU157" s="83">
        <f t="shared" si="99"/>
        <v>0</v>
      </c>
      <c r="AV157" s="83">
        <f t="shared" si="100"/>
        <v>0</v>
      </c>
      <c r="AW157" s="83">
        <f t="shared" si="101"/>
        <v>0</v>
      </c>
      <c r="AX157" s="83">
        <f t="shared" si="102"/>
        <v>0</v>
      </c>
    </row>
    <row r="158" spans="1:50" x14ac:dyDescent="0.3">
      <c r="A158" s="140"/>
      <c r="B158" s="140"/>
      <c r="C158" s="140"/>
      <c r="D158" s="36" t="s">
        <v>44</v>
      </c>
      <c r="E158" s="24">
        <f t="shared" si="230"/>
        <v>0</v>
      </c>
      <c r="F158" s="24">
        <f t="shared" si="230"/>
        <v>0</v>
      </c>
      <c r="G158" s="24"/>
      <c r="H158" s="24"/>
      <c r="I158" s="24"/>
      <c r="J158" s="24"/>
      <c r="K158" s="24"/>
      <c r="L158" s="24"/>
      <c r="M158" s="24"/>
      <c r="N158" s="24"/>
      <c r="O158" s="24"/>
      <c r="P158" s="22"/>
      <c r="Q158" s="24"/>
      <c r="R158" s="24"/>
      <c r="S158" s="22"/>
      <c r="T158" s="24"/>
      <c r="U158" s="24"/>
      <c r="V158" s="22"/>
      <c r="W158" s="24"/>
      <c r="X158" s="24"/>
      <c r="Y158" s="22"/>
      <c r="Z158" s="24"/>
      <c r="AA158" s="24"/>
      <c r="AB158" s="22"/>
      <c r="AC158" s="24"/>
      <c r="AD158" s="24"/>
      <c r="AE158" s="22"/>
      <c r="AF158" s="24"/>
      <c r="AG158" s="24"/>
      <c r="AH158" s="22"/>
      <c r="AI158" s="24">
        <f>15-15</f>
        <v>0</v>
      </c>
      <c r="AJ158" s="24">
        <v>0</v>
      </c>
      <c r="AK158" s="24"/>
      <c r="AL158" s="24">
        <f>9.8-9.8</f>
        <v>0</v>
      </c>
      <c r="AM158" s="24"/>
      <c r="AN158" s="24"/>
      <c r="AO158" s="24"/>
      <c r="AP158" s="25"/>
      <c r="AQ158" s="22"/>
      <c r="AR158" s="90"/>
      <c r="AS158" s="34"/>
      <c r="AT158" s="100"/>
      <c r="AU158" s="83">
        <f t="shared" si="99"/>
        <v>0</v>
      </c>
      <c r="AV158" s="83">
        <f t="shared" si="100"/>
        <v>0</v>
      </c>
      <c r="AW158" s="83">
        <f t="shared" si="101"/>
        <v>0</v>
      </c>
      <c r="AX158" s="83">
        <f t="shared" si="102"/>
        <v>0</v>
      </c>
    </row>
    <row r="159" spans="1:50" ht="15.75" customHeight="1" x14ac:dyDescent="0.3">
      <c r="A159" s="140"/>
      <c r="B159" s="140"/>
      <c r="C159" s="140"/>
      <c r="D159" s="36" t="s">
        <v>22</v>
      </c>
      <c r="E159" s="24">
        <f t="shared" si="230"/>
        <v>0</v>
      </c>
      <c r="F159" s="24">
        <f t="shared" si="230"/>
        <v>0</v>
      </c>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5"/>
      <c r="AQ159" s="25"/>
      <c r="AR159" s="34"/>
      <c r="AS159" s="34"/>
      <c r="AT159" s="100"/>
      <c r="AU159" s="83">
        <f t="shared" si="99"/>
        <v>0</v>
      </c>
      <c r="AV159" s="83">
        <f t="shared" si="100"/>
        <v>0</v>
      </c>
      <c r="AW159" s="83">
        <f t="shared" si="101"/>
        <v>0</v>
      </c>
      <c r="AX159" s="83">
        <f t="shared" si="102"/>
        <v>0</v>
      </c>
    </row>
    <row r="160" spans="1:50" ht="12.6" customHeight="1" x14ac:dyDescent="0.3">
      <c r="A160" s="140" t="s">
        <v>65</v>
      </c>
      <c r="B160" s="140" t="s">
        <v>99</v>
      </c>
      <c r="C160" s="140" t="s">
        <v>5</v>
      </c>
      <c r="D160" s="36" t="s">
        <v>3</v>
      </c>
      <c r="E160" s="24">
        <f t="shared" si="230"/>
        <v>13</v>
      </c>
      <c r="F160" s="24">
        <f t="shared" si="230"/>
        <v>13</v>
      </c>
      <c r="G160" s="24">
        <f>F160/E160*100</f>
        <v>100</v>
      </c>
      <c r="H160" s="24">
        <f>H161+H162+H163+H164</f>
        <v>0</v>
      </c>
      <c r="I160" s="24"/>
      <c r="J160" s="22"/>
      <c r="K160" s="24">
        <f t="shared" ref="K160:AO160" si="232">K161+K162+K163+K164</f>
        <v>0</v>
      </c>
      <c r="L160" s="24"/>
      <c r="M160" s="22"/>
      <c r="N160" s="24">
        <f t="shared" si="232"/>
        <v>0</v>
      </c>
      <c r="O160" s="24"/>
      <c r="P160" s="22"/>
      <c r="Q160" s="24">
        <f t="shared" si="232"/>
        <v>0</v>
      </c>
      <c r="R160" s="24"/>
      <c r="S160" s="22"/>
      <c r="T160" s="24">
        <f t="shared" si="232"/>
        <v>0</v>
      </c>
      <c r="U160" s="24"/>
      <c r="V160" s="22"/>
      <c r="W160" s="24">
        <f t="shared" si="232"/>
        <v>0</v>
      </c>
      <c r="X160" s="24"/>
      <c r="Y160" s="22"/>
      <c r="Z160" s="24">
        <f t="shared" si="232"/>
        <v>0</v>
      </c>
      <c r="AA160" s="24"/>
      <c r="AB160" s="22"/>
      <c r="AC160" s="24">
        <f t="shared" si="232"/>
        <v>13</v>
      </c>
      <c r="AD160" s="24">
        <f t="shared" si="232"/>
        <v>13</v>
      </c>
      <c r="AE160" s="24">
        <f>AD160/AC160*100</f>
        <v>100</v>
      </c>
      <c r="AF160" s="24">
        <f t="shared" si="232"/>
        <v>0</v>
      </c>
      <c r="AG160" s="24">
        <f t="shared" si="232"/>
        <v>0</v>
      </c>
      <c r="AH160" s="24"/>
      <c r="AI160" s="24">
        <f t="shared" si="232"/>
        <v>0</v>
      </c>
      <c r="AJ160" s="24">
        <f t="shared" si="232"/>
        <v>0</v>
      </c>
      <c r="AK160" s="24"/>
      <c r="AL160" s="24">
        <f t="shared" si="232"/>
        <v>0</v>
      </c>
      <c r="AM160" s="24"/>
      <c r="AN160" s="24"/>
      <c r="AO160" s="24">
        <f t="shared" si="232"/>
        <v>0</v>
      </c>
      <c r="AP160" s="24"/>
      <c r="AQ160" s="22"/>
      <c r="AR160" s="34"/>
      <c r="AS160" s="34"/>
      <c r="AT160" s="100">
        <f t="shared" si="206"/>
        <v>1</v>
      </c>
      <c r="AU160" s="83">
        <f t="shared" si="99"/>
        <v>0</v>
      </c>
      <c r="AV160" s="83">
        <f t="shared" si="100"/>
        <v>0</v>
      </c>
      <c r="AW160" s="83">
        <f t="shared" si="101"/>
        <v>13</v>
      </c>
      <c r="AX160" s="83">
        <f t="shared" si="102"/>
        <v>0</v>
      </c>
    </row>
    <row r="161" spans="1:50" ht="13.2" customHeight="1" x14ac:dyDescent="0.3">
      <c r="A161" s="140"/>
      <c r="B161" s="140"/>
      <c r="C161" s="140"/>
      <c r="D161" s="36" t="s">
        <v>21</v>
      </c>
      <c r="E161" s="24">
        <f t="shared" si="230"/>
        <v>0</v>
      </c>
      <c r="F161" s="24">
        <f t="shared" si="230"/>
        <v>0</v>
      </c>
      <c r="G161" s="24"/>
      <c r="H161" s="24"/>
      <c r="I161" s="24"/>
      <c r="J161" s="22"/>
      <c r="K161" s="24"/>
      <c r="L161" s="24"/>
      <c r="M161" s="22"/>
      <c r="N161" s="24"/>
      <c r="O161" s="24"/>
      <c r="P161" s="22"/>
      <c r="Q161" s="24"/>
      <c r="R161" s="24"/>
      <c r="S161" s="22"/>
      <c r="T161" s="24"/>
      <c r="U161" s="24"/>
      <c r="V161" s="22"/>
      <c r="W161" s="24"/>
      <c r="X161" s="24"/>
      <c r="Y161" s="22"/>
      <c r="Z161" s="24"/>
      <c r="AA161" s="24"/>
      <c r="AB161" s="22"/>
      <c r="AC161" s="24"/>
      <c r="AD161" s="24"/>
      <c r="AE161" s="24"/>
      <c r="AF161" s="24"/>
      <c r="AG161" s="24"/>
      <c r="AH161" s="24"/>
      <c r="AI161" s="24"/>
      <c r="AJ161" s="24"/>
      <c r="AK161" s="24"/>
      <c r="AL161" s="24"/>
      <c r="AM161" s="24"/>
      <c r="AN161" s="24"/>
      <c r="AO161" s="24"/>
      <c r="AP161" s="24"/>
      <c r="AQ161" s="22"/>
      <c r="AR161" s="34"/>
      <c r="AS161" s="34"/>
      <c r="AT161" s="100"/>
      <c r="AU161" s="83">
        <f t="shared" si="99"/>
        <v>0</v>
      </c>
      <c r="AV161" s="83">
        <f t="shared" si="100"/>
        <v>0</v>
      </c>
      <c r="AW161" s="83">
        <f t="shared" si="101"/>
        <v>0</v>
      </c>
      <c r="AX161" s="83">
        <f t="shared" si="102"/>
        <v>0</v>
      </c>
    </row>
    <row r="162" spans="1:50" ht="24" x14ac:dyDescent="0.3">
      <c r="A162" s="140"/>
      <c r="B162" s="140"/>
      <c r="C162" s="140"/>
      <c r="D162" s="36" t="s">
        <v>4</v>
      </c>
      <c r="E162" s="24">
        <f t="shared" si="230"/>
        <v>0</v>
      </c>
      <c r="F162" s="24">
        <f t="shared" si="230"/>
        <v>0</v>
      </c>
      <c r="G162" s="24"/>
      <c r="H162" s="24"/>
      <c r="I162" s="24"/>
      <c r="J162" s="22"/>
      <c r="K162" s="24"/>
      <c r="L162" s="24"/>
      <c r="M162" s="22"/>
      <c r="N162" s="24"/>
      <c r="O162" s="24"/>
      <c r="P162" s="22"/>
      <c r="Q162" s="24"/>
      <c r="R162" s="24"/>
      <c r="S162" s="22"/>
      <c r="T162" s="24"/>
      <c r="U162" s="24"/>
      <c r="V162" s="22"/>
      <c r="W162" s="24"/>
      <c r="X162" s="24"/>
      <c r="Y162" s="22"/>
      <c r="Z162" s="24"/>
      <c r="AA162" s="24"/>
      <c r="AB162" s="22"/>
      <c r="AC162" s="24"/>
      <c r="AD162" s="24"/>
      <c r="AE162" s="24"/>
      <c r="AF162" s="24"/>
      <c r="AG162" s="24"/>
      <c r="AH162" s="24"/>
      <c r="AI162" s="24"/>
      <c r="AJ162" s="24"/>
      <c r="AK162" s="24"/>
      <c r="AL162" s="24"/>
      <c r="AM162" s="24"/>
      <c r="AN162" s="24"/>
      <c r="AO162" s="24"/>
      <c r="AP162" s="25"/>
      <c r="AQ162" s="22"/>
      <c r="AR162" s="34"/>
      <c r="AS162" s="34"/>
      <c r="AT162" s="100"/>
      <c r="AU162" s="83">
        <f t="shared" si="99"/>
        <v>0</v>
      </c>
      <c r="AV162" s="83">
        <f t="shared" si="100"/>
        <v>0</v>
      </c>
      <c r="AW162" s="83">
        <f t="shared" si="101"/>
        <v>0</v>
      </c>
      <c r="AX162" s="83">
        <f t="shared" si="102"/>
        <v>0</v>
      </c>
    </row>
    <row r="163" spans="1:50" ht="37.200000000000003" customHeight="1" x14ac:dyDescent="0.3">
      <c r="A163" s="140"/>
      <c r="B163" s="140"/>
      <c r="C163" s="140"/>
      <c r="D163" s="36" t="s">
        <v>44</v>
      </c>
      <c r="E163" s="24">
        <f t="shared" si="230"/>
        <v>13</v>
      </c>
      <c r="F163" s="24">
        <f t="shared" si="230"/>
        <v>13</v>
      </c>
      <c r="G163" s="24">
        <f t="shared" ref="G163" si="233">F163/E163*100</f>
        <v>100</v>
      </c>
      <c r="H163" s="24"/>
      <c r="I163" s="24"/>
      <c r="J163" s="22"/>
      <c r="K163" s="24"/>
      <c r="L163" s="24"/>
      <c r="M163" s="22"/>
      <c r="N163" s="24"/>
      <c r="O163" s="24"/>
      <c r="P163" s="22"/>
      <c r="Q163" s="24"/>
      <c r="R163" s="24"/>
      <c r="S163" s="22"/>
      <c r="T163" s="24"/>
      <c r="U163" s="24"/>
      <c r="V163" s="22"/>
      <c r="W163" s="24"/>
      <c r="X163" s="24"/>
      <c r="Y163" s="22"/>
      <c r="Z163" s="24"/>
      <c r="AA163" s="24"/>
      <c r="AB163" s="22"/>
      <c r="AC163" s="24">
        <v>13</v>
      </c>
      <c r="AD163" s="24">
        <v>13</v>
      </c>
      <c r="AE163" s="24">
        <f t="shared" ref="AE163" si="234">AD163/AC163*100</f>
        <v>100</v>
      </c>
      <c r="AF163" s="24"/>
      <c r="AG163" s="24"/>
      <c r="AH163" s="24"/>
      <c r="AI163" s="24">
        <v>0</v>
      </c>
      <c r="AJ163" s="24">
        <v>0</v>
      </c>
      <c r="AK163" s="24"/>
      <c r="AL163" s="24"/>
      <c r="AM163" s="24"/>
      <c r="AN163" s="24"/>
      <c r="AO163" s="24"/>
      <c r="AP163" s="25"/>
      <c r="AQ163" s="22"/>
      <c r="AR163" s="41" t="s">
        <v>171</v>
      </c>
      <c r="AS163" s="34"/>
      <c r="AT163" s="100">
        <f t="shared" si="206"/>
        <v>1</v>
      </c>
      <c r="AU163" s="83">
        <f t="shared" si="99"/>
        <v>0</v>
      </c>
      <c r="AV163" s="83">
        <f t="shared" si="100"/>
        <v>0</v>
      </c>
      <c r="AW163" s="83">
        <f t="shared" si="101"/>
        <v>13</v>
      </c>
      <c r="AX163" s="83">
        <f t="shared" si="102"/>
        <v>0</v>
      </c>
    </row>
    <row r="164" spans="1:50" ht="13.2" customHeight="1" x14ac:dyDescent="0.3">
      <c r="A164" s="140"/>
      <c r="B164" s="140"/>
      <c r="C164" s="140"/>
      <c r="D164" s="36" t="s">
        <v>22</v>
      </c>
      <c r="E164" s="24">
        <f t="shared" si="230"/>
        <v>0</v>
      </c>
      <c r="F164" s="24">
        <f t="shared" si="230"/>
        <v>0</v>
      </c>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5"/>
      <c r="AQ164" s="25"/>
      <c r="AR164" s="34"/>
      <c r="AS164" s="34"/>
      <c r="AT164" s="100"/>
      <c r="AU164" s="83">
        <f t="shared" si="99"/>
        <v>0</v>
      </c>
      <c r="AV164" s="83">
        <f t="shared" si="100"/>
        <v>0</v>
      </c>
      <c r="AW164" s="83">
        <f t="shared" si="101"/>
        <v>0</v>
      </c>
      <c r="AX164" s="83">
        <f t="shared" si="102"/>
        <v>0</v>
      </c>
    </row>
    <row r="165" spans="1:50" ht="13.2" customHeight="1" x14ac:dyDescent="0.3">
      <c r="A165" s="140" t="s">
        <v>66</v>
      </c>
      <c r="B165" s="140" t="s">
        <v>100</v>
      </c>
      <c r="C165" s="140" t="s">
        <v>5</v>
      </c>
      <c r="D165" s="36" t="s">
        <v>3</v>
      </c>
      <c r="E165" s="24">
        <f t="shared" si="230"/>
        <v>327.5</v>
      </c>
      <c r="F165" s="24">
        <f t="shared" si="230"/>
        <v>327.5</v>
      </c>
      <c r="G165" s="24">
        <f>F165/E165*100</f>
        <v>100</v>
      </c>
      <c r="H165" s="24">
        <f>H166+H167+H168+H169</f>
        <v>0</v>
      </c>
      <c r="I165" s="24"/>
      <c r="J165" s="22"/>
      <c r="K165" s="24">
        <f t="shared" ref="K165:AP165" si="235">K166+K167+K168+K169</f>
        <v>0</v>
      </c>
      <c r="L165" s="24"/>
      <c r="M165" s="22"/>
      <c r="N165" s="24">
        <f t="shared" si="235"/>
        <v>0</v>
      </c>
      <c r="O165" s="24">
        <f t="shared" si="235"/>
        <v>0</v>
      </c>
      <c r="P165" s="24"/>
      <c r="Q165" s="24">
        <f t="shared" si="235"/>
        <v>0</v>
      </c>
      <c r="R165" s="24"/>
      <c r="S165" s="22"/>
      <c r="T165" s="24">
        <f t="shared" si="235"/>
        <v>100.5</v>
      </c>
      <c r="U165" s="24">
        <f t="shared" si="235"/>
        <v>100.5</v>
      </c>
      <c r="V165" s="24">
        <f>U165/T165*100</f>
        <v>100</v>
      </c>
      <c r="W165" s="24">
        <f t="shared" si="235"/>
        <v>0</v>
      </c>
      <c r="X165" s="24">
        <f t="shared" si="235"/>
        <v>0</v>
      </c>
      <c r="Y165" s="22"/>
      <c r="Z165" s="24">
        <f t="shared" si="235"/>
        <v>0</v>
      </c>
      <c r="AA165" s="24"/>
      <c r="AB165" s="22"/>
      <c r="AC165" s="24">
        <f t="shared" si="235"/>
        <v>0</v>
      </c>
      <c r="AD165" s="24"/>
      <c r="AE165" s="22"/>
      <c r="AF165" s="24">
        <f t="shared" si="235"/>
        <v>0</v>
      </c>
      <c r="AG165" s="24">
        <f t="shared" si="235"/>
        <v>0</v>
      </c>
      <c r="AH165" s="24"/>
      <c r="AI165" s="24">
        <f t="shared" si="235"/>
        <v>76.5</v>
      </c>
      <c r="AJ165" s="24">
        <f t="shared" si="235"/>
        <v>60.8</v>
      </c>
      <c r="AK165" s="24">
        <f>AJ165/AI165*100</f>
        <v>79.477124183006538</v>
      </c>
      <c r="AL165" s="24">
        <f t="shared" si="235"/>
        <v>0</v>
      </c>
      <c r="AM165" s="24">
        <f t="shared" si="235"/>
        <v>0</v>
      </c>
      <c r="AN165" s="22"/>
      <c r="AO165" s="24">
        <f t="shared" si="235"/>
        <v>150.5</v>
      </c>
      <c r="AP165" s="24">
        <f t="shared" si="235"/>
        <v>166.2</v>
      </c>
      <c r="AQ165" s="24">
        <f>AP165/AO165*100</f>
        <v>110.43189368770763</v>
      </c>
      <c r="AR165" s="34"/>
      <c r="AS165" s="34"/>
      <c r="AT165" s="100">
        <f t="shared" si="206"/>
        <v>1</v>
      </c>
      <c r="AU165" s="83">
        <f t="shared" si="99"/>
        <v>0</v>
      </c>
      <c r="AV165" s="83">
        <f t="shared" si="100"/>
        <v>100.5</v>
      </c>
      <c r="AW165" s="83">
        <f t="shared" si="101"/>
        <v>0</v>
      </c>
      <c r="AX165" s="83">
        <f t="shared" si="102"/>
        <v>227</v>
      </c>
    </row>
    <row r="166" spans="1:50" x14ac:dyDescent="0.3">
      <c r="A166" s="140"/>
      <c r="B166" s="140"/>
      <c r="C166" s="140"/>
      <c r="D166" s="36" t="s">
        <v>21</v>
      </c>
      <c r="E166" s="24">
        <f t="shared" si="230"/>
        <v>0</v>
      </c>
      <c r="F166" s="24">
        <f t="shared" si="230"/>
        <v>0</v>
      </c>
      <c r="G166" s="24"/>
      <c r="H166" s="24"/>
      <c r="I166" s="24"/>
      <c r="J166" s="22"/>
      <c r="K166" s="24"/>
      <c r="L166" s="24"/>
      <c r="M166" s="22"/>
      <c r="N166" s="24"/>
      <c r="O166" s="24"/>
      <c r="P166" s="24"/>
      <c r="Q166" s="24"/>
      <c r="R166" s="24"/>
      <c r="S166" s="22"/>
      <c r="T166" s="24"/>
      <c r="U166" s="24"/>
      <c r="V166" s="24"/>
      <c r="W166" s="24"/>
      <c r="X166" s="24"/>
      <c r="Y166" s="22"/>
      <c r="Z166" s="24"/>
      <c r="AA166" s="24"/>
      <c r="AB166" s="22"/>
      <c r="AC166" s="24"/>
      <c r="AD166" s="24"/>
      <c r="AE166" s="22"/>
      <c r="AF166" s="24"/>
      <c r="AG166" s="24"/>
      <c r="AH166" s="24"/>
      <c r="AI166" s="24"/>
      <c r="AJ166" s="24"/>
      <c r="AK166" s="24"/>
      <c r="AL166" s="24"/>
      <c r="AM166" s="24"/>
      <c r="AN166" s="22"/>
      <c r="AO166" s="24"/>
      <c r="AP166" s="24"/>
      <c r="AQ166" s="24"/>
      <c r="AR166" s="34"/>
      <c r="AS166" s="34"/>
      <c r="AT166" s="100"/>
      <c r="AU166" s="83">
        <f t="shared" ref="AU166:AU234" si="236">H166+K166+N166</f>
        <v>0</v>
      </c>
      <c r="AV166" s="83">
        <f t="shared" ref="AV166:AV234" si="237">Q166+T166+W166</f>
        <v>0</v>
      </c>
      <c r="AW166" s="83">
        <f t="shared" ref="AW166:AW234" si="238">Z166+AC166+AF166</f>
        <v>0</v>
      </c>
      <c r="AX166" s="83">
        <f t="shared" ref="AX166:AX234" si="239">AI166+AL166+AO166</f>
        <v>0</v>
      </c>
    </row>
    <row r="167" spans="1:50" ht="24" x14ac:dyDescent="0.3">
      <c r="A167" s="140"/>
      <c r="B167" s="140"/>
      <c r="C167" s="140"/>
      <c r="D167" s="36" t="s">
        <v>4</v>
      </c>
      <c r="E167" s="24">
        <f t="shared" si="230"/>
        <v>0</v>
      </c>
      <c r="F167" s="24">
        <f t="shared" si="230"/>
        <v>0</v>
      </c>
      <c r="G167" s="24"/>
      <c r="H167" s="24"/>
      <c r="I167" s="24"/>
      <c r="J167" s="22"/>
      <c r="K167" s="24"/>
      <c r="L167" s="24"/>
      <c r="M167" s="22"/>
      <c r="N167" s="24"/>
      <c r="O167" s="24"/>
      <c r="P167" s="24"/>
      <c r="Q167" s="24"/>
      <c r="R167" s="24"/>
      <c r="S167" s="22"/>
      <c r="T167" s="24"/>
      <c r="U167" s="24"/>
      <c r="V167" s="24"/>
      <c r="W167" s="24"/>
      <c r="X167" s="24"/>
      <c r="Y167" s="22"/>
      <c r="Z167" s="24"/>
      <c r="AA167" s="24"/>
      <c r="AB167" s="22"/>
      <c r="AC167" s="24"/>
      <c r="AD167" s="24"/>
      <c r="AE167" s="22"/>
      <c r="AF167" s="24"/>
      <c r="AG167" s="24"/>
      <c r="AH167" s="24"/>
      <c r="AI167" s="24"/>
      <c r="AJ167" s="24"/>
      <c r="AK167" s="24"/>
      <c r="AL167" s="24"/>
      <c r="AM167" s="24"/>
      <c r="AN167" s="22"/>
      <c r="AO167" s="24"/>
      <c r="AP167" s="25"/>
      <c r="AQ167" s="24"/>
      <c r="AR167" s="34"/>
      <c r="AS167" s="34"/>
      <c r="AT167" s="100"/>
      <c r="AU167" s="83">
        <f t="shared" si="236"/>
        <v>0</v>
      </c>
      <c r="AV167" s="83">
        <f t="shared" si="237"/>
        <v>0</v>
      </c>
      <c r="AW167" s="83">
        <f t="shared" si="238"/>
        <v>0</v>
      </c>
      <c r="AX167" s="83">
        <f t="shared" si="239"/>
        <v>0</v>
      </c>
    </row>
    <row r="168" spans="1:50" ht="135.6" customHeight="1" x14ac:dyDescent="0.3">
      <c r="A168" s="140"/>
      <c r="B168" s="140"/>
      <c r="C168" s="140"/>
      <c r="D168" s="36" t="s">
        <v>44</v>
      </c>
      <c r="E168" s="24">
        <f t="shared" si="230"/>
        <v>327.5</v>
      </c>
      <c r="F168" s="24">
        <f t="shared" si="230"/>
        <v>327.5</v>
      </c>
      <c r="G168" s="24">
        <f t="shared" ref="G168" si="240">F168/E168*100</f>
        <v>100</v>
      </c>
      <c r="H168" s="24"/>
      <c r="I168" s="24"/>
      <c r="J168" s="22"/>
      <c r="K168" s="24"/>
      <c r="L168" s="24"/>
      <c r="M168" s="22"/>
      <c r="N168" s="24">
        <f>106-106</f>
        <v>0</v>
      </c>
      <c r="O168" s="24">
        <v>0</v>
      </c>
      <c r="P168" s="24"/>
      <c r="Q168" s="24"/>
      <c r="R168" s="24"/>
      <c r="S168" s="22"/>
      <c r="T168" s="24">
        <f>106-5.5</f>
        <v>100.5</v>
      </c>
      <c r="U168" s="24">
        <v>100.5</v>
      </c>
      <c r="V168" s="24">
        <f t="shared" ref="V168" si="241">U168/T168*100</f>
        <v>100</v>
      </c>
      <c r="W168" s="24"/>
      <c r="X168" s="24"/>
      <c r="Y168" s="22"/>
      <c r="Z168" s="24"/>
      <c r="AA168" s="24"/>
      <c r="AB168" s="22"/>
      <c r="AC168" s="24"/>
      <c r="AD168" s="24"/>
      <c r="AE168" s="22"/>
      <c r="AF168" s="24"/>
      <c r="AG168" s="24"/>
      <c r="AH168" s="24"/>
      <c r="AI168" s="24">
        <f>82-5.5</f>
        <v>76.5</v>
      </c>
      <c r="AJ168" s="24">
        <v>60.8</v>
      </c>
      <c r="AK168" s="24">
        <f t="shared" ref="AK168" si="242">AJ168/AI168*100</f>
        <v>79.477124183006538</v>
      </c>
      <c r="AL168" s="24"/>
      <c r="AM168" s="24"/>
      <c r="AN168" s="22"/>
      <c r="AO168" s="24">
        <f>128.4+22.1</f>
        <v>150.5</v>
      </c>
      <c r="AP168" s="25">
        <v>166.2</v>
      </c>
      <c r="AQ168" s="24">
        <f t="shared" ref="AQ168" si="243">AP168/AO168*100</f>
        <v>110.43189368770763</v>
      </c>
      <c r="AR168" s="90" t="s">
        <v>191</v>
      </c>
      <c r="AS168" s="90"/>
      <c r="AT168" s="100">
        <f t="shared" si="206"/>
        <v>1</v>
      </c>
      <c r="AU168" s="83">
        <f t="shared" si="236"/>
        <v>0</v>
      </c>
      <c r="AV168" s="83">
        <f t="shared" si="237"/>
        <v>100.5</v>
      </c>
      <c r="AW168" s="83">
        <f t="shared" si="238"/>
        <v>0</v>
      </c>
      <c r="AX168" s="83">
        <f t="shared" si="239"/>
        <v>227</v>
      </c>
    </row>
    <row r="169" spans="1:50" ht="12.6" customHeight="1" x14ac:dyDescent="0.3">
      <c r="A169" s="140"/>
      <c r="B169" s="140"/>
      <c r="C169" s="140"/>
      <c r="D169" s="36" t="s">
        <v>22</v>
      </c>
      <c r="E169" s="24">
        <f t="shared" si="230"/>
        <v>0</v>
      </c>
      <c r="F169" s="24">
        <f t="shared" si="230"/>
        <v>0</v>
      </c>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5"/>
      <c r="AQ169" s="25"/>
      <c r="AR169" s="34"/>
      <c r="AS169" s="34"/>
      <c r="AT169" s="100"/>
      <c r="AU169" s="83">
        <f t="shared" si="236"/>
        <v>0</v>
      </c>
      <c r="AV169" s="83">
        <f t="shared" si="237"/>
        <v>0</v>
      </c>
      <c r="AW169" s="83">
        <f t="shared" si="238"/>
        <v>0</v>
      </c>
      <c r="AX169" s="83">
        <f t="shared" si="239"/>
        <v>0</v>
      </c>
    </row>
    <row r="170" spans="1:50" ht="12" customHeight="1" x14ac:dyDescent="0.3">
      <c r="A170" s="140" t="s">
        <v>67</v>
      </c>
      <c r="B170" s="140" t="s">
        <v>156</v>
      </c>
      <c r="C170" s="140" t="s">
        <v>5</v>
      </c>
      <c r="D170" s="36" t="s">
        <v>3</v>
      </c>
      <c r="E170" s="24">
        <f t="shared" si="230"/>
        <v>18401.2</v>
      </c>
      <c r="F170" s="24">
        <f t="shared" si="230"/>
        <v>18401.2</v>
      </c>
      <c r="G170" s="24">
        <f>F170/E170*100</f>
        <v>100</v>
      </c>
      <c r="H170" s="24">
        <f>H171+H172+H173+H174</f>
        <v>715</v>
      </c>
      <c r="I170" s="24">
        <f>I171+I172+I173+I174</f>
        <v>715</v>
      </c>
      <c r="J170" s="24">
        <f>I170/H170*100</f>
        <v>100</v>
      </c>
      <c r="K170" s="24">
        <f t="shared" ref="K170:AP170" si="244">K171+K172+K173+K174</f>
        <v>1991</v>
      </c>
      <c r="L170" s="24">
        <f t="shared" si="244"/>
        <v>1991</v>
      </c>
      <c r="M170" s="24">
        <f t="shared" ref="M170:M173" si="245">L170/K170*100</f>
        <v>100</v>
      </c>
      <c r="N170" s="24">
        <f t="shared" si="244"/>
        <v>1758</v>
      </c>
      <c r="O170" s="24">
        <f t="shared" si="244"/>
        <v>1758</v>
      </c>
      <c r="P170" s="24">
        <f t="shared" ref="P170:P173" si="246">O170/N170*100</f>
        <v>100</v>
      </c>
      <c r="Q170" s="24">
        <f t="shared" si="244"/>
        <v>1680</v>
      </c>
      <c r="R170" s="24">
        <f t="shared" si="244"/>
        <v>1680</v>
      </c>
      <c r="S170" s="24">
        <f>R170/Q170*100</f>
        <v>100</v>
      </c>
      <c r="T170" s="24">
        <f t="shared" si="244"/>
        <v>1578.3999999999999</v>
      </c>
      <c r="U170" s="24">
        <f t="shared" si="244"/>
        <v>1578.4</v>
      </c>
      <c r="V170" s="24">
        <f>U170/T170*100</f>
        <v>100.00000000000003</v>
      </c>
      <c r="W170" s="24">
        <f t="shared" si="244"/>
        <v>500</v>
      </c>
      <c r="X170" s="24">
        <f t="shared" si="244"/>
        <v>500</v>
      </c>
      <c r="Y170" s="24">
        <f>X170/W170*100</f>
        <v>100</v>
      </c>
      <c r="Z170" s="24">
        <f t="shared" si="244"/>
        <v>1992.6</v>
      </c>
      <c r="AA170" s="24">
        <f t="shared" si="244"/>
        <v>1992.6</v>
      </c>
      <c r="AB170" s="24">
        <f>AA170/Z170*100</f>
        <v>100</v>
      </c>
      <c r="AC170" s="24">
        <f t="shared" si="244"/>
        <v>1565</v>
      </c>
      <c r="AD170" s="24">
        <f t="shared" si="244"/>
        <v>1565</v>
      </c>
      <c r="AE170" s="24">
        <f>AD170/AC170*100</f>
        <v>100</v>
      </c>
      <c r="AF170" s="24">
        <f t="shared" si="244"/>
        <v>1291</v>
      </c>
      <c r="AG170" s="24">
        <f t="shared" si="244"/>
        <v>1291</v>
      </c>
      <c r="AH170" s="24">
        <f>AG170/AF170*100</f>
        <v>100</v>
      </c>
      <c r="AI170" s="24">
        <f t="shared" si="244"/>
        <v>1534.9</v>
      </c>
      <c r="AJ170" s="24">
        <f t="shared" si="244"/>
        <v>2384.9</v>
      </c>
      <c r="AK170" s="24">
        <f>AJ170/AI170*100</f>
        <v>155.37820053423675</v>
      </c>
      <c r="AL170" s="24">
        <f t="shared" si="244"/>
        <v>1435.1</v>
      </c>
      <c r="AM170" s="24">
        <f t="shared" si="244"/>
        <v>1435</v>
      </c>
      <c r="AN170" s="24">
        <f>AM170/AL170*100</f>
        <v>99.993031844470764</v>
      </c>
      <c r="AO170" s="24">
        <f t="shared" si="244"/>
        <v>2360.1999999999998</v>
      </c>
      <c r="AP170" s="24">
        <f t="shared" si="244"/>
        <v>1510.3</v>
      </c>
      <c r="AQ170" s="24">
        <f>AP170/AO170*100</f>
        <v>63.990339801711727</v>
      </c>
      <c r="AR170" s="34"/>
      <c r="AS170" s="34"/>
      <c r="AT170" s="100">
        <f t="shared" si="206"/>
        <v>1</v>
      </c>
      <c r="AU170" s="83">
        <f t="shared" si="236"/>
        <v>4464</v>
      </c>
      <c r="AV170" s="83">
        <f t="shared" si="237"/>
        <v>3758.3999999999996</v>
      </c>
      <c r="AW170" s="83">
        <f t="shared" si="238"/>
        <v>4848.6000000000004</v>
      </c>
      <c r="AX170" s="83">
        <f t="shared" si="239"/>
        <v>5330.2</v>
      </c>
    </row>
    <row r="171" spans="1:50" ht="13.2" customHeight="1" x14ac:dyDescent="0.3">
      <c r="A171" s="140"/>
      <c r="B171" s="140"/>
      <c r="C171" s="140"/>
      <c r="D171" s="36" t="s">
        <v>21</v>
      </c>
      <c r="E171" s="24">
        <f t="shared" ref="E171:F189" si="247">H171+K171+N171+Q171+T171+W171+Z171+AC171+AF171+AI171+AL171+AO171</f>
        <v>0</v>
      </c>
      <c r="F171" s="24">
        <f t="shared" si="247"/>
        <v>0</v>
      </c>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34"/>
      <c r="AS171" s="34"/>
      <c r="AT171" s="100"/>
      <c r="AU171" s="83">
        <f t="shared" si="236"/>
        <v>0</v>
      </c>
      <c r="AV171" s="83">
        <f t="shared" si="237"/>
        <v>0</v>
      </c>
      <c r="AW171" s="83">
        <f t="shared" si="238"/>
        <v>0</v>
      </c>
      <c r="AX171" s="83">
        <f t="shared" si="239"/>
        <v>0</v>
      </c>
    </row>
    <row r="172" spans="1:50" ht="24" x14ac:dyDescent="0.3">
      <c r="A172" s="140"/>
      <c r="B172" s="140"/>
      <c r="C172" s="140"/>
      <c r="D172" s="36" t="s">
        <v>4</v>
      </c>
      <c r="E172" s="24">
        <f t="shared" si="247"/>
        <v>0</v>
      </c>
      <c r="F172" s="24">
        <f t="shared" si="247"/>
        <v>0</v>
      </c>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5"/>
      <c r="AQ172" s="24"/>
      <c r="AR172" s="34"/>
      <c r="AS172" s="34"/>
      <c r="AT172" s="100"/>
      <c r="AU172" s="83">
        <f t="shared" si="236"/>
        <v>0</v>
      </c>
      <c r="AV172" s="83">
        <f t="shared" si="237"/>
        <v>0</v>
      </c>
      <c r="AW172" s="83">
        <f t="shared" si="238"/>
        <v>0</v>
      </c>
      <c r="AX172" s="83">
        <f t="shared" si="239"/>
        <v>0</v>
      </c>
    </row>
    <row r="173" spans="1:50" ht="61.2" customHeight="1" x14ac:dyDescent="0.3">
      <c r="A173" s="140"/>
      <c r="B173" s="140"/>
      <c r="C173" s="140"/>
      <c r="D173" s="36" t="s">
        <v>44</v>
      </c>
      <c r="E173" s="24">
        <f t="shared" si="247"/>
        <v>18401.2</v>
      </c>
      <c r="F173" s="24">
        <f t="shared" si="247"/>
        <v>18401.2</v>
      </c>
      <c r="G173" s="24">
        <f t="shared" ref="G173" si="248">F173/E173*100</f>
        <v>100</v>
      </c>
      <c r="H173" s="24">
        <v>715</v>
      </c>
      <c r="I173" s="24">
        <v>715</v>
      </c>
      <c r="J173" s="24">
        <f t="shared" ref="J173" si="249">I173/H173*100</f>
        <v>100</v>
      </c>
      <c r="K173" s="24">
        <v>1991</v>
      </c>
      <c r="L173" s="24">
        <v>1991</v>
      </c>
      <c r="M173" s="24">
        <f t="shared" si="245"/>
        <v>100</v>
      </c>
      <c r="N173" s="24">
        <v>1758</v>
      </c>
      <c r="O173" s="24">
        <v>1758</v>
      </c>
      <c r="P173" s="24">
        <f t="shared" si="246"/>
        <v>100</v>
      </c>
      <c r="Q173" s="24">
        <v>1680</v>
      </c>
      <c r="R173" s="24">
        <v>1680</v>
      </c>
      <c r="S173" s="24">
        <f t="shared" ref="S173" si="250">R173/Q173*100</f>
        <v>100</v>
      </c>
      <c r="T173" s="24">
        <f>1554+21.3+3.1</f>
        <v>1578.3999999999999</v>
      </c>
      <c r="U173" s="24">
        <v>1578.4</v>
      </c>
      <c r="V173" s="24">
        <f t="shared" ref="V173" si="251">U173/T173*100</f>
        <v>100.00000000000003</v>
      </c>
      <c r="W173" s="24">
        <f>1510-1010</f>
        <v>500</v>
      </c>
      <c r="X173" s="24">
        <v>500</v>
      </c>
      <c r="Y173" s="24">
        <f t="shared" ref="Y173" si="252">X173/W173*100</f>
        <v>100</v>
      </c>
      <c r="Z173" s="24">
        <f>1992+0.1+0.5</f>
        <v>1992.6</v>
      </c>
      <c r="AA173" s="24">
        <v>1992.6</v>
      </c>
      <c r="AB173" s="24">
        <f t="shared" ref="AB173" si="253">AA173/Z173*100</f>
        <v>100</v>
      </c>
      <c r="AC173" s="24">
        <v>1565</v>
      </c>
      <c r="AD173" s="24">
        <v>1565</v>
      </c>
      <c r="AE173" s="24">
        <f t="shared" ref="AE173" si="254">AD173/AC173*100</f>
        <v>100</v>
      </c>
      <c r="AF173" s="24">
        <v>1291</v>
      </c>
      <c r="AG173" s="24">
        <v>1291</v>
      </c>
      <c r="AH173" s="24">
        <f t="shared" ref="AH173" si="255">AG173/AF173*100</f>
        <v>100</v>
      </c>
      <c r="AI173" s="24">
        <f>1520+18.4-3.1-0.4</f>
        <v>1534.9</v>
      </c>
      <c r="AJ173" s="24">
        <v>2384.9</v>
      </c>
      <c r="AK173" s="24">
        <f t="shared" ref="AK173" si="256">AJ173/AI173*100</f>
        <v>155.37820053423675</v>
      </c>
      <c r="AL173" s="24">
        <f>1435+0.1</f>
        <v>1435.1</v>
      </c>
      <c r="AM173" s="24">
        <v>1435</v>
      </c>
      <c r="AN173" s="24">
        <f t="shared" ref="AN173" si="257">AM173/AL173*100</f>
        <v>99.993031844470764</v>
      </c>
      <c r="AO173" s="24">
        <f>1510.2+850</f>
        <v>2360.1999999999998</v>
      </c>
      <c r="AP173" s="24">
        <v>1510.3</v>
      </c>
      <c r="AQ173" s="24">
        <f t="shared" ref="AQ173" si="258">AP173/AO173*100</f>
        <v>63.990339801711727</v>
      </c>
      <c r="AR173" s="90" t="s">
        <v>184</v>
      </c>
      <c r="AS173" s="41"/>
      <c r="AT173" s="100">
        <f t="shared" si="206"/>
        <v>1</v>
      </c>
      <c r="AU173" s="83">
        <f t="shared" si="236"/>
        <v>4464</v>
      </c>
      <c r="AV173" s="83">
        <f t="shared" si="237"/>
        <v>3758.3999999999996</v>
      </c>
      <c r="AW173" s="83">
        <f t="shared" si="238"/>
        <v>4848.6000000000004</v>
      </c>
      <c r="AX173" s="83">
        <f t="shared" si="239"/>
        <v>5330.2</v>
      </c>
    </row>
    <row r="174" spans="1:50" ht="13.8" customHeight="1" x14ac:dyDescent="0.3">
      <c r="A174" s="140"/>
      <c r="B174" s="140"/>
      <c r="C174" s="140"/>
      <c r="D174" s="36" t="s">
        <v>22</v>
      </c>
      <c r="E174" s="24">
        <f t="shared" si="247"/>
        <v>0</v>
      </c>
      <c r="F174" s="24">
        <f t="shared" si="247"/>
        <v>0</v>
      </c>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5"/>
      <c r="AQ174" s="24"/>
      <c r="AR174" s="34"/>
      <c r="AS174" s="34"/>
      <c r="AT174" s="100"/>
      <c r="AU174" s="83">
        <f t="shared" si="236"/>
        <v>0</v>
      </c>
      <c r="AV174" s="83">
        <f t="shared" si="237"/>
        <v>0</v>
      </c>
      <c r="AW174" s="83">
        <f t="shared" si="238"/>
        <v>0</v>
      </c>
      <c r="AX174" s="83">
        <f t="shared" si="239"/>
        <v>0</v>
      </c>
    </row>
    <row r="175" spans="1:50" ht="13.2" customHeight="1" x14ac:dyDescent="0.3">
      <c r="A175" s="140" t="s">
        <v>68</v>
      </c>
      <c r="B175" s="140" t="s">
        <v>101</v>
      </c>
      <c r="C175" s="140" t="s">
        <v>5</v>
      </c>
      <c r="D175" s="36" t="s">
        <v>3</v>
      </c>
      <c r="E175" s="24">
        <f t="shared" si="247"/>
        <v>30751.699999999997</v>
      </c>
      <c r="F175" s="24">
        <f t="shared" si="247"/>
        <v>28990.1</v>
      </c>
      <c r="G175" s="24">
        <f>F175/E175*100</f>
        <v>94.271536207754366</v>
      </c>
      <c r="H175" s="24">
        <f>H176+H177+H178+H179</f>
        <v>1151.0999999999999</v>
      </c>
      <c r="I175" s="24">
        <f>I176+I177+I178+I179</f>
        <v>2180.5</v>
      </c>
      <c r="J175" s="24">
        <f>I175/H175*100</f>
        <v>189.42750412648772</v>
      </c>
      <c r="K175" s="24">
        <f t="shared" ref="K175:AP175" si="259">K176+K177+K178+K179</f>
        <v>3500.1</v>
      </c>
      <c r="L175" s="24">
        <f t="shared" si="259"/>
        <v>2570.7999999999997</v>
      </c>
      <c r="M175" s="24">
        <f t="shared" ref="M175:M178" si="260">L175/K175*100</f>
        <v>73.449330019142295</v>
      </c>
      <c r="N175" s="24">
        <f t="shared" si="259"/>
        <v>3649.1</v>
      </c>
      <c r="O175" s="24">
        <f t="shared" si="259"/>
        <v>2629.6000000000004</v>
      </c>
      <c r="P175" s="24">
        <f t="shared" ref="P175:P178" si="261">O175/N175*100</f>
        <v>72.061604231180297</v>
      </c>
      <c r="Q175" s="24">
        <f t="shared" si="259"/>
        <v>2584.5</v>
      </c>
      <c r="R175" s="24">
        <f t="shared" si="259"/>
        <v>3004.2999999999997</v>
      </c>
      <c r="S175" s="24">
        <f>R175/Q175*100</f>
        <v>116.24298703811181</v>
      </c>
      <c r="T175" s="24">
        <f t="shared" si="259"/>
        <v>2316.2999999999997</v>
      </c>
      <c r="U175" s="24">
        <f t="shared" si="259"/>
        <v>1099.0999999999999</v>
      </c>
      <c r="V175" s="24">
        <f>U175/T175*100</f>
        <v>47.450675646505204</v>
      </c>
      <c r="W175" s="24">
        <f t="shared" si="259"/>
        <v>2479.6999999999998</v>
      </c>
      <c r="X175" s="24">
        <f t="shared" si="259"/>
        <v>2595.5</v>
      </c>
      <c r="Y175" s="24">
        <f>X175/W175*100</f>
        <v>104.66991974835666</v>
      </c>
      <c r="Z175" s="24">
        <f t="shared" si="259"/>
        <v>3499.1</v>
      </c>
      <c r="AA175" s="24">
        <f t="shared" si="259"/>
        <v>3071</v>
      </c>
      <c r="AB175" s="24">
        <f>AA175/Z175*100</f>
        <v>87.765425395101602</v>
      </c>
      <c r="AC175" s="24">
        <f t="shared" si="259"/>
        <v>2988.7</v>
      </c>
      <c r="AD175" s="24">
        <f t="shared" si="259"/>
        <v>2485.6</v>
      </c>
      <c r="AE175" s="24">
        <f>AD175/AC175*100</f>
        <v>83.166594171378861</v>
      </c>
      <c r="AF175" s="24">
        <f t="shared" si="259"/>
        <v>1775.1999999999998</v>
      </c>
      <c r="AG175" s="24">
        <f t="shared" si="259"/>
        <v>1467.9</v>
      </c>
      <c r="AH175" s="24">
        <f>AG175/AF175*100</f>
        <v>82.689274447949543</v>
      </c>
      <c r="AI175" s="24">
        <f t="shared" si="259"/>
        <v>1513.1</v>
      </c>
      <c r="AJ175" s="24">
        <f t="shared" si="259"/>
        <v>2028.3999999999999</v>
      </c>
      <c r="AK175" s="24">
        <f>AJ175/AI175*100</f>
        <v>134.05591170444782</v>
      </c>
      <c r="AL175" s="24">
        <f t="shared" si="259"/>
        <v>1922.9</v>
      </c>
      <c r="AM175" s="24">
        <f t="shared" si="259"/>
        <v>2008.3</v>
      </c>
      <c r="AN175" s="24">
        <f>AM175/AL175*100</f>
        <v>104.44120859119039</v>
      </c>
      <c r="AO175" s="24">
        <f t="shared" si="259"/>
        <v>3371.8999999999996</v>
      </c>
      <c r="AP175" s="24">
        <f t="shared" si="259"/>
        <v>3849.1</v>
      </c>
      <c r="AQ175" s="24">
        <f>AP175/AO175*100</f>
        <v>114.15225837065157</v>
      </c>
      <c r="AR175" s="34"/>
      <c r="AS175" s="34"/>
      <c r="AT175" s="100">
        <f t="shared" si="206"/>
        <v>0.94271536207754369</v>
      </c>
      <c r="AU175" s="83">
        <f t="shared" si="236"/>
        <v>8300.2999999999993</v>
      </c>
      <c r="AV175" s="83">
        <f t="shared" si="237"/>
        <v>7380.4999999999991</v>
      </c>
      <c r="AW175" s="83">
        <f t="shared" si="238"/>
        <v>8263</v>
      </c>
      <c r="AX175" s="83">
        <f t="shared" si="239"/>
        <v>6807.9</v>
      </c>
    </row>
    <row r="176" spans="1:50" x14ac:dyDescent="0.3">
      <c r="A176" s="140"/>
      <c r="B176" s="140"/>
      <c r="C176" s="140"/>
      <c r="D176" s="36" t="s">
        <v>21</v>
      </c>
      <c r="E176" s="24">
        <f t="shared" si="247"/>
        <v>0</v>
      </c>
      <c r="F176" s="24">
        <f t="shared" si="247"/>
        <v>0</v>
      </c>
      <c r="G176" s="24"/>
      <c r="H176" s="24"/>
      <c r="I176" s="24"/>
      <c r="J176" s="24"/>
      <c r="K176" s="24"/>
      <c r="L176" s="24"/>
      <c r="M176" s="24"/>
      <c r="N176" s="24"/>
      <c r="O176" s="24"/>
      <c r="P176" s="24"/>
      <c r="Q176" s="24"/>
      <c r="R176" s="24"/>
      <c r="S176" s="24"/>
      <c r="T176" s="24"/>
      <c r="U176" s="24"/>
      <c r="V176" s="24"/>
      <c r="W176" s="24"/>
      <c r="X176" s="24"/>
      <c r="Y176" s="24"/>
      <c r="Z176" s="24"/>
      <c r="AA176" s="24"/>
      <c r="AB176" s="22"/>
      <c r="AC176" s="24"/>
      <c r="AD176" s="24"/>
      <c r="AE176" s="24"/>
      <c r="AF176" s="24"/>
      <c r="AG176" s="24"/>
      <c r="AH176" s="24"/>
      <c r="AI176" s="24"/>
      <c r="AJ176" s="24"/>
      <c r="AK176" s="24"/>
      <c r="AL176" s="24"/>
      <c r="AM176" s="24"/>
      <c r="AN176" s="24"/>
      <c r="AO176" s="24"/>
      <c r="AP176" s="24"/>
      <c r="AQ176" s="24"/>
      <c r="AR176" s="34"/>
      <c r="AS176" s="34"/>
      <c r="AT176" s="100"/>
      <c r="AU176" s="83">
        <f t="shared" si="236"/>
        <v>0</v>
      </c>
      <c r="AV176" s="83">
        <f t="shared" si="237"/>
        <v>0</v>
      </c>
      <c r="AW176" s="83">
        <f t="shared" si="238"/>
        <v>0</v>
      </c>
      <c r="AX176" s="83">
        <f t="shared" si="239"/>
        <v>0</v>
      </c>
    </row>
    <row r="177" spans="1:50" ht="61.2" customHeight="1" x14ac:dyDescent="0.3">
      <c r="A177" s="140"/>
      <c r="B177" s="140"/>
      <c r="C177" s="140"/>
      <c r="D177" s="36" t="s">
        <v>4</v>
      </c>
      <c r="E177" s="24">
        <f t="shared" si="247"/>
        <v>1515</v>
      </c>
      <c r="F177" s="24">
        <f t="shared" si="247"/>
        <v>1428.5</v>
      </c>
      <c r="G177" s="24">
        <f t="shared" ref="G177:G178" si="262">F177/E177*100</f>
        <v>94.290429042904293</v>
      </c>
      <c r="H177" s="24">
        <v>39</v>
      </c>
      <c r="I177" s="24">
        <v>7.6</v>
      </c>
      <c r="J177" s="24">
        <f>I177/H177*100</f>
        <v>19.487179487179489</v>
      </c>
      <c r="K177" s="24">
        <v>113</v>
      </c>
      <c r="L177" s="24">
        <v>84.6</v>
      </c>
      <c r="M177" s="24">
        <f t="shared" si="260"/>
        <v>74.86725663716814</v>
      </c>
      <c r="N177" s="24">
        <v>257</v>
      </c>
      <c r="O177" s="24">
        <v>62.3</v>
      </c>
      <c r="P177" s="24">
        <f t="shared" si="261"/>
        <v>24.24124513618677</v>
      </c>
      <c r="Q177" s="24">
        <v>151</v>
      </c>
      <c r="R177" s="24">
        <v>155.19999999999999</v>
      </c>
      <c r="S177" s="24">
        <f t="shared" ref="S177:S178" si="263">R177/Q177*100</f>
        <v>102.78145695364238</v>
      </c>
      <c r="T177" s="24">
        <v>89</v>
      </c>
      <c r="U177" s="24">
        <v>9</v>
      </c>
      <c r="V177" s="24">
        <f t="shared" ref="V177:V178" si="264">U177/T177*100</f>
        <v>10.112359550561797</v>
      </c>
      <c r="W177" s="24">
        <v>181</v>
      </c>
      <c r="X177" s="24">
        <v>134.5</v>
      </c>
      <c r="Y177" s="24">
        <f t="shared" ref="Y177:Y178" si="265">X177/W177*100</f>
        <v>74.309392265193381</v>
      </c>
      <c r="Z177" s="24">
        <v>131</v>
      </c>
      <c r="AA177" s="24">
        <v>273.7</v>
      </c>
      <c r="AB177" s="24">
        <f>AA177/Z177*100</f>
        <v>208.93129770992368</v>
      </c>
      <c r="AC177" s="24">
        <v>138</v>
      </c>
      <c r="AD177" s="24">
        <v>162.19999999999999</v>
      </c>
      <c r="AE177" s="24">
        <f t="shared" ref="AE177:AE178" si="266">AD177/AC177*100</f>
        <v>117.53623188405797</v>
      </c>
      <c r="AF177" s="24">
        <v>153</v>
      </c>
      <c r="AG177" s="24">
        <v>48.9</v>
      </c>
      <c r="AH177" s="24">
        <f t="shared" ref="AH177:AH178" si="267">AG177/AF177*100</f>
        <v>31.960784313725487</v>
      </c>
      <c r="AI177" s="24">
        <v>119.3</v>
      </c>
      <c r="AJ177" s="24">
        <v>119.3</v>
      </c>
      <c r="AK177" s="24">
        <f t="shared" ref="AK177:AK178" si="268">AJ177/AI177*100</f>
        <v>100</v>
      </c>
      <c r="AL177" s="24">
        <v>57</v>
      </c>
      <c r="AM177" s="24">
        <v>57</v>
      </c>
      <c r="AN177" s="24">
        <f t="shared" ref="AN177:AN178" si="269">AM177/AL177*100</f>
        <v>100</v>
      </c>
      <c r="AO177" s="24">
        <f>135-48.3</f>
        <v>86.7</v>
      </c>
      <c r="AP177" s="25">
        <v>314.2</v>
      </c>
      <c r="AQ177" s="24">
        <f t="shared" ref="AQ177:AQ178" si="270">AP177/AO177*100</f>
        <v>362.39907727796998</v>
      </c>
      <c r="AR177" s="90" t="s">
        <v>185</v>
      </c>
      <c r="AS177" s="62" t="s">
        <v>161</v>
      </c>
      <c r="AT177" s="100">
        <f t="shared" si="206"/>
        <v>0.94290429042904289</v>
      </c>
      <c r="AU177" s="83">
        <f t="shared" si="236"/>
        <v>409</v>
      </c>
      <c r="AV177" s="83">
        <f t="shared" si="237"/>
        <v>421</v>
      </c>
      <c r="AW177" s="83">
        <f t="shared" si="238"/>
        <v>422</v>
      </c>
      <c r="AX177" s="83">
        <f t="shared" si="239"/>
        <v>263</v>
      </c>
    </row>
    <row r="178" spans="1:50" ht="84" x14ac:dyDescent="0.3">
      <c r="A178" s="140"/>
      <c r="B178" s="140"/>
      <c r="C178" s="140"/>
      <c r="D178" s="36" t="s">
        <v>44</v>
      </c>
      <c r="E178" s="24">
        <f t="shared" si="247"/>
        <v>29236.7</v>
      </c>
      <c r="F178" s="24">
        <f t="shared" si="247"/>
        <v>27561.600000000002</v>
      </c>
      <c r="G178" s="24">
        <f t="shared" si="262"/>
        <v>94.270557210629107</v>
      </c>
      <c r="H178" s="24">
        <v>1112.0999999999999</v>
      </c>
      <c r="I178" s="24">
        <v>2172.9</v>
      </c>
      <c r="J178" s="24">
        <f t="shared" ref="J178" si="271">I178/H178*100</f>
        <v>195.38710547612627</v>
      </c>
      <c r="K178" s="24">
        <v>3387.1</v>
      </c>
      <c r="L178" s="24">
        <v>2486.1999999999998</v>
      </c>
      <c r="M178" s="24">
        <f t="shared" si="260"/>
        <v>73.402025331404445</v>
      </c>
      <c r="N178" s="24">
        <f>3591.5-199.4</f>
        <v>3392.1</v>
      </c>
      <c r="O178" s="24">
        <v>2567.3000000000002</v>
      </c>
      <c r="P178" s="24">
        <f t="shared" si="261"/>
        <v>75.684679107337644</v>
      </c>
      <c r="Q178" s="24">
        <f>2274.1+159.4</f>
        <v>2433.5</v>
      </c>
      <c r="R178" s="24">
        <v>2849.1</v>
      </c>
      <c r="S178" s="24">
        <f t="shared" si="263"/>
        <v>117.07828230943085</v>
      </c>
      <c r="T178" s="24">
        <f>2520-159.4-133.3</f>
        <v>2227.2999999999997</v>
      </c>
      <c r="U178" s="24">
        <v>1090.0999999999999</v>
      </c>
      <c r="V178" s="24">
        <f t="shared" si="264"/>
        <v>48.942666008171329</v>
      </c>
      <c r="W178" s="24">
        <v>2298.6999999999998</v>
      </c>
      <c r="X178" s="24">
        <v>2461</v>
      </c>
      <c r="Y178" s="24">
        <f t="shared" si="265"/>
        <v>107.06051246356638</v>
      </c>
      <c r="Z178" s="24">
        <f>3368.1</f>
        <v>3368.1</v>
      </c>
      <c r="AA178" s="24">
        <v>2797.3</v>
      </c>
      <c r="AB178" s="24">
        <f>AA178/Z178*100</f>
        <v>83.052759716160452</v>
      </c>
      <c r="AC178" s="24">
        <f>2553+307.6-9.9</f>
        <v>2850.7</v>
      </c>
      <c r="AD178" s="24">
        <v>2323.4</v>
      </c>
      <c r="AE178" s="24">
        <f t="shared" si="266"/>
        <v>81.502788788718576</v>
      </c>
      <c r="AF178" s="24">
        <f>2256.2-634</f>
        <v>1622.1999999999998</v>
      </c>
      <c r="AG178" s="24">
        <v>1419</v>
      </c>
      <c r="AH178" s="24">
        <f t="shared" si="267"/>
        <v>87.473801010972764</v>
      </c>
      <c r="AI178" s="24">
        <f>1955.1-561.3</f>
        <v>1393.8</v>
      </c>
      <c r="AJ178" s="24">
        <v>1909.1</v>
      </c>
      <c r="AK178" s="24">
        <f t="shared" si="268"/>
        <v>136.97087100014349</v>
      </c>
      <c r="AL178" s="24">
        <v>1865.9</v>
      </c>
      <c r="AM178" s="24">
        <v>1951.3</v>
      </c>
      <c r="AN178" s="24">
        <f t="shared" si="269"/>
        <v>104.5768797899137</v>
      </c>
      <c r="AO178" s="24">
        <v>3285.2</v>
      </c>
      <c r="AP178" s="25">
        <v>3534.9</v>
      </c>
      <c r="AQ178" s="24">
        <f t="shared" si="270"/>
        <v>107.60075490076709</v>
      </c>
      <c r="AR178" s="90" t="s">
        <v>186</v>
      </c>
      <c r="AS178" s="88" t="s">
        <v>199</v>
      </c>
      <c r="AT178" s="100">
        <f t="shared" si="206"/>
        <v>0.94270557210629113</v>
      </c>
      <c r="AU178" s="83">
        <f t="shared" si="236"/>
        <v>7891.2999999999993</v>
      </c>
      <c r="AV178" s="83">
        <f t="shared" si="237"/>
        <v>6959.4999999999991</v>
      </c>
      <c r="AW178" s="83">
        <f t="shared" si="238"/>
        <v>7840.9999999999991</v>
      </c>
      <c r="AX178" s="83">
        <f t="shared" si="239"/>
        <v>6544.9</v>
      </c>
    </row>
    <row r="179" spans="1:50" ht="15.75" customHeight="1" x14ac:dyDescent="0.3">
      <c r="A179" s="140"/>
      <c r="B179" s="140"/>
      <c r="C179" s="140"/>
      <c r="D179" s="36" t="s">
        <v>22</v>
      </c>
      <c r="E179" s="24">
        <f t="shared" si="247"/>
        <v>0</v>
      </c>
      <c r="F179" s="24">
        <f t="shared" si="247"/>
        <v>0</v>
      </c>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5"/>
      <c r="AQ179" s="25"/>
      <c r="AR179" s="34"/>
      <c r="AS179" s="34"/>
      <c r="AT179" s="100"/>
      <c r="AU179" s="83">
        <f t="shared" si="236"/>
        <v>0</v>
      </c>
      <c r="AV179" s="83">
        <f t="shared" si="237"/>
        <v>0</v>
      </c>
      <c r="AW179" s="83">
        <f t="shared" si="238"/>
        <v>0</v>
      </c>
      <c r="AX179" s="83">
        <f t="shared" si="239"/>
        <v>0</v>
      </c>
    </row>
    <row r="180" spans="1:50" ht="15.75" customHeight="1" x14ac:dyDescent="0.3">
      <c r="A180" s="140" t="s">
        <v>69</v>
      </c>
      <c r="B180" s="140" t="s">
        <v>102</v>
      </c>
      <c r="C180" s="140" t="s">
        <v>5</v>
      </c>
      <c r="D180" s="36" t="s">
        <v>3</v>
      </c>
      <c r="E180" s="24">
        <f t="shared" si="247"/>
        <v>0</v>
      </c>
      <c r="F180" s="24">
        <f t="shared" si="247"/>
        <v>0</v>
      </c>
      <c r="G180" s="24"/>
      <c r="H180" s="24">
        <f>H181+H182+H183+H184</f>
        <v>0</v>
      </c>
      <c r="I180" s="24"/>
      <c r="J180" s="24"/>
      <c r="K180" s="24">
        <f t="shared" ref="K180:AO180" si="272">K181+K182+K183+K184</f>
        <v>0</v>
      </c>
      <c r="L180" s="24"/>
      <c r="M180" s="24"/>
      <c r="N180" s="24">
        <f t="shared" si="272"/>
        <v>0</v>
      </c>
      <c r="O180" s="24"/>
      <c r="P180" s="24"/>
      <c r="Q180" s="24">
        <f t="shared" si="272"/>
        <v>0</v>
      </c>
      <c r="R180" s="24"/>
      <c r="S180" s="24"/>
      <c r="T180" s="24">
        <f t="shared" si="272"/>
        <v>0</v>
      </c>
      <c r="U180" s="24"/>
      <c r="V180" s="24"/>
      <c r="W180" s="24">
        <f t="shared" si="272"/>
        <v>0</v>
      </c>
      <c r="X180" s="24"/>
      <c r="Y180" s="24"/>
      <c r="Z180" s="24">
        <f t="shared" si="272"/>
        <v>0</v>
      </c>
      <c r="AA180" s="24"/>
      <c r="AB180" s="24"/>
      <c r="AC180" s="24">
        <f t="shared" si="272"/>
        <v>0</v>
      </c>
      <c r="AD180" s="24"/>
      <c r="AE180" s="24"/>
      <c r="AF180" s="24">
        <f t="shared" si="272"/>
        <v>0</v>
      </c>
      <c r="AG180" s="24"/>
      <c r="AH180" s="24"/>
      <c r="AI180" s="24">
        <f t="shared" si="272"/>
        <v>0</v>
      </c>
      <c r="AJ180" s="24"/>
      <c r="AK180" s="24"/>
      <c r="AL180" s="24">
        <f t="shared" si="272"/>
        <v>0</v>
      </c>
      <c r="AM180" s="24"/>
      <c r="AN180" s="24"/>
      <c r="AO180" s="24">
        <f t="shared" si="272"/>
        <v>0</v>
      </c>
      <c r="AP180" s="24"/>
      <c r="AQ180" s="25"/>
      <c r="AR180" s="34"/>
      <c r="AS180" s="34"/>
      <c r="AT180" s="100"/>
      <c r="AU180" s="83">
        <f t="shared" si="236"/>
        <v>0</v>
      </c>
      <c r="AV180" s="83">
        <f t="shared" si="237"/>
        <v>0</v>
      </c>
      <c r="AW180" s="83">
        <f t="shared" si="238"/>
        <v>0</v>
      </c>
      <c r="AX180" s="83">
        <f t="shared" si="239"/>
        <v>0</v>
      </c>
    </row>
    <row r="181" spans="1:50" x14ac:dyDescent="0.3">
      <c r="A181" s="140"/>
      <c r="B181" s="140"/>
      <c r="C181" s="140"/>
      <c r="D181" s="36" t="s">
        <v>21</v>
      </c>
      <c r="E181" s="24">
        <f t="shared" si="247"/>
        <v>0</v>
      </c>
      <c r="F181" s="24">
        <f t="shared" si="247"/>
        <v>0</v>
      </c>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5"/>
      <c r="AR181" s="34"/>
      <c r="AS181" s="34"/>
      <c r="AT181" s="100"/>
      <c r="AU181" s="83">
        <f t="shared" si="236"/>
        <v>0</v>
      </c>
      <c r="AV181" s="83">
        <f t="shared" si="237"/>
        <v>0</v>
      </c>
      <c r="AW181" s="83">
        <f t="shared" si="238"/>
        <v>0</v>
      </c>
      <c r="AX181" s="83">
        <f t="shared" si="239"/>
        <v>0</v>
      </c>
    </row>
    <row r="182" spans="1:50" ht="26.25" customHeight="1" x14ac:dyDescent="0.3">
      <c r="A182" s="140"/>
      <c r="B182" s="140"/>
      <c r="C182" s="140"/>
      <c r="D182" s="36" t="s">
        <v>4</v>
      </c>
      <c r="E182" s="24">
        <f t="shared" si="247"/>
        <v>0</v>
      </c>
      <c r="F182" s="24">
        <f t="shared" si="247"/>
        <v>0</v>
      </c>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5"/>
      <c r="AR182" s="34"/>
      <c r="AS182" s="34"/>
      <c r="AT182" s="100"/>
      <c r="AU182" s="83">
        <f t="shared" si="236"/>
        <v>0</v>
      </c>
      <c r="AV182" s="83">
        <f t="shared" si="237"/>
        <v>0</v>
      </c>
      <c r="AW182" s="83">
        <f t="shared" si="238"/>
        <v>0</v>
      </c>
      <c r="AX182" s="83">
        <f t="shared" si="239"/>
        <v>0</v>
      </c>
    </row>
    <row r="183" spans="1:50" x14ac:dyDescent="0.3">
      <c r="A183" s="140"/>
      <c r="B183" s="140"/>
      <c r="C183" s="140"/>
      <c r="D183" s="36" t="s">
        <v>44</v>
      </c>
      <c r="E183" s="24">
        <f t="shared" si="247"/>
        <v>0</v>
      </c>
      <c r="F183" s="24">
        <f t="shared" si="247"/>
        <v>0</v>
      </c>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5"/>
      <c r="AR183" s="34"/>
      <c r="AS183" s="34"/>
      <c r="AT183" s="100"/>
      <c r="AU183" s="83">
        <f t="shared" si="236"/>
        <v>0</v>
      </c>
      <c r="AV183" s="83">
        <f t="shared" si="237"/>
        <v>0</v>
      </c>
      <c r="AW183" s="83">
        <f t="shared" si="238"/>
        <v>0</v>
      </c>
      <c r="AX183" s="83">
        <f t="shared" si="239"/>
        <v>0</v>
      </c>
    </row>
    <row r="184" spans="1:50" ht="15.75" customHeight="1" x14ac:dyDescent="0.3">
      <c r="A184" s="140"/>
      <c r="B184" s="140"/>
      <c r="C184" s="140"/>
      <c r="D184" s="36" t="s">
        <v>22</v>
      </c>
      <c r="E184" s="24">
        <f t="shared" si="247"/>
        <v>0</v>
      </c>
      <c r="F184" s="24">
        <f t="shared" si="247"/>
        <v>0</v>
      </c>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5"/>
      <c r="AR184" s="34"/>
      <c r="AS184" s="34"/>
      <c r="AT184" s="100"/>
      <c r="AU184" s="83">
        <f t="shared" si="236"/>
        <v>0</v>
      </c>
      <c r="AV184" s="83">
        <f t="shared" si="237"/>
        <v>0</v>
      </c>
      <c r="AW184" s="83">
        <f t="shared" si="238"/>
        <v>0</v>
      </c>
      <c r="AX184" s="83">
        <f t="shared" si="239"/>
        <v>0</v>
      </c>
    </row>
    <row r="185" spans="1:50" ht="12" customHeight="1" x14ac:dyDescent="0.3">
      <c r="A185" s="146" t="s">
        <v>12</v>
      </c>
      <c r="B185" s="146"/>
      <c r="C185" s="146"/>
      <c r="D185" s="37" t="s">
        <v>3</v>
      </c>
      <c r="E185" s="38">
        <f t="shared" si="247"/>
        <v>49493.4</v>
      </c>
      <c r="F185" s="38">
        <f t="shared" si="247"/>
        <v>47731.799999999996</v>
      </c>
      <c r="G185" s="38">
        <f>F185/E185*100</f>
        <v>96.440737552885821</v>
      </c>
      <c r="H185" s="38">
        <f>H186+H187+H188+H189</f>
        <v>1866.1</v>
      </c>
      <c r="I185" s="38">
        <f>I186+I187+I188+I189</f>
        <v>2895.5</v>
      </c>
      <c r="J185" s="38">
        <f>I185/H185*100</f>
        <v>155.16317453512673</v>
      </c>
      <c r="K185" s="38">
        <f t="shared" ref="K185:AO185" si="273">K186+K187+K188+K189</f>
        <v>5491.1</v>
      </c>
      <c r="L185" s="38">
        <f t="shared" si="273"/>
        <v>4561.8</v>
      </c>
      <c r="M185" s="38">
        <f t="shared" ref="M185:M188" si="274">L185/K185*100</f>
        <v>83.076250660159161</v>
      </c>
      <c r="N185" s="38">
        <f t="shared" si="273"/>
        <v>5407.1</v>
      </c>
      <c r="O185" s="38">
        <f t="shared" si="273"/>
        <v>4387.6000000000004</v>
      </c>
      <c r="P185" s="38">
        <f t="shared" ref="P185:P188" si="275">O185/N185*100</f>
        <v>81.145160992028991</v>
      </c>
      <c r="Q185" s="38">
        <f t="shared" si="273"/>
        <v>4264.5</v>
      </c>
      <c r="R185" s="38">
        <f t="shared" si="273"/>
        <v>4684.3</v>
      </c>
      <c r="S185" s="38">
        <f>R185/Q185*100</f>
        <v>109.84406143744872</v>
      </c>
      <c r="T185" s="38">
        <f t="shared" si="273"/>
        <v>3995.2</v>
      </c>
      <c r="U185" s="38">
        <f t="shared" si="273"/>
        <v>2778</v>
      </c>
      <c r="V185" s="38">
        <f>U185/T185*100</f>
        <v>69.533440128153785</v>
      </c>
      <c r="W185" s="38">
        <f t="shared" si="273"/>
        <v>2979.7</v>
      </c>
      <c r="X185" s="38">
        <f t="shared" si="273"/>
        <v>3095.5</v>
      </c>
      <c r="Y185" s="38">
        <f>X185/W185*100</f>
        <v>103.8862972782495</v>
      </c>
      <c r="Z185" s="38">
        <f t="shared" si="273"/>
        <v>5491.7</v>
      </c>
      <c r="AA185" s="38">
        <f t="shared" si="273"/>
        <v>5063.5999999999995</v>
      </c>
      <c r="AB185" s="38">
        <f>AA185/Z185*100</f>
        <v>92.204599668590788</v>
      </c>
      <c r="AC185" s="38">
        <f t="shared" si="273"/>
        <v>4566.7</v>
      </c>
      <c r="AD185" s="38">
        <f t="shared" si="273"/>
        <v>4063.6</v>
      </c>
      <c r="AE185" s="38">
        <f>AD185/AC185*100</f>
        <v>88.983292092758447</v>
      </c>
      <c r="AF185" s="38">
        <f t="shared" si="273"/>
        <v>3066.2</v>
      </c>
      <c r="AG185" s="38">
        <f t="shared" si="273"/>
        <v>2758.9</v>
      </c>
      <c r="AH185" s="38">
        <f>AG185/AF185*100</f>
        <v>89.977822712151863</v>
      </c>
      <c r="AI185" s="38">
        <f t="shared" si="273"/>
        <v>3124.5</v>
      </c>
      <c r="AJ185" s="38">
        <f t="shared" si="273"/>
        <v>4474.1000000000004</v>
      </c>
      <c r="AK185" s="38">
        <f>AJ185/AI185*100</f>
        <v>143.19411105776925</v>
      </c>
      <c r="AL185" s="38">
        <f t="shared" si="273"/>
        <v>3358</v>
      </c>
      <c r="AM185" s="38">
        <f t="shared" si="273"/>
        <v>3443.3</v>
      </c>
      <c r="AN185" s="38">
        <f>AM185/AL185*100</f>
        <v>102.54020250148899</v>
      </c>
      <c r="AO185" s="38">
        <f t="shared" si="273"/>
        <v>5882.5999999999995</v>
      </c>
      <c r="AP185" s="38">
        <f t="shared" ref="AP185" si="276">AP186+AP187+AP188+AP189</f>
        <v>5525.5999999999995</v>
      </c>
      <c r="AQ185" s="38">
        <f>AP185/AO185*100</f>
        <v>93.931254887294742</v>
      </c>
      <c r="AR185" s="34"/>
      <c r="AS185" s="34"/>
      <c r="AT185" s="100">
        <f t="shared" si="206"/>
        <v>0.96440737552885825</v>
      </c>
      <c r="AU185" s="84">
        <f t="shared" si="236"/>
        <v>12764.300000000001</v>
      </c>
      <c r="AV185" s="84">
        <f t="shared" si="237"/>
        <v>11239.400000000001</v>
      </c>
      <c r="AW185" s="84">
        <f t="shared" si="238"/>
        <v>13124.599999999999</v>
      </c>
      <c r="AX185" s="84">
        <f t="shared" si="239"/>
        <v>12365.099999999999</v>
      </c>
    </row>
    <row r="186" spans="1:50" x14ac:dyDescent="0.3">
      <c r="A186" s="146"/>
      <c r="B186" s="146"/>
      <c r="C186" s="146"/>
      <c r="D186" s="37" t="s">
        <v>21</v>
      </c>
      <c r="E186" s="38">
        <f t="shared" si="247"/>
        <v>0</v>
      </c>
      <c r="F186" s="38">
        <f t="shared" si="247"/>
        <v>0</v>
      </c>
      <c r="G186" s="23"/>
      <c r="H186" s="38">
        <f t="shared" ref="H186:I189" si="277">H156+H161+H166+H171+H176+H181</f>
        <v>0</v>
      </c>
      <c r="I186" s="38">
        <f t="shared" si="277"/>
        <v>0</v>
      </c>
      <c r="J186" s="23"/>
      <c r="K186" s="38">
        <f t="shared" ref="K186:AO189" si="278">K156+K161+K166+K171+K176+K181</f>
        <v>0</v>
      </c>
      <c r="L186" s="38">
        <f t="shared" si="278"/>
        <v>0</v>
      </c>
      <c r="M186" s="38"/>
      <c r="N186" s="38">
        <f t="shared" si="278"/>
        <v>0</v>
      </c>
      <c r="O186" s="38">
        <f t="shared" si="278"/>
        <v>0</v>
      </c>
      <c r="P186" s="38"/>
      <c r="Q186" s="38">
        <f t="shared" si="278"/>
        <v>0</v>
      </c>
      <c r="R186" s="38">
        <f t="shared" si="278"/>
        <v>0</v>
      </c>
      <c r="S186" s="23"/>
      <c r="T186" s="38">
        <f t="shared" si="278"/>
        <v>0</v>
      </c>
      <c r="U186" s="38">
        <f t="shared" si="278"/>
        <v>0</v>
      </c>
      <c r="V186" s="23"/>
      <c r="W186" s="38">
        <f t="shared" si="278"/>
        <v>0</v>
      </c>
      <c r="X186" s="38">
        <f t="shared" si="278"/>
        <v>0</v>
      </c>
      <c r="Y186" s="23"/>
      <c r="Z186" s="38">
        <f t="shared" si="278"/>
        <v>0</v>
      </c>
      <c r="AA186" s="38">
        <f t="shared" si="278"/>
        <v>0</v>
      </c>
      <c r="AB186" s="23"/>
      <c r="AC186" s="38">
        <f t="shared" si="278"/>
        <v>0</v>
      </c>
      <c r="AD186" s="38">
        <f t="shared" si="278"/>
        <v>0</v>
      </c>
      <c r="AE186" s="23"/>
      <c r="AF186" s="38">
        <f t="shared" si="278"/>
        <v>0</v>
      </c>
      <c r="AG186" s="38">
        <f t="shared" si="278"/>
        <v>0</v>
      </c>
      <c r="AH186" s="23"/>
      <c r="AI186" s="38">
        <f t="shared" si="278"/>
        <v>0</v>
      </c>
      <c r="AJ186" s="38">
        <f t="shared" si="278"/>
        <v>0</v>
      </c>
      <c r="AK186" s="23"/>
      <c r="AL186" s="38">
        <f t="shared" si="278"/>
        <v>0</v>
      </c>
      <c r="AM186" s="38">
        <f t="shared" si="278"/>
        <v>0</v>
      </c>
      <c r="AN186" s="23"/>
      <c r="AO186" s="38">
        <f t="shared" si="278"/>
        <v>0</v>
      </c>
      <c r="AP186" s="38">
        <f t="shared" ref="AP186" si="279">AP156+AP161+AP166+AP171+AP176+AP181</f>
        <v>0</v>
      </c>
      <c r="AQ186" s="23"/>
      <c r="AR186" s="34"/>
      <c r="AS186" s="34"/>
      <c r="AT186" s="100"/>
      <c r="AU186" s="84">
        <f t="shared" si="236"/>
        <v>0</v>
      </c>
      <c r="AV186" s="84">
        <f t="shared" si="237"/>
        <v>0</v>
      </c>
      <c r="AW186" s="84">
        <f t="shared" si="238"/>
        <v>0</v>
      </c>
      <c r="AX186" s="84">
        <f t="shared" si="239"/>
        <v>0</v>
      </c>
    </row>
    <row r="187" spans="1:50" ht="24" customHeight="1" x14ac:dyDescent="0.3">
      <c r="A187" s="146"/>
      <c r="B187" s="146"/>
      <c r="C187" s="146"/>
      <c r="D187" s="37" t="s">
        <v>4</v>
      </c>
      <c r="E187" s="38">
        <f t="shared" si="247"/>
        <v>1515</v>
      </c>
      <c r="F187" s="38">
        <f t="shared" si="247"/>
        <v>1428.5</v>
      </c>
      <c r="G187" s="38">
        <f>F187/E187*100</f>
        <v>94.290429042904293</v>
      </c>
      <c r="H187" s="38">
        <f t="shared" si="277"/>
        <v>39</v>
      </c>
      <c r="I187" s="38">
        <f t="shared" si="277"/>
        <v>7.6</v>
      </c>
      <c r="J187" s="38">
        <f>I187/H187*100</f>
        <v>19.487179487179489</v>
      </c>
      <c r="K187" s="38">
        <f t="shared" si="278"/>
        <v>113</v>
      </c>
      <c r="L187" s="38">
        <f t="shared" si="278"/>
        <v>84.6</v>
      </c>
      <c r="M187" s="38">
        <f t="shared" si="274"/>
        <v>74.86725663716814</v>
      </c>
      <c r="N187" s="38">
        <f t="shared" si="278"/>
        <v>257</v>
      </c>
      <c r="O187" s="38">
        <f t="shared" si="278"/>
        <v>62.3</v>
      </c>
      <c r="P187" s="38">
        <f t="shared" si="275"/>
        <v>24.24124513618677</v>
      </c>
      <c r="Q187" s="38">
        <f t="shared" si="278"/>
        <v>151</v>
      </c>
      <c r="R187" s="38">
        <f t="shared" si="278"/>
        <v>155.19999999999999</v>
      </c>
      <c r="S187" s="38">
        <f>R187/Q187*100</f>
        <v>102.78145695364238</v>
      </c>
      <c r="T187" s="38">
        <f t="shared" si="278"/>
        <v>89</v>
      </c>
      <c r="U187" s="38">
        <f t="shared" si="278"/>
        <v>9</v>
      </c>
      <c r="V187" s="38">
        <f>U187/T187*100</f>
        <v>10.112359550561797</v>
      </c>
      <c r="W187" s="38">
        <f t="shared" si="278"/>
        <v>181</v>
      </c>
      <c r="X187" s="38">
        <f t="shared" si="278"/>
        <v>134.5</v>
      </c>
      <c r="Y187" s="38">
        <f>X187/W187*100</f>
        <v>74.309392265193381</v>
      </c>
      <c r="Z187" s="38">
        <f t="shared" si="278"/>
        <v>131</v>
      </c>
      <c r="AA187" s="38">
        <f t="shared" si="278"/>
        <v>273.7</v>
      </c>
      <c r="AB187" s="38">
        <f>AA187/Z187*100</f>
        <v>208.93129770992368</v>
      </c>
      <c r="AC187" s="38">
        <f t="shared" si="278"/>
        <v>138</v>
      </c>
      <c r="AD187" s="38">
        <f t="shared" si="278"/>
        <v>162.19999999999999</v>
      </c>
      <c r="AE187" s="38">
        <f>AD187/AC187*100</f>
        <v>117.53623188405797</v>
      </c>
      <c r="AF187" s="38">
        <f t="shared" si="278"/>
        <v>153</v>
      </c>
      <c r="AG187" s="38">
        <f t="shared" si="278"/>
        <v>48.9</v>
      </c>
      <c r="AH187" s="38">
        <f>AG187/AF187*100</f>
        <v>31.960784313725487</v>
      </c>
      <c r="AI187" s="38">
        <f t="shared" si="278"/>
        <v>119.3</v>
      </c>
      <c r="AJ187" s="38">
        <f t="shared" si="278"/>
        <v>119.3</v>
      </c>
      <c r="AK187" s="38">
        <f>AJ187/AI187*100</f>
        <v>100</v>
      </c>
      <c r="AL187" s="38">
        <f t="shared" si="278"/>
        <v>57</v>
      </c>
      <c r="AM187" s="38">
        <f t="shared" si="278"/>
        <v>57</v>
      </c>
      <c r="AN187" s="38">
        <f>AM187/AL187*100</f>
        <v>100</v>
      </c>
      <c r="AO187" s="38">
        <f t="shared" si="278"/>
        <v>86.7</v>
      </c>
      <c r="AP187" s="38">
        <f t="shared" ref="AP187" si="280">AP157+AP162+AP167+AP172+AP177+AP182</f>
        <v>314.2</v>
      </c>
      <c r="AQ187" s="38">
        <f>AP187/AO187*100</f>
        <v>362.39907727796998</v>
      </c>
      <c r="AR187" s="34"/>
      <c r="AS187" s="34"/>
      <c r="AT187" s="100">
        <f t="shared" si="206"/>
        <v>0.94290429042904289</v>
      </c>
      <c r="AU187" s="84">
        <f t="shared" si="236"/>
        <v>409</v>
      </c>
      <c r="AV187" s="84">
        <f t="shared" si="237"/>
        <v>421</v>
      </c>
      <c r="AW187" s="84">
        <f t="shared" si="238"/>
        <v>422</v>
      </c>
      <c r="AX187" s="84">
        <f t="shared" si="239"/>
        <v>263</v>
      </c>
    </row>
    <row r="188" spans="1:50" x14ac:dyDescent="0.3">
      <c r="A188" s="146"/>
      <c r="B188" s="146"/>
      <c r="C188" s="146"/>
      <c r="D188" s="37" t="s">
        <v>44</v>
      </c>
      <c r="E188" s="38">
        <f t="shared" si="247"/>
        <v>47978.400000000001</v>
      </c>
      <c r="F188" s="38">
        <f t="shared" si="247"/>
        <v>46303.30000000001</v>
      </c>
      <c r="G188" s="38">
        <f>F188/E188*100</f>
        <v>96.508637220082392</v>
      </c>
      <c r="H188" s="38">
        <f t="shared" si="277"/>
        <v>1827.1</v>
      </c>
      <c r="I188" s="38">
        <f t="shared" si="277"/>
        <v>2887.9</v>
      </c>
      <c r="J188" s="38">
        <f>I188/H188*100</f>
        <v>158.0592195282141</v>
      </c>
      <c r="K188" s="38">
        <f t="shared" si="278"/>
        <v>5378.1</v>
      </c>
      <c r="L188" s="38">
        <f t="shared" si="278"/>
        <v>4477.2</v>
      </c>
      <c r="M188" s="38">
        <f t="shared" si="274"/>
        <v>83.248730964467001</v>
      </c>
      <c r="N188" s="38">
        <f t="shared" si="278"/>
        <v>5150.1000000000004</v>
      </c>
      <c r="O188" s="38">
        <f t="shared" si="278"/>
        <v>4325.3</v>
      </c>
      <c r="P188" s="38">
        <f t="shared" si="275"/>
        <v>83.984776994621456</v>
      </c>
      <c r="Q188" s="38">
        <f t="shared" si="278"/>
        <v>4113.5</v>
      </c>
      <c r="R188" s="38">
        <f t="shared" si="278"/>
        <v>4529.1000000000004</v>
      </c>
      <c r="S188" s="38">
        <f>R188/Q188*100</f>
        <v>110.1033183420445</v>
      </c>
      <c r="T188" s="38">
        <f t="shared" si="278"/>
        <v>3906.2</v>
      </c>
      <c r="U188" s="38">
        <f t="shared" si="278"/>
        <v>2769</v>
      </c>
      <c r="V188" s="38">
        <f>U188/T188*100</f>
        <v>70.887307357534183</v>
      </c>
      <c r="W188" s="38">
        <f t="shared" si="278"/>
        <v>2798.7</v>
      </c>
      <c r="X188" s="38">
        <f t="shared" si="278"/>
        <v>2961</v>
      </c>
      <c r="Y188" s="38">
        <f>X188/W188*100</f>
        <v>105.79912102047379</v>
      </c>
      <c r="Z188" s="38">
        <f t="shared" si="278"/>
        <v>5360.7</v>
      </c>
      <c r="AA188" s="38">
        <f t="shared" si="278"/>
        <v>4789.8999999999996</v>
      </c>
      <c r="AB188" s="38">
        <f>AA188/Z188*100</f>
        <v>89.352136847799727</v>
      </c>
      <c r="AC188" s="38">
        <f t="shared" si="278"/>
        <v>4428.7</v>
      </c>
      <c r="AD188" s="38">
        <f t="shared" si="278"/>
        <v>3901.4</v>
      </c>
      <c r="AE188" s="38">
        <f>AD188/AC188*100</f>
        <v>88.093571476957123</v>
      </c>
      <c r="AF188" s="38">
        <f t="shared" si="278"/>
        <v>2913.2</v>
      </c>
      <c r="AG188" s="38">
        <f t="shared" si="278"/>
        <v>2710</v>
      </c>
      <c r="AH188" s="38">
        <f>AG188/AF188*100</f>
        <v>93.024852395990663</v>
      </c>
      <c r="AI188" s="38">
        <f t="shared" si="278"/>
        <v>3005.2</v>
      </c>
      <c r="AJ188" s="38">
        <f t="shared" si="278"/>
        <v>4354.8</v>
      </c>
      <c r="AK188" s="38">
        <f>AJ188/AI188*100</f>
        <v>144.90882470384668</v>
      </c>
      <c r="AL188" s="38">
        <f t="shared" si="278"/>
        <v>3301</v>
      </c>
      <c r="AM188" s="38">
        <f t="shared" si="278"/>
        <v>3386.3</v>
      </c>
      <c r="AN188" s="38">
        <f>AM188/AL188*100</f>
        <v>102.58406543471676</v>
      </c>
      <c r="AO188" s="38">
        <f t="shared" si="278"/>
        <v>5795.9</v>
      </c>
      <c r="AP188" s="38">
        <f t="shared" ref="AP188" si="281">AP158+AP163+AP168+AP173+AP178+AP183</f>
        <v>5211.3999999999996</v>
      </c>
      <c r="AQ188" s="38">
        <f>AP188/AO188*100</f>
        <v>89.915284942804391</v>
      </c>
      <c r="AR188" s="34"/>
      <c r="AS188" s="34"/>
      <c r="AT188" s="100">
        <f t="shared" si="206"/>
        <v>0.96508637220082394</v>
      </c>
      <c r="AU188" s="84">
        <f t="shared" si="236"/>
        <v>12355.300000000001</v>
      </c>
      <c r="AV188" s="84">
        <f t="shared" si="237"/>
        <v>10818.4</v>
      </c>
      <c r="AW188" s="84">
        <f t="shared" si="238"/>
        <v>12702.599999999999</v>
      </c>
      <c r="AX188" s="84">
        <f t="shared" si="239"/>
        <v>12102.099999999999</v>
      </c>
    </row>
    <row r="189" spans="1:50" ht="13.5" customHeight="1" x14ac:dyDescent="0.3">
      <c r="A189" s="146"/>
      <c r="B189" s="146"/>
      <c r="C189" s="146"/>
      <c r="D189" s="37" t="s">
        <v>22</v>
      </c>
      <c r="E189" s="38">
        <f t="shared" si="247"/>
        <v>0</v>
      </c>
      <c r="F189" s="38">
        <f t="shared" si="247"/>
        <v>0</v>
      </c>
      <c r="G189" s="38"/>
      <c r="H189" s="38">
        <f t="shared" si="277"/>
        <v>0</v>
      </c>
      <c r="I189" s="38">
        <f t="shared" si="277"/>
        <v>0</v>
      </c>
      <c r="J189" s="38"/>
      <c r="K189" s="38">
        <f t="shared" si="278"/>
        <v>0</v>
      </c>
      <c r="L189" s="38">
        <f t="shared" si="278"/>
        <v>0</v>
      </c>
      <c r="M189" s="38"/>
      <c r="N189" s="38">
        <f t="shared" si="278"/>
        <v>0</v>
      </c>
      <c r="O189" s="38">
        <f t="shared" si="278"/>
        <v>0</v>
      </c>
      <c r="P189" s="38"/>
      <c r="Q189" s="38">
        <f t="shared" si="278"/>
        <v>0</v>
      </c>
      <c r="R189" s="38">
        <f t="shared" si="278"/>
        <v>0</v>
      </c>
      <c r="S189" s="38"/>
      <c r="T189" s="38">
        <f t="shared" si="278"/>
        <v>0</v>
      </c>
      <c r="U189" s="38">
        <f t="shared" si="278"/>
        <v>0</v>
      </c>
      <c r="V189" s="38"/>
      <c r="W189" s="38">
        <f t="shared" si="278"/>
        <v>0</v>
      </c>
      <c r="X189" s="38">
        <f t="shared" si="278"/>
        <v>0</v>
      </c>
      <c r="Y189" s="38"/>
      <c r="Z189" s="38">
        <f t="shared" si="278"/>
        <v>0</v>
      </c>
      <c r="AA189" s="38"/>
      <c r="AB189" s="38"/>
      <c r="AC189" s="38">
        <f t="shared" si="278"/>
        <v>0</v>
      </c>
      <c r="AD189" s="38">
        <f t="shared" si="278"/>
        <v>0</v>
      </c>
      <c r="AE189" s="38"/>
      <c r="AF189" s="38">
        <f t="shared" si="278"/>
        <v>0</v>
      </c>
      <c r="AG189" s="38"/>
      <c r="AH189" s="38"/>
      <c r="AI189" s="38">
        <f t="shared" si="278"/>
        <v>0</v>
      </c>
      <c r="AJ189" s="38"/>
      <c r="AK189" s="38"/>
      <c r="AL189" s="38">
        <f t="shared" si="278"/>
        <v>0</v>
      </c>
      <c r="AM189" s="38">
        <f t="shared" si="278"/>
        <v>0</v>
      </c>
      <c r="AN189" s="38"/>
      <c r="AO189" s="38">
        <f t="shared" si="278"/>
        <v>0</v>
      </c>
      <c r="AP189" s="25"/>
      <c r="AQ189" s="26"/>
      <c r="AR189" s="34"/>
      <c r="AS189" s="34"/>
      <c r="AT189" s="100"/>
      <c r="AU189" s="83">
        <f t="shared" si="236"/>
        <v>0</v>
      </c>
      <c r="AV189" s="83">
        <f t="shared" si="237"/>
        <v>0</v>
      </c>
      <c r="AW189" s="83">
        <f t="shared" si="238"/>
        <v>0</v>
      </c>
      <c r="AX189" s="83">
        <f t="shared" si="239"/>
        <v>0</v>
      </c>
    </row>
    <row r="190" spans="1:50" ht="15" customHeight="1" x14ac:dyDescent="0.3">
      <c r="A190" s="44" t="s">
        <v>70</v>
      </c>
      <c r="B190" s="35" t="s">
        <v>13</v>
      </c>
      <c r="C190" s="35"/>
      <c r="D190" s="35"/>
      <c r="E190" s="99"/>
      <c r="F190" s="99"/>
      <c r="G190" s="99"/>
      <c r="H190" s="99"/>
      <c r="I190" s="99"/>
      <c r="J190" s="99"/>
      <c r="K190" s="99"/>
      <c r="L190" s="99"/>
      <c r="M190" s="99"/>
      <c r="N190" s="99"/>
      <c r="O190" s="99"/>
      <c r="P190" s="99"/>
      <c r="Q190" s="99"/>
      <c r="R190" s="99"/>
      <c r="S190" s="99"/>
      <c r="T190" s="99"/>
      <c r="U190" s="99"/>
      <c r="V190" s="99"/>
      <c r="W190" s="99"/>
      <c r="X190" s="99"/>
      <c r="Y190" s="99"/>
      <c r="Z190" s="99"/>
      <c r="AA190" s="99"/>
      <c r="AB190" s="99"/>
      <c r="AC190" s="99"/>
      <c r="AD190" s="99"/>
      <c r="AE190" s="99"/>
      <c r="AF190" s="99"/>
      <c r="AG190" s="99"/>
      <c r="AH190" s="99"/>
      <c r="AI190" s="99"/>
      <c r="AJ190" s="99"/>
      <c r="AK190" s="99"/>
      <c r="AL190" s="99"/>
      <c r="AM190" s="99"/>
      <c r="AN190" s="99"/>
      <c r="AO190" s="99"/>
      <c r="AP190" s="35"/>
      <c r="AQ190" s="35"/>
      <c r="AR190" s="34"/>
      <c r="AS190" s="34"/>
      <c r="AT190" s="100"/>
      <c r="AU190" s="83">
        <f t="shared" si="236"/>
        <v>0</v>
      </c>
      <c r="AV190" s="83">
        <f t="shared" si="237"/>
        <v>0</v>
      </c>
      <c r="AW190" s="83">
        <f t="shared" si="238"/>
        <v>0</v>
      </c>
      <c r="AX190" s="83">
        <f t="shared" si="239"/>
        <v>0</v>
      </c>
    </row>
    <row r="191" spans="1:50" x14ac:dyDescent="0.3">
      <c r="A191" s="147" t="s">
        <v>71</v>
      </c>
      <c r="B191" s="140" t="s">
        <v>103</v>
      </c>
      <c r="C191" s="140" t="s">
        <v>5</v>
      </c>
      <c r="D191" s="36" t="s">
        <v>3</v>
      </c>
      <c r="E191" s="24">
        <f t="shared" ref="E191:F206" si="282">H191+K191+N191+Q191+T191+W191+Z191+AC191+AF191+AI191+AL191+AO191</f>
        <v>66</v>
      </c>
      <c r="F191" s="24">
        <f t="shared" si="282"/>
        <v>66</v>
      </c>
      <c r="G191" s="24">
        <f>F191/E191*100</f>
        <v>100</v>
      </c>
      <c r="H191" s="24">
        <f>H192+H193+H194+H195</f>
        <v>0</v>
      </c>
      <c r="I191" s="24"/>
      <c r="J191" s="22"/>
      <c r="K191" s="24">
        <f t="shared" ref="K191:AO191" si="283">K192+K193+K194+K195</f>
        <v>0</v>
      </c>
      <c r="L191" s="24"/>
      <c r="M191" s="22"/>
      <c r="N191" s="24">
        <f t="shared" si="283"/>
        <v>66</v>
      </c>
      <c r="O191" s="24">
        <f t="shared" si="283"/>
        <v>66</v>
      </c>
      <c r="P191" s="24">
        <f t="shared" ref="P191:P194" si="284">O191/N191*100</f>
        <v>100</v>
      </c>
      <c r="Q191" s="24">
        <f t="shared" si="283"/>
        <v>0</v>
      </c>
      <c r="R191" s="24"/>
      <c r="S191" s="22"/>
      <c r="T191" s="24">
        <f t="shared" si="283"/>
        <v>0</v>
      </c>
      <c r="U191" s="24"/>
      <c r="V191" s="22"/>
      <c r="W191" s="24">
        <f t="shared" si="283"/>
        <v>0</v>
      </c>
      <c r="X191" s="24"/>
      <c r="Y191" s="22"/>
      <c r="Z191" s="24">
        <f t="shared" si="283"/>
        <v>0</v>
      </c>
      <c r="AA191" s="24"/>
      <c r="AB191" s="22"/>
      <c r="AC191" s="24">
        <f t="shared" si="283"/>
        <v>0</v>
      </c>
      <c r="AD191" s="24"/>
      <c r="AE191" s="22"/>
      <c r="AF191" s="24">
        <f t="shared" si="283"/>
        <v>0</v>
      </c>
      <c r="AG191" s="24"/>
      <c r="AH191" s="22"/>
      <c r="AI191" s="24">
        <f t="shared" si="283"/>
        <v>0</v>
      </c>
      <c r="AJ191" s="24">
        <f t="shared" si="283"/>
        <v>0</v>
      </c>
      <c r="AK191" s="22"/>
      <c r="AL191" s="24">
        <f t="shared" si="283"/>
        <v>0</v>
      </c>
      <c r="AM191" s="24"/>
      <c r="AN191" s="22"/>
      <c r="AO191" s="24">
        <f t="shared" si="283"/>
        <v>0</v>
      </c>
      <c r="AP191" s="24"/>
      <c r="AQ191" s="22"/>
      <c r="AR191" s="34"/>
      <c r="AS191" s="34"/>
      <c r="AT191" s="100">
        <f t="shared" si="206"/>
        <v>1</v>
      </c>
      <c r="AU191" s="83">
        <f t="shared" si="236"/>
        <v>66</v>
      </c>
      <c r="AV191" s="83">
        <f t="shared" si="237"/>
        <v>0</v>
      </c>
      <c r="AW191" s="83">
        <f t="shared" si="238"/>
        <v>0</v>
      </c>
      <c r="AX191" s="83">
        <f t="shared" si="239"/>
        <v>0</v>
      </c>
    </row>
    <row r="192" spans="1:50" ht="15" customHeight="1" x14ac:dyDescent="0.3">
      <c r="A192" s="147"/>
      <c r="B192" s="140"/>
      <c r="C192" s="140"/>
      <c r="D192" s="36" t="s">
        <v>21</v>
      </c>
      <c r="E192" s="24">
        <f t="shared" si="282"/>
        <v>0</v>
      </c>
      <c r="F192" s="24">
        <f t="shared" si="282"/>
        <v>0</v>
      </c>
      <c r="G192" s="24"/>
      <c r="H192" s="24"/>
      <c r="I192" s="24"/>
      <c r="J192" s="22"/>
      <c r="K192" s="24"/>
      <c r="L192" s="24"/>
      <c r="M192" s="22"/>
      <c r="N192" s="24"/>
      <c r="O192" s="24"/>
      <c r="P192" s="24"/>
      <c r="Q192" s="24"/>
      <c r="R192" s="24"/>
      <c r="S192" s="22"/>
      <c r="T192" s="24"/>
      <c r="U192" s="24"/>
      <c r="V192" s="22"/>
      <c r="W192" s="24"/>
      <c r="X192" s="24"/>
      <c r="Y192" s="22"/>
      <c r="Z192" s="24"/>
      <c r="AA192" s="24"/>
      <c r="AB192" s="22"/>
      <c r="AC192" s="24"/>
      <c r="AD192" s="24"/>
      <c r="AE192" s="22"/>
      <c r="AF192" s="24"/>
      <c r="AG192" s="24"/>
      <c r="AH192" s="22"/>
      <c r="AI192" s="24"/>
      <c r="AJ192" s="24"/>
      <c r="AK192" s="22"/>
      <c r="AL192" s="24"/>
      <c r="AM192" s="24"/>
      <c r="AN192" s="22"/>
      <c r="AO192" s="24"/>
      <c r="AP192" s="24"/>
      <c r="AQ192" s="22"/>
      <c r="AR192" s="34"/>
      <c r="AS192" s="34"/>
      <c r="AT192" s="100"/>
      <c r="AU192" s="83">
        <f t="shared" si="236"/>
        <v>0</v>
      </c>
      <c r="AV192" s="83">
        <f t="shared" si="237"/>
        <v>0</v>
      </c>
      <c r="AW192" s="83">
        <f t="shared" si="238"/>
        <v>0</v>
      </c>
      <c r="AX192" s="83">
        <f t="shared" si="239"/>
        <v>0</v>
      </c>
    </row>
    <row r="193" spans="1:50" ht="24" customHeight="1" x14ac:dyDescent="0.3">
      <c r="A193" s="147"/>
      <c r="B193" s="140"/>
      <c r="C193" s="140"/>
      <c r="D193" s="36" t="s">
        <v>4</v>
      </c>
      <c r="E193" s="24">
        <f t="shared" si="282"/>
        <v>0</v>
      </c>
      <c r="F193" s="24">
        <f t="shared" si="282"/>
        <v>0</v>
      </c>
      <c r="G193" s="24"/>
      <c r="H193" s="24"/>
      <c r="I193" s="24"/>
      <c r="J193" s="22"/>
      <c r="K193" s="24"/>
      <c r="L193" s="24"/>
      <c r="M193" s="22"/>
      <c r="N193" s="24"/>
      <c r="O193" s="24"/>
      <c r="P193" s="24"/>
      <c r="Q193" s="24"/>
      <c r="R193" s="24"/>
      <c r="S193" s="22"/>
      <c r="T193" s="24"/>
      <c r="U193" s="24"/>
      <c r="V193" s="22"/>
      <c r="W193" s="24"/>
      <c r="X193" s="24"/>
      <c r="Y193" s="22"/>
      <c r="Z193" s="24"/>
      <c r="AA193" s="24"/>
      <c r="AB193" s="22"/>
      <c r="AC193" s="24"/>
      <c r="AD193" s="24"/>
      <c r="AE193" s="22"/>
      <c r="AF193" s="24"/>
      <c r="AG193" s="24"/>
      <c r="AH193" s="22"/>
      <c r="AI193" s="24"/>
      <c r="AJ193" s="24"/>
      <c r="AK193" s="22"/>
      <c r="AL193" s="24"/>
      <c r="AM193" s="24"/>
      <c r="AN193" s="22"/>
      <c r="AO193" s="24"/>
      <c r="AP193" s="25"/>
      <c r="AQ193" s="22"/>
      <c r="AR193" s="34"/>
      <c r="AS193" s="34"/>
      <c r="AT193" s="100"/>
      <c r="AU193" s="83">
        <f t="shared" si="236"/>
        <v>0</v>
      </c>
      <c r="AV193" s="83">
        <f t="shared" si="237"/>
        <v>0</v>
      </c>
      <c r="AW193" s="83">
        <f t="shared" si="238"/>
        <v>0</v>
      </c>
      <c r="AX193" s="83">
        <f t="shared" si="239"/>
        <v>0</v>
      </c>
    </row>
    <row r="194" spans="1:50" ht="48" x14ac:dyDescent="0.3">
      <c r="A194" s="147"/>
      <c r="B194" s="140"/>
      <c r="C194" s="140"/>
      <c r="D194" s="36" t="s">
        <v>44</v>
      </c>
      <c r="E194" s="24">
        <f t="shared" si="282"/>
        <v>66</v>
      </c>
      <c r="F194" s="24">
        <f t="shared" si="282"/>
        <v>66</v>
      </c>
      <c r="G194" s="24">
        <f t="shared" ref="G194" si="285">F194/E194*100</f>
        <v>100</v>
      </c>
      <c r="H194" s="24"/>
      <c r="I194" s="24"/>
      <c r="J194" s="22"/>
      <c r="K194" s="24"/>
      <c r="L194" s="24"/>
      <c r="M194" s="22"/>
      <c r="N194" s="24">
        <v>66</v>
      </c>
      <c r="O194" s="24">
        <v>66</v>
      </c>
      <c r="P194" s="24">
        <f t="shared" si="284"/>
        <v>100</v>
      </c>
      <c r="Q194" s="24"/>
      <c r="R194" s="24"/>
      <c r="S194" s="22"/>
      <c r="T194" s="24"/>
      <c r="U194" s="24"/>
      <c r="V194" s="22"/>
      <c r="W194" s="24"/>
      <c r="X194" s="24"/>
      <c r="Y194" s="22"/>
      <c r="Z194" s="24"/>
      <c r="AA194" s="24"/>
      <c r="AB194" s="22"/>
      <c r="AC194" s="24"/>
      <c r="AD194" s="24"/>
      <c r="AE194" s="22"/>
      <c r="AF194" s="24"/>
      <c r="AG194" s="24"/>
      <c r="AH194" s="22"/>
      <c r="AI194" s="24"/>
      <c r="AJ194" s="24"/>
      <c r="AK194" s="22"/>
      <c r="AL194" s="24"/>
      <c r="AM194" s="24"/>
      <c r="AN194" s="22"/>
      <c r="AO194" s="24"/>
      <c r="AP194" s="25"/>
      <c r="AQ194" s="22"/>
      <c r="AR194" s="90" t="s">
        <v>157</v>
      </c>
      <c r="AS194" s="34"/>
      <c r="AT194" s="100">
        <f t="shared" si="206"/>
        <v>1</v>
      </c>
      <c r="AU194" s="83">
        <f t="shared" si="236"/>
        <v>66</v>
      </c>
      <c r="AV194" s="83">
        <f t="shared" si="237"/>
        <v>0</v>
      </c>
      <c r="AW194" s="83">
        <f t="shared" si="238"/>
        <v>0</v>
      </c>
      <c r="AX194" s="83">
        <f t="shared" si="239"/>
        <v>0</v>
      </c>
    </row>
    <row r="195" spans="1:50" ht="15.75" customHeight="1" x14ac:dyDescent="0.3">
      <c r="A195" s="147"/>
      <c r="B195" s="140"/>
      <c r="C195" s="140"/>
      <c r="D195" s="36" t="s">
        <v>22</v>
      </c>
      <c r="E195" s="24">
        <f t="shared" si="282"/>
        <v>0</v>
      </c>
      <c r="F195" s="24">
        <f t="shared" si="282"/>
        <v>0</v>
      </c>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5"/>
      <c r="AQ195" s="25"/>
      <c r="AR195" s="34"/>
      <c r="AS195" s="34"/>
      <c r="AT195" s="100"/>
      <c r="AU195" s="83">
        <f t="shared" si="236"/>
        <v>0</v>
      </c>
      <c r="AV195" s="83">
        <f t="shared" si="237"/>
        <v>0</v>
      </c>
      <c r="AW195" s="83">
        <f t="shared" si="238"/>
        <v>0</v>
      </c>
      <c r="AX195" s="83">
        <f t="shared" si="239"/>
        <v>0</v>
      </c>
    </row>
    <row r="196" spans="1:50" ht="15.75" customHeight="1" x14ac:dyDescent="0.3">
      <c r="A196" s="147" t="s">
        <v>72</v>
      </c>
      <c r="B196" s="140" t="s">
        <v>104</v>
      </c>
      <c r="C196" s="140" t="s">
        <v>5</v>
      </c>
      <c r="D196" s="36" t="s">
        <v>3</v>
      </c>
      <c r="E196" s="24">
        <f t="shared" si="282"/>
        <v>0</v>
      </c>
      <c r="F196" s="24">
        <f t="shared" si="282"/>
        <v>0</v>
      </c>
      <c r="G196" s="24"/>
      <c r="H196" s="24">
        <f>H197+H198+H199+H200</f>
        <v>0</v>
      </c>
      <c r="I196" s="24"/>
      <c r="J196" s="24"/>
      <c r="K196" s="24">
        <f t="shared" ref="K196:AO196" si="286">K197+K198+K199+K200</f>
        <v>0</v>
      </c>
      <c r="L196" s="24"/>
      <c r="M196" s="24"/>
      <c r="N196" s="24">
        <f t="shared" si="286"/>
        <v>0</v>
      </c>
      <c r="O196" s="24"/>
      <c r="P196" s="24"/>
      <c r="Q196" s="24">
        <f t="shared" si="286"/>
        <v>0</v>
      </c>
      <c r="R196" s="24"/>
      <c r="S196" s="24"/>
      <c r="T196" s="24">
        <f t="shared" si="286"/>
        <v>0</v>
      </c>
      <c r="U196" s="24"/>
      <c r="V196" s="24"/>
      <c r="W196" s="24">
        <f t="shared" si="286"/>
        <v>0</v>
      </c>
      <c r="X196" s="24"/>
      <c r="Y196" s="24"/>
      <c r="Z196" s="24">
        <f t="shared" si="286"/>
        <v>0</v>
      </c>
      <c r="AA196" s="24"/>
      <c r="AB196" s="24"/>
      <c r="AC196" s="24">
        <f t="shared" si="286"/>
        <v>0</v>
      </c>
      <c r="AD196" s="24"/>
      <c r="AE196" s="24"/>
      <c r="AF196" s="24">
        <f t="shared" si="286"/>
        <v>0</v>
      </c>
      <c r="AG196" s="24"/>
      <c r="AH196" s="24"/>
      <c r="AI196" s="24">
        <f t="shared" si="286"/>
        <v>0</v>
      </c>
      <c r="AJ196" s="24"/>
      <c r="AK196" s="24"/>
      <c r="AL196" s="24">
        <f t="shared" si="286"/>
        <v>0</v>
      </c>
      <c r="AM196" s="24"/>
      <c r="AN196" s="24"/>
      <c r="AO196" s="24">
        <f t="shared" si="286"/>
        <v>0</v>
      </c>
      <c r="AP196" s="24"/>
      <c r="AQ196" s="25"/>
      <c r="AR196" s="34"/>
      <c r="AS196" s="34"/>
      <c r="AT196" s="100"/>
      <c r="AU196" s="83">
        <f t="shared" si="236"/>
        <v>0</v>
      </c>
      <c r="AV196" s="83">
        <f t="shared" si="237"/>
        <v>0</v>
      </c>
      <c r="AW196" s="83">
        <f t="shared" si="238"/>
        <v>0</v>
      </c>
      <c r="AX196" s="83">
        <f t="shared" si="239"/>
        <v>0</v>
      </c>
    </row>
    <row r="197" spans="1:50" x14ac:dyDescent="0.3">
      <c r="A197" s="147"/>
      <c r="B197" s="140"/>
      <c r="C197" s="140"/>
      <c r="D197" s="36" t="s">
        <v>21</v>
      </c>
      <c r="E197" s="24">
        <f t="shared" si="282"/>
        <v>0</v>
      </c>
      <c r="F197" s="24">
        <f t="shared" si="282"/>
        <v>0</v>
      </c>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5"/>
      <c r="AR197" s="34"/>
      <c r="AS197" s="34"/>
      <c r="AT197" s="100"/>
      <c r="AU197" s="83">
        <f t="shared" si="236"/>
        <v>0</v>
      </c>
      <c r="AV197" s="83">
        <f t="shared" si="237"/>
        <v>0</v>
      </c>
      <c r="AW197" s="83">
        <f t="shared" si="238"/>
        <v>0</v>
      </c>
      <c r="AX197" s="83">
        <f t="shared" si="239"/>
        <v>0</v>
      </c>
    </row>
    <row r="198" spans="1:50" ht="24" x14ac:dyDescent="0.3">
      <c r="A198" s="147"/>
      <c r="B198" s="140"/>
      <c r="C198" s="140"/>
      <c r="D198" s="36" t="s">
        <v>4</v>
      </c>
      <c r="E198" s="24">
        <f t="shared" si="282"/>
        <v>0</v>
      </c>
      <c r="F198" s="24">
        <f t="shared" si="282"/>
        <v>0</v>
      </c>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5"/>
      <c r="AQ198" s="25"/>
      <c r="AR198" s="34"/>
      <c r="AS198" s="34"/>
      <c r="AT198" s="100"/>
      <c r="AU198" s="83">
        <f t="shared" si="236"/>
        <v>0</v>
      </c>
      <c r="AV198" s="83">
        <f t="shared" si="237"/>
        <v>0</v>
      </c>
      <c r="AW198" s="83">
        <f t="shared" si="238"/>
        <v>0</v>
      </c>
      <c r="AX198" s="83">
        <f t="shared" si="239"/>
        <v>0</v>
      </c>
    </row>
    <row r="199" spans="1:50" x14ac:dyDescent="0.3">
      <c r="A199" s="147"/>
      <c r="B199" s="140"/>
      <c r="C199" s="140"/>
      <c r="D199" s="36" t="s">
        <v>44</v>
      </c>
      <c r="E199" s="24">
        <f t="shared" si="282"/>
        <v>0</v>
      </c>
      <c r="F199" s="24">
        <f t="shared" si="282"/>
        <v>0</v>
      </c>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5"/>
      <c r="AQ199" s="25"/>
      <c r="AR199" s="34"/>
      <c r="AS199" s="34"/>
      <c r="AT199" s="100"/>
      <c r="AU199" s="83">
        <f t="shared" si="236"/>
        <v>0</v>
      </c>
      <c r="AV199" s="83">
        <f t="shared" si="237"/>
        <v>0</v>
      </c>
      <c r="AW199" s="83">
        <f t="shared" si="238"/>
        <v>0</v>
      </c>
      <c r="AX199" s="83">
        <f t="shared" si="239"/>
        <v>0</v>
      </c>
    </row>
    <row r="200" spans="1:50" ht="15.75" customHeight="1" x14ac:dyDescent="0.3">
      <c r="A200" s="147"/>
      <c r="B200" s="140"/>
      <c r="C200" s="140"/>
      <c r="D200" s="36" t="s">
        <v>22</v>
      </c>
      <c r="E200" s="24">
        <f t="shared" si="282"/>
        <v>0</v>
      </c>
      <c r="F200" s="24">
        <f t="shared" si="282"/>
        <v>0</v>
      </c>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5"/>
      <c r="AQ200" s="25"/>
      <c r="AR200" s="34"/>
      <c r="AS200" s="34"/>
      <c r="AT200" s="100"/>
      <c r="AU200" s="83">
        <f t="shared" si="236"/>
        <v>0</v>
      </c>
      <c r="AV200" s="83">
        <f t="shared" si="237"/>
        <v>0</v>
      </c>
      <c r="AW200" s="83">
        <f t="shared" si="238"/>
        <v>0</v>
      </c>
      <c r="AX200" s="83">
        <f t="shared" si="239"/>
        <v>0</v>
      </c>
    </row>
    <row r="201" spans="1:50" ht="15.75" customHeight="1" x14ac:dyDescent="0.3">
      <c r="A201" s="147" t="s">
        <v>73</v>
      </c>
      <c r="B201" s="140" t="s">
        <v>105</v>
      </c>
      <c r="C201" s="140" t="s">
        <v>5</v>
      </c>
      <c r="D201" s="36" t="s">
        <v>3</v>
      </c>
      <c r="E201" s="24">
        <f t="shared" si="282"/>
        <v>182.7</v>
      </c>
      <c r="F201" s="24">
        <f t="shared" si="282"/>
        <v>182.7</v>
      </c>
      <c r="G201" s="24">
        <f>F201/E201*100</f>
        <v>100</v>
      </c>
      <c r="H201" s="24">
        <f>H202+H203+H204+H205</f>
        <v>0</v>
      </c>
      <c r="I201" s="24"/>
      <c r="J201" s="24"/>
      <c r="K201" s="24">
        <f t="shared" ref="K201:AO201" si="287">K202+K203+K204+K205</f>
        <v>0</v>
      </c>
      <c r="L201" s="24"/>
      <c r="M201" s="24"/>
      <c r="N201" s="24">
        <f t="shared" si="287"/>
        <v>0</v>
      </c>
      <c r="O201" s="24"/>
      <c r="P201" s="24"/>
      <c r="Q201" s="24">
        <f t="shared" si="287"/>
        <v>35</v>
      </c>
      <c r="R201" s="24">
        <f t="shared" si="287"/>
        <v>35</v>
      </c>
      <c r="S201" s="24">
        <f>R201/Q201*100</f>
        <v>100</v>
      </c>
      <c r="T201" s="24">
        <f t="shared" si="287"/>
        <v>35</v>
      </c>
      <c r="U201" s="24">
        <f t="shared" si="287"/>
        <v>35</v>
      </c>
      <c r="V201" s="24">
        <f>U201/T201*100</f>
        <v>100</v>
      </c>
      <c r="W201" s="24">
        <f t="shared" si="287"/>
        <v>0</v>
      </c>
      <c r="X201" s="24"/>
      <c r="Y201" s="24"/>
      <c r="Z201" s="24">
        <f t="shared" si="287"/>
        <v>35</v>
      </c>
      <c r="AA201" s="24">
        <f t="shared" si="287"/>
        <v>0</v>
      </c>
      <c r="AB201" s="24">
        <f>AA201/Z201*100</f>
        <v>0</v>
      </c>
      <c r="AC201" s="24">
        <f t="shared" si="287"/>
        <v>0</v>
      </c>
      <c r="AD201" s="24">
        <f t="shared" si="287"/>
        <v>0</v>
      </c>
      <c r="AE201" s="24"/>
      <c r="AF201" s="24">
        <f t="shared" si="287"/>
        <v>77.7</v>
      </c>
      <c r="AG201" s="24">
        <f t="shared" si="287"/>
        <v>112.7</v>
      </c>
      <c r="AH201" s="24">
        <f>AG201/AF201*100</f>
        <v>145.04504504504504</v>
      </c>
      <c r="AI201" s="24">
        <f t="shared" si="287"/>
        <v>0</v>
      </c>
      <c r="AJ201" s="24"/>
      <c r="AK201" s="24"/>
      <c r="AL201" s="24">
        <f t="shared" si="287"/>
        <v>0</v>
      </c>
      <c r="AM201" s="24"/>
      <c r="AN201" s="24"/>
      <c r="AO201" s="24">
        <f t="shared" si="287"/>
        <v>0</v>
      </c>
      <c r="AP201" s="24"/>
      <c r="AQ201" s="25"/>
      <c r="AR201" s="34"/>
      <c r="AS201" s="34"/>
      <c r="AT201" s="100">
        <f t="shared" si="206"/>
        <v>1</v>
      </c>
      <c r="AU201" s="83">
        <f t="shared" si="236"/>
        <v>0</v>
      </c>
      <c r="AV201" s="83">
        <f t="shared" si="237"/>
        <v>70</v>
      </c>
      <c r="AW201" s="83">
        <f t="shared" si="238"/>
        <v>112.7</v>
      </c>
      <c r="AX201" s="83">
        <f t="shared" si="239"/>
        <v>0</v>
      </c>
    </row>
    <row r="202" spans="1:50" x14ac:dyDescent="0.3">
      <c r="A202" s="147"/>
      <c r="B202" s="140"/>
      <c r="C202" s="140"/>
      <c r="D202" s="36" t="s">
        <v>21</v>
      </c>
      <c r="E202" s="24">
        <f t="shared" si="282"/>
        <v>0</v>
      </c>
      <c r="F202" s="24">
        <f t="shared" si="282"/>
        <v>0</v>
      </c>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5"/>
      <c r="AR202" s="34"/>
      <c r="AS202" s="34"/>
      <c r="AT202" s="100"/>
      <c r="AU202" s="83">
        <f t="shared" si="236"/>
        <v>0</v>
      </c>
      <c r="AV202" s="83">
        <f t="shared" si="237"/>
        <v>0</v>
      </c>
      <c r="AW202" s="83">
        <f t="shared" si="238"/>
        <v>0</v>
      </c>
      <c r="AX202" s="83">
        <f t="shared" si="239"/>
        <v>0</v>
      </c>
    </row>
    <row r="203" spans="1:50" ht="24" x14ac:dyDescent="0.3">
      <c r="A203" s="147"/>
      <c r="B203" s="140"/>
      <c r="C203" s="140"/>
      <c r="D203" s="36" t="s">
        <v>4</v>
      </c>
      <c r="E203" s="24">
        <f t="shared" si="282"/>
        <v>0</v>
      </c>
      <c r="F203" s="24">
        <f t="shared" si="282"/>
        <v>0</v>
      </c>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5"/>
      <c r="AQ203" s="25"/>
      <c r="AR203" s="34"/>
      <c r="AS203" s="34"/>
      <c r="AT203" s="100"/>
      <c r="AU203" s="83">
        <f t="shared" si="236"/>
        <v>0</v>
      </c>
      <c r="AV203" s="83">
        <f t="shared" si="237"/>
        <v>0</v>
      </c>
      <c r="AW203" s="83">
        <f t="shared" si="238"/>
        <v>0</v>
      </c>
      <c r="AX203" s="83">
        <f t="shared" si="239"/>
        <v>0</v>
      </c>
    </row>
    <row r="204" spans="1:50" ht="48" x14ac:dyDescent="0.3">
      <c r="A204" s="147"/>
      <c r="B204" s="140"/>
      <c r="C204" s="140"/>
      <c r="D204" s="36" t="s">
        <v>44</v>
      </c>
      <c r="E204" s="24">
        <f t="shared" si="282"/>
        <v>182.7</v>
      </c>
      <c r="F204" s="24">
        <f t="shared" si="282"/>
        <v>182.7</v>
      </c>
      <c r="G204" s="24">
        <f t="shared" ref="G204" si="288">F204/E204*100</f>
        <v>100</v>
      </c>
      <c r="H204" s="24"/>
      <c r="I204" s="24"/>
      <c r="J204" s="24"/>
      <c r="K204" s="24"/>
      <c r="L204" s="24"/>
      <c r="M204" s="24"/>
      <c r="N204" s="24"/>
      <c r="O204" s="24"/>
      <c r="P204" s="24"/>
      <c r="Q204" s="24">
        <v>35</v>
      </c>
      <c r="R204" s="24">
        <v>35</v>
      </c>
      <c r="S204" s="24">
        <f t="shared" ref="S204" si="289">R204/Q204*100</f>
        <v>100</v>
      </c>
      <c r="T204" s="24">
        <v>35</v>
      </c>
      <c r="U204" s="24">
        <v>35</v>
      </c>
      <c r="V204" s="24">
        <f t="shared" ref="V204" si="290">U204/T204*100</f>
        <v>100</v>
      </c>
      <c r="W204" s="24"/>
      <c r="X204" s="24"/>
      <c r="Y204" s="24"/>
      <c r="Z204" s="24">
        <v>35</v>
      </c>
      <c r="AA204" s="24">
        <v>0</v>
      </c>
      <c r="AB204" s="24">
        <f t="shared" ref="AB204" si="291">AA204/Z204*100</f>
        <v>0</v>
      </c>
      <c r="AC204" s="24"/>
      <c r="AD204" s="24"/>
      <c r="AE204" s="24"/>
      <c r="AF204" s="24">
        <v>77.7</v>
      </c>
      <c r="AG204" s="24">
        <v>112.7</v>
      </c>
      <c r="AH204" s="24">
        <f t="shared" ref="AH204" si="292">AG204/AF204*100</f>
        <v>145.04504504504504</v>
      </c>
      <c r="AI204" s="24"/>
      <c r="AJ204" s="24"/>
      <c r="AK204" s="24"/>
      <c r="AL204" s="24"/>
      <c r="AM204" s="24"/>
      <c r="AN204" s="24"/>
      <c r="AO204" s="24"/>
      <c r="AP204" s="24"/>
      <c r="AQ204" s="25"/>
      <c r="AR204" s="90" t="s">
        <v>165</v>
      </c>
      <c r="AS204" s="90"/>
      <c r="AT204" s="100">
        <f t="shared" si="206"/>
        <v>1</v>
      </c>
      <c r="AU204" s="83">
        <f t="shared" si="236"/>
        <v>0</v>
      </c>
      <c r="AV204" s="83">
        <f t="shared" si="237"/>
        <v>70</v>
      </c>
      <c r="AW204" s="83">
        <f t="shared" si="238"/>
        <v>112.7</v>
      </c>
      <c r="AX204" s="83">
        <f t="shared" si="239"/>
        <v>0</v>
      </c>
    </row>
    <row r="205" spans="1:50" ht="15.75" customHeight="1" x14ac:dyDescent="0.3">
      <c r="A205" s="147"/>
      <c r="B205" s="140"/>
      <c r="C205" s="140"/>
      <c r="D205" s="36" t="s">
        <v>22</v>
      </c>
      <c r="E205" s="24">
        <f t="shared" si="282"/>
        <v>0</v>
      </c>
      <c r="F205" s="24">
        <f t="shared" si="282"/>
        <v>0</v>
      </c>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5"/>
      <c r="AR205" s="34"/>
      <c r="AS205" s="34"/>
      <c r="AT205" s="100"/>
      <c r="AU205" s="83">
        <f t="shared" si="236"/>
        <v>0</v>
      </c>
      <c r="AV205" s="83">
        <f t="shared" si="237"/>
        <v>0</v>
      </c>
      <c r="AW205" s="83">
        <f t="shared" si="238"/>
        <v>0</v>
      </c>
      <c r="AX205" s="83">
        <f t="shared" si="239"/>
        <v>0</v>
      </c>
    </row>
    <row r="206" spans="1:50" ht="15.75" customHeight="1" x14ac:dyDescent="0.3">
      <c r="A206" s="147" t="s">
        <v>74</v>
      </c>
      <c r="B206" s="140" t="s">
        <v>106</v>
      </c>
      <c r="C206" s="140" t="s">
        <v>5</v>
      </c>
      <c r="D206" s="36" t="s">
        <v>3</v>
      </c>
      <c r="E206" s="24">
        <f t="shared" si="282"/>
        <v>0</v>
      </c>
      <c r="F206" s="24">
        <f t="shared" si="282"/>
        <v>0</v>
      </c>
      <c r="G206" s="24"/>
      <c r="H206" s="24">
        <f>H207+H208+H209+H210</f>
        <v>0</v>
      </c>
      <c r="I206" s="24"/>
      <c r="J206" s="22"/>
      <c r="K206" s="24">
        <f t="shared" ref="K206:AO206" si="293">K207+K208+K209+K210</f>
        <v>0</v>
      </c>
      <c r="L206" s="24">
        <f t="shared" si="293"/>
        <v>0</v>
      </c>
      <c r="M206" s="22"/>
      <c r="N206" s="24">
        <f t="shared" si="293"/>
        <v>0</v>
      </c>
      <c r="O206" s="24">
        <f t="shared" si="293"/>
        <v>0</v>
      </c>
      <c r="P206" s="24"/>
      <c r="Q206" s="24">
        <f t="shared" si="293"/>
        <v>0</v>
      </c>
      <c r="R206" s="24"/>
      <c r="S206" s="22"/>
      <c r="T206" s="24">
        <f t="shared" si="293"/>
        <v>0</v>
      </c>
      <c r="U206" s="24"/>
      <c r="V206" s="22"/>
      <c r="W206" s="24">
        <f t="shared" si="293"/>
        <v>0</v>
      </c>
      <c r="X206" s="24">
        <f t="shared" si="293"/>
        <v>0</v>
      </c>
      <c r="Y206" s="22"/>
      <c r="Z206" s="24">
        <f t="shared" si="293"/>
        <v>0</v>
      </c>
      <c r="AA206" s="24"/>
      <c r="AB206" s="22"/>
      <c r="AC206" s="24">
        <f t="shared" si="293"/>
        <v>0</v>
      </c>
      <c r="AD206" s="24">
        <f t="shared" si="293"/>
        <v>0</v>
      </c>
      <c r="AE206" s="24"/>
      <c r="AF206" s="24">
        <f t="shared" si="293"/>
        <v>0</v>
      </c>
      <c r="AG206" s="24"/>
      <c r="AH206" s="22"/>
      <c r="AI206" s="24">
        <f t="shared" si="293"/>
        <v>0</v>
      </c>
      <c r="AJ206" s="24"/>
      <c r="AK206" s="22"/>
      <c r="AL206" s="24">
        <f t="shared" si="293"/>
        <v>0</v>
      </c>
      <c r="AM206" s="24"/>
      <c r="AN206" s="22"/>
      <c r="AO206" s="24">
        <f t="shared" si="293"/>
        <v>0</v>
      </c>
      <c r="AP206" s="24"/>
      <c r="AQ206" s="22"/>
      <c r="AR206" s="34"/>
      <c r="AS206" s="34"/>
      <c r="AT206" s="100"/>
      <c r="AU206" s="83">
        <f t="shared" si="236"/>
        <v>0</v>
      </c>
      <c r="AV206" s="83">
        <f t="shared" si="237"/>
        <v>0</v>
      </c>
      <c r="AW206" s="83">
        <f t="shared" si="238"/>
        <v>0</v>
      </c>
      <c r="AX206" s="83">
        <f t="shared" si="239"/>
        <v>0</v>
      </c>
    </row>
    <row r="207" spans="1:50" x14ac:dyDescent="0.3">
      <c r="A207" s="147"/>
      <c r="B207" s="140"/>
      <c r="C207" s="140"/>
      <c r="D207" s="36" t="s">
        <v>21</v>
      </c>
      <c r="E207" s="24">
        <f t="shared" ref="E207:F225" si="294">H207+K207+N207+Q207+T207+W207+Z207+AC207+AF207+AI207+AL207+AO207</f>
        <v>0</v>
      </c>
      <c r="F207" s="24">
        <f t="shared" si="294"/>
        <v>0</v>
      </c>
      <c r="G207" s="24"/>
      <c r="H207" s="24"/>
      <c r="I207" s="24"/>
      <c r="J207" s="22"/>
      <c r="K207" s="24"/>
      <c r="L207" s="24"/>
      <c r="M207" s="22"/>
      <c r="N207" s="24"/>
      <c r="O207" s="24"/>
      <c r="P207" s="24"/>
      <c r="Q207" s="24"/>
      <c r="R207" s="24"/>
      <c r="S207" s="22"/>
      <c r="T207" s="24"/>
      <c r="U207" s="24"/>
      <c r="V207" s="22"/>
      <c r="W207" s="24"/>
      <c r="X207" s="24"/>
      <c r="Y207" s="22"/>
      <c r="Z207" s="24"/>
      <c r="AA207" s="24"/>
      <c r="AB207" s="22"/>
      <c r="AC207" s="24"/>
      <c r="AD207" s="24"/>
      <c r="AE207" s="24"/>
      <c r="AF207" s="24"/>
      <c r="AG207" s="24"/>
      <c r="AH207" s="22"/>
      <c r="AI207" s="24"/>
      <c r="AJ207" s="24"/>
      <c r="AK207" s="22"/>
      <c r="AL207" s="24"/>
      <c r="AM207" s="24"/>
      <c r="AN207" s="22"/>
      <c r="AO207" s="24"/>
      <c r="AP207" s="24"/>
      <c r="AQ207" s="22"/>
      <c r="AR207" s="34"/>
      <c r="AS207" s="34"/>
      <c r="AT207" s="100"/>
      <c r="AU207" s="83">
        <f t="shared" si="236"/>
        <v>0</v>
      </c>
      <c r="AV207" s="83">
        <f t="shared" si="237"/>
        <v>0</v>
      </c>
      <c r="AW207" s="83">
        <f t="shared" si="238"/>
        <v>0</v>
      </c>
      <c r="AX207" s="83">
        <f t="shared" si="239"/>
        <v>0</v>
      </c>
    </row>
    <row r="208" spans="1:50" ht="24" x14ac:dyDescent="0.3">
      <c r="A208" s="147"/>
      <c r="B208" s="140"/>
      <c r="C208" s="140"/>
      <c r="D208" s="36" t="s">
        <v>4</v>
      </c>
      <c r="E208" s="24">
        <f t="shared" si="294"/>
        <v>0</v>
      </c>
      <c r="F208" s="24">
        <f t="shared" si="294"/>
        <v>0</v>
      </c>
      <c r="G208" s="24"/>
      <c r="H208" s="24"/>
      <c r="I208" s="24"/>
      <c r="J208" s="22"/>
      <c r="K208" s="24"/>
      <c r="L208" s="24"/>
      <c r="M208" s="22"/>
      <c r="N208" s="24"/>
      <c r="O208" s="24"/>
      <c r="P208" s="24"/>
      <c r="Q208" s="24"/>
      <c r="R208" s="24"/>
      <c r="S208" s="22"/>
      <c r="T208" s="24"/>
      <c r="U208" s="24"/>
      <c r="V208" s="22"/>
      <c r="W208" s="24"/>
      <c r="X208" s="24"/>
      <c r="Y208" s="22"/>
      <c r="Z208" s="24"/>
      <c r="AA208" s="24"/>
      <c r="AB208" s="22"/>
      <c r="AC208" s="24"/>
      <c r="AD208" s="24"/>
      <c r="AE208" s="24"/>
      <c r="AF208" s="24"/>
      <c r="AG208" s="24"/>
      <c r="AH208" s="22"/>
      <c r="AI208" s="24"/>
      <c r="AJ208" s="24"/>
      <c r="AK208" s="22"/>
      <c r="AL208" s="24"/>
      <c r="AM208" s="24"/>
      <c r="AN208" s="22"/>
      <c r="AO208" s="24"/>
      <c r="AP208" s="25"/>
      <c r="AQ208" s="22"/>
      <c r="AR208" s="34"/>
      <c r="AS208" s="34"/>
      <c r="AT208" s="100"/>
      <c r="AU208" s="83">
        <f t="shared" si="236"/>
        <v>0</v>
      </c>
      <c r="AV208" s="83">
        <f t="shared" si="237"/>
        <v>0</v>
      </c>
      <c r="AW208" s="83">
        <f t="shared" si="238"/>
        <v>0</v>
      </c>
      <c r="AX208" s="83">
        <f t="shared" si="239"/>
        <v>0</v>
      </c>
    </row>
    <row r="209" spans="1:50" x14ac:dyDescent="0.3">
      <c r="A209" s="147"/>
      <c r="B209" s="140"/>
      <c r="C209" s="140"/>
      <c r="D209" s="36" t="s">
        <v>44</v>
      </c>
      <c r="E209" s="24">
        <f t="shared" si="294"/>
        <v>0</v>
      </c>
      <c r="F209" s="24">
        <f t="shared" si="294"/>
        <v>0</v>
      </c>
      <c r="G209" s="24"/>
      <c r="H209" s="24"/>
      <c r="I209" s="24"/>
      <c r="J209" s="22"/>
      <c r="K209" s="24">
        <f>5-5</f>
        <v>0</v>
      </c>
      <c r="L209" s="24">
        <v>0</v>
      </c>
      <c r="M209" s="22"/>
      <c r="N209" s="24">
        <f>5-5</f>
        <v>0</v>
      </c>
      <c r="O209" s="24"/>
      <c r="P209" s="24"/>
      <c r="Q209" s="24"/>
      <c r="R209" s="24"/>
      <c r="S209" s="22"/>
      <c r="T209" s="24"/>
      <c r="U209" s="24"/>
      <c r="V209" s="22"/>
      <c r="W209" s="24"/>
      <c r="X209" s="24"/>
      <c r="Y209" s="22"/>
      <c r="Z209" s="24"/>
      <c r="AA209" s="24"/>
      <c r="AB209" s="22"/>
      <c r="AC209" s="24"/>
      <c r="AD209" s="24"/>
      <c r="AE209" s="24"/>
      <c r="AF209" s="24"/>
      <c r="AG209" s="24"/>
      <c r="AH209" s="22"/>
      <c r="AI209" s="24"/>
      <c r="AJ209" s="24"/>
      <c r="AK209" s="22"/>
      <c r="AL209" s="24">
        <f>15-15</f>
        <v>0</v>
      </c>
      <c r="AM209" s="24"/>
      <c r="AN209" s="22"/>
      <c r="AO209" s="24">
        <f>15+10-25</f>
        <v>0</v>
      </c>
      <c r="AP209" s="24"/>
      <c r="AQ209" s="22"/>
      <c r="AR209" s="90"/>
      <c r="AS209" s="90"/>
      <c r="AT209" s="100"/>
      <c r="AU209" s="83">
        <f t="shared" si="236"/>
        <v>0</v>
      </c>
      <c r="AV209" s="83">
        <f t="shared" si="237"/>
        <v>0</v>
      </c>
      <c r="AW209" s="83">
        <f t="shared" si="238"/>
        <v>0</v>
      </c>
      <c r="AX209" s="83">
        <f t="shared" si="239"/>
        <v>0</v>
      </c>
    </row>
    <row r="210" spans="1:50" ht="15.75" customHeight="1" x14ac:dyDescent="0.3">
      <c r="A210" s="147"/>
      <c r="B210" s="140"/>
      <c r="C210" s="140"/>
      <c r="D210" s="36" t="s">
        <v>22</v>
      </c>
      <c r="E210" s="24">
        <f t="shared" si="294"/>
        <v>0</v>
      </c>
      <c r="F210" s="24">
        <f t="shared" si="294"/>
        <v>0</v>
      </c>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5"/>
      <c r="AR210" s="34"/>
      <c r="AS210" s="34"/>
      <c r="AT210" s="100"/>
      <c r="AU210" s="83">
        <f t="shared" si="236"/>
        <v>0</v>
      </c>
      <c r="AV210" s="83">
        <f t="shared" si="237"/>
        <v>0</v>
      </c>
      <c r="AW210" s="83">
        <f t="shared" si="238"/>
        <v>0</v>
      </c>
      <c r="AX210" s="83">
        <f t="shared" si="239"/>
        <v>0</v>
      </c>
    </row>
    <row r="211" spans="1:50" ht="13.2" customHeight="1" x14ac:dyDescent="0.3">
      <c r="A211" s="145" t="s">
        <v>75</v>
      </c>
      <c r="B211" s="140" t="s">
        <v>149</v>
      </c>
      <c r="C211" s="140" t="s">
        <v>5</v>
      </c>
      <c r="D211" s="36" t="s">
        <v>3</v>
      </c>
      <c r="E211" s="24">
        <f t="shared" si="294"/>
        <v>122023.5</v>
      </c>
      <c r="F211" s="24">
        <f t="shared" si="294"/>
        <v>101734.31999999999</v>
      </c>
      <c r="G211" s="24">
        <f>F211/E211*100</f>
        <v>83.372727384479219</v>
      </c>
      <c r="H211" s="24">
        <f>H212+H213+H214+H215</f>
        <v>0</v>
      </c>
      <c r="I211" s="24">
        <f>I212+I213+I214+I215</f>
        <v>0</v>
      </c>
      <c r="J211" s="24"/>
      <c r="K211" s="24">
        <f t="shared" ref="K211:AP211" si="295">K212+K213+K214+K215</f>
        <v>9062.2999999999993</v>
      </c>
      <c r="L211" s="24">
        <f t="shared" si="295"/>
        <v>9062.2999999999993</v>
      </c>
      <c r="M211" s="24">
        <f t="shared" ref="M211:M214" si="296">L211/K211*100</f>
        <v>100</v>
      </c>
      <c r="N211" s="24">
        <f t="shared" si="295"/>
        <v>8124.9</v>
      </c>
      <c r="O211" s="24">
        <f t="shared" si="295"/>
        <v>8125</v>
      </c>
      <c r="P211" s="24">
        <f t="shared" ref="P211:P214" si="297">O211/N211*100</f>
        <v>100.00123078437888</v>
      </c>
      <c r="Q211" s="24">
        <f t="shared" si="295"/>
        <v>12688.1</v>
      </c>
      <c r="R211" s="24">
        <f t="shared" si="295"/>
        <v>11954.900000000001</v>
      </c>
      <c r="S211" s="24">
        <f>R211/Q211*100</f>
        <v>94.221357019569524</v>
      </c>
      <c r="T211" s="24">
        <f t="shared" si="295"/>
        <v>16581.2</v>
      </c>
      <c r="U211" s="24">
        <f t="shared" si="295"/>
        <v>16188.999999999998</v>
      </c>
      <c r="V211" s="24">
        <f>U211/T211*100</f>
        <v>97.634670590789554</v>
      </c>
      <c r="W211" s="24">
        <f t="shared" si="295"/>
        <v>9594.5</v>
      </c>
      <c r="X211" s="24">
        <f t="shared" si="295"/>
        <v>10719.9</v>
      </c>
      <c r="Y211" s="24">
        <f>X211/W211*100</f>
        <v>111.72963677106675</v>
      </c>
      <c r="Z211" s="24">
        <f t="shared" si="295"/>
        <v>0</v>
      </c>
      <c r="AA211" s="24">
        <f t="shared" si="295"/>
        <v>0</v>
      </c>
      <c r="AB211" s="24"/>
      <c r="AC211" s="24">
        <f t="shared" si="295"/>
        <v>0</v>
      </c>
      <c r="AD211" s="24">
        <f t="shared" si="295"/>
        <v>0</v>
      </c>
      <c r="AE211" s="22"/>
      <c r="AF211" s="24">
        <f t="shared" si="295"/>
        <v>31.9</v>
      </c>
      <c r="AG211" s="24">
        <f t="shared" si="295"/>
        <v>31.9</v>
      </c>
      <c r="AH211" s="24">
        <f>AG211/AF211*100</f>
        <v>100</v>
      </c>
      <c r="AI211" s="24">
        <f t="shared" si="295"/>
        <v>17214.399999999998</v>
      </c>
      <c r="AJ211" s="24">
        <f t="shared" si="295"/>
        <v>14070.2</v>
      </c>
      <c r="AK211" s="24">
        <f>AJ211/AI211*100</f>
        <v>81.735059020355067</v>
      </c>
      <c r="AL211" s="24">
        <f t="shared" si="295"/>
        <v>13800.199999999999</v>
      </c>
      <c r="AM211" s="24">
        <f t="shared" si="295"/>
        <v>11180.62</v>
      </c>
      <c r="AN211" s="24">
        <f>AM211/AL211*100</f>
        <v>81.017811336067609</v>
      </c>
      <c r="AO211" s="24">
        <f t="shared" si="295"/>
        <v>34926</v>
      </c>
      <c r="AP211" s="24">
        <f t="shared" si="295"/>
        <v>20400.5</v>
      </c>
      <c r="AQ211" s="24">
        <f>AP211/AO211*100</f>
        <v>58.410639638091965</v>
      </c>
      <c r="AR211" s="34"/>
      <c r="AS211" s="34"/>
      <c r="AT211" s="100">
        <f t="shared" ref="AT211:AT273" si="298">(I211+L211+O211+R211+U211+X211+AA211+AD211+AG211+AJ211+AM211+AP211)/(H211+K211+N211+Q211+T211+W211+Z211+AC211+AF211+AI211+AL211+AO211)</f>
        <v>0.83372727384479217</v>
      </c>
      <c r="AU211" s="83">
        <f t="shared" si="236"/>
        <v>17187.199999999997</v>
      </c>
      <c r="AV211" s="83">
        <f t="shared" si="237"/>
        <v>38863.800000000003</v>
      </c>
      <c r="AW211" s="83">
        <f t="shared" si="238"/>
        <v>31.9</v>
      </c>
      <c r="AX211" s="83">
        <f t="shared" si="239"/>
        <v>65940.600000000006</v>
      </c>
    </row>
    <row r="212" spans="1:50" ht="19.8" customHeight="1" x14ac:dyDescent="0.3">
      <c r="A212" s="145"/>
      <c r="B212" s="140"/>
      <c r="C212" s="140"/>
      <c r="D212" s="36" t="s">
        <v>21</v>
      </c>
      <c r="E212" s="24">
        <f t="shared" si="294"/>
        <v>7577.9000000000005</v>
      </c>
      <c r="F212" s="24">
        <f t="shared" si="294"/>
        <v>6267.3</v>
      </c>
      <c r="G212" s="24">
        <f>F212/E212*100</f>
        <v>82.70497103419153</v>
      </c>
      <c r="H212" s="24"/>
      <c r="I212" s="24"/>
      <c r="J212" s="24"/>
      <c r="K212" s="24">
        <v>550.70000000000005</v>
      </c>
      <c r="L212" s="24">
        <v>550.70000000000005</v>
      </c>
      <c r="M212" s="24">
        <f t="shared" si="296"/>
        <v>100</v>
      </c>
      <c r="N212" s="24">
        <v>484.5</v>
      </c>
      <c r="O212" s="24">
        <v>484.5</v>
      </c>
      <c r="P212" s="24">
        <f t="shared" si="297"/>
        <v>100</v>
      </c>
      <c r="Q212" s="24">
        <v>716.1</v>
      </c>
      <c r="R212" s="24">
        <v>716.1</v>
      </c>
      <c r="S212" s="24">
        <f t="shared" ref="S212:S213" si="299">R212/Q212*100</f>
        <v>100</v>
      </c>
      <c r="T212" s="24">
        <v>988.5</v>
      </c>
      <c r="U212" s="24">
        <v>998.3</v>
      </c>
      <c r="V212" s="24">
        <f>U212/T212*100</f>
        <v>100.99140111279716</v>
      </c>
      <c r="W212" s="24">
        <f>996.4-297.1</f>
        <v>699.3</v>
      </c>
      <c r="X212" s="24">
        <v>689.5</v>
      </c>
      <c r="Y212" s="24">
        <f>X212/W212*100</f>
        <v>98.598598598598613</v>
      </c>
      <c r="Z212" s="24"/>
      <c r="AA212" s="24">
        <v>0</v>
      </c>
      <c r="AB212" s="24"/>
      <c r="AC212" s="24"/>
      <c r="AD212" s="24"/>
      <c r="AE212" s="22"/>
      <c r="AF212" s="24"/>
      <c r="AG212" s="24"/>
      <c r="AH212" s="24"/>
      <c r="AI212" s="24">
        <v>1259.5</v>
      </c>
      <c r="AJ212" s="24">
        <v>933.2</v>
      </c>
      <c r="AK212" s="24">
        <f t="shared" ref="AK212:AK213" si="300">AJ212/AI212*100</f>
        <v>74.092894005557767</v>
      </c>
      <c r="AL212" s="24">
        <v>926.8</v>
      </c>
      <c r="AM212" s="24">
        <v>716.5</v>
      </c>
      <c r="AN212" s="24">
        <f>AM212/AL212*100</f>
        <v>77.309020284851101</v>
      </c>
      <c r="AO212" s="24">
        <f>3259.4+444.6+36-1787.4-0.1</f>
        <v>1952.5</v>
      </c>
      <c r="AP212" s="24">
        <v>1178.5</v>
      </c>
      <c r="AQ212" s="24">
        <f>AP212/AO212*100</f>
        <v>60.35851472471191</v>
      </c>
      <c r="AR212" s="123" t="s">
        <v>158</v>
      </c>
      <c r="AS212" s="123" t="s">
        <v>192</v>
      </c>
      <c r="AT212" s="100">
        <f t="shared" si="298"/>
        <v>0.82704971034191532</v>
      </c>
      <c r="AU212" s="83">
        <f t="shared" si="236"/>
        <v>1035.2</v>
      </c>
      <c r="AV212" s="83">
        <f t="shared" si="237"/>
        <v>2403.8999999999996</v>
      </c>
      <c r="AW212" s="83">
        <f t="shared" si="238"/>
        <v>0</v>
      </c>
      <c r="AX212" s="83">
        <f t="shared" si="239"/>
        <v>4138.8</v>
      </c>
    </row>
    <row r="213" spans="1:50" ht="24.6" customHeight="1" x14ac:dyDescent="0.3">
      <c r="A213" s="145"/>
      <c r="B213" s="140"/>
      <c r="C213" s="140"/>
      <c r="D213" s="36" t="s">
        <v>4</v>
      </c>
      <c r="E213" s="24">
        <f t="shared" si="294"/>
        <v>97638.8</v>
      </c>
      <c r="F213" s="24">
        <f t="shared" si="294"/>
        <v>82031.7</v>
      </c>
      <c r="G213" s="24">
        <f>F213/E213*100</f>
        <v>84.015473356903186</v>
      </c>
      <c r="H213" s="24">
        <v>0</v>
      </c>
      <c r="I213" s="24">
        <v>0</v>
      </c>
      <c r="J213" s="24"/>
      <c r="K213" s="24">
        <v>7265.3</v>
      </c>
      <c r="L213" s="24">
        <v>7265.3</v>
      </c>
      <c r="M213" s="24">
        <f t="shared" si="296"/>
        <v>100</v>
      </c>
      <c r="N213" s="24">
        <v>6492.4</v>
      </c>
      <c r="O213" s="24">
        <v>6492.5</v>
      </c>
      <c r="P213" s="24">
        <f t="shared" si="297"/>
        <v>100.00154026246074</v>
      </c>
      <c r="Q213" s="24">
        <v>9665.6</v>
      </c>
      <c r="R213" s="24">
        <v>9665.6</v>
      </c>
      <c r="S213" s="24">
        <f t="shared" si="299"/>
        <v>100</v>
      </c>
      <c r="T213" s="24">
        <v>12896.3</v>
      </c>
      <c r="U213" s="24">
        <v>12896.3</v>
      </c>
      <c r="V213" s="24">
        <f>U213/T213*100</f>
        <v>100</v>
      </c>
      <c r="W213" s="24">
        <v>8791.6</v>
      </c>
      <c r="X213" s="24">
        <v>8791.6</v>
      </c>
      <c r="Y213" s="24">
        <f>X213/W213*100</f>
        <v>100</v>
      </c>
      <c r="Z213" s="24"/>
      <c r="AA213" s="24">
        <v>0</v>
      </c>
      <c r="AB213" s="24"/>
      <c r="AC213" s="24"/>
      <c r="AD213" s="24"/>
      <c r="AE213" s="22"/>
      <c r="AF213" s="24">
        <v>31.9</v>
      </c>
      <c r="AG213" s="24">
        <v>31.9</v>
      </c>
      <c r="AH213" s="24">
        <f>AG213/AF213*100</f>
        <v>100</v>
      </c>
      <c r="AI213" s="24">
        <v>13487.3</v>
      </c>
      <c r="AJ213" s="24">
        <v>11173.3</v>
      </c>
      <c r="AK213" s="24">
        <f t="shared" si="300"/>
        <v>82.843119082396029</v>
      </c>
      <c r="AL213" s="24">
        <v>10432</v>
      </c>
      <c r="AM213" s="24">
        <v>8878.6</v>
      </c>
      <c r="AN213" s="24">
        <f>AM213/AL213*100</f>
        <v>85.109279141104295</v>
      </c>
      <c r="AO213" s="24">
        <f>35298.5+2640.2+785.8-5977.4-4170.8+0.1</f>
        <v>28576.399999999998</v>
      </c>
      <c r="AP213" s="24">
        <v>16836.599999999999</v>
      </c>
      <c r="AQ213" s="24">
        <f>AP213/AO213*100</f>
        <v>58.917848294396777</v>
      </c>
      <c r="AR213" s="144"/>
      <c r="AS213" s="144"/>
      <c r="AT213" s="100">
        <f t="shared" si="298"/>
        <v>0.84015473356903192</v>
      </c>
      <c r="AU213" s="83">
        <f t="shared" si="236"/>
        <v>13757.7</v>
      </c>
      <c r="AV213" s="83">
        <f t="shared" si="237"/>
        <v>31353.5</v>
      </c>
      <c r="AW213" s="83">
        <f t="shared" si="238"/>
        <v>31.9</v>
      </c>
      <c r="AX213" s="83">
        <f t="shared" si="239"/>
        <v>52495.7</v>
      </c>
    </row>
    <row r="214" spans="1:50" ht="16.2" customHeight="1" x14ac:dyDescent="0.3">
      <c r="A214" s="145"/>
      <c r="B214" s="140"/>
      <c r="C214" s="140"/>
      <c r="D214" s="36" t="s">
        <v>44</v>
      </c>
      <c r="E214" s="24">
        <f t="shared" si="294"/>
        <v>16806.8</v>
      </c>
      <c r="F214" s="24">
        <f t="shared" si="294"/>
        <v>13435.32</v>
      </c>
      <c r="G214" s="24">
        <f>F214/E214*100</f>
        <v>79.939786276983128</v>
      </c>
      <c r="H214" s="24"/>
      <c r="I214" s="24"/>
      <c r="J214" s="22"/>
      <c r="K214" s="24">
        <v>1246.3</v>
      </c>
      <c r="L214" s="24">
        <v>1246.3</v>
      </c>
      <c r="M214" s="24">
        <f t="shared" si="296"/>
        <v>100</v>
      </c>
      <c r="N214" s="24">
        <f>1148+0.6-0.6</f>
        <v>1148</v>
      </c>
      <c r="O214" s="24">
        <v>1148</v>
      </c>
      <c r="P214" s="24">
        <f t="shared" si="297"/>
        <v>100</v>
      </c>
      <c r="Q214" s="24">
        <v>2306.4</v>
      </c>
      <c r="R214" s="24">
        <v>1573.2</v>
      </c>
      <c r="S214" s="24">
        <f>R214/Q214*100</f>
        <v>68.210197710718006</v>
      </c>
      <c r="T214" s="24">
        <f>2727.6-31.2</f>
        <v>2696.4</v>
      </c>
      <c r="U214" s="24">
        <v>2294.4</v>
      </c>
      <c r="V214" s="24">
        <f>U214/T214*100</f>
        <v>85.091232754784158</v>
      </c>
      <c r="W214" s="24">
        <f>2494.7-3071.5+680.4</f>
        <v>103.5999999999998</v>
      </c>
      <c r="X214" s="24">
        <v>1238.8</v>
      </c>
      <c r="Y214" s="24">
        <f>X214/W214*100</f>
        <v>1195.752895752898</v>
      </c>
      <c r="Z214" s="24"/>
      <c r="AA214" s="24">
        <v>0</v>
      </c>
      <c r="AB214" s="24"/>
      <c r="AC214" s="24"/>
      <c r="AD214" s="24"/>
      <c r="AE214" s="22"/>
      <c r="AF214" s="24"/>
      <c r="AG214" s="24"/>
      <c r="AH214" s="24"/>
      <c r="AI214" s="24">
        <f>3120-652.4</f>
        <v>2467.6</v>
      </c>
      <c r="AJ214" s="24">
        <v>1963.7</v>
      </c>
      <c r="AK214" s="24">
        <f>AJ214/AI214*100</f>
        <v>79.579348354676611</v>
      </c>
      <c r="AL214" s="24">
        <v>2441.4</v>
      </c>
      <c r="AM214" s="24">
        <v>1585.52</v>
      </c>
      <c r="AN214" s="24">
        <f>AM214/AL214*100</f>
        <v>64.943065454247559</v>
      </c>
      <c r="AO214" s="24">
        <f>9754.7-1749-701.4-2120+152.2-939.4</f>
        <v>4397.1000000000013</v>
      </c>
      <c r="AP214" s="24">
        <v>2385.4</v>
      </c>
      <c r="AQ214" s="24">
        <f>AP214/AO214*100</f>
        <v>54.249391644492952</v>
      </c>
      <c r="AR214" s="124"/>
      <c r="AS214" s="124"/>
      <c r="AT214" s="100">
        <f t="shared" si="298"/>
        <v>0.79939786276983127</v>
      </c>
      <c r="AU214" s="83">
        <f t="shared" si="236"/>
        <v>2394.3000000000002</v>
      </c>
      <c r="AV214" s="83">
        <f t="shared" si="237"/>
        <v>5106.3999999999996</v>
      </c>
      <c r="AW214" s="83">
        <f t="shared" si="238"/>
        <v>0</v>
      </c>
      <c r="AX214" s="83">
        <f t="shared" si="239"/>
        <v>9306.1000000000022</v>
      </c>
    </row>
    <row r="215" spans="1:50" ht="15.75" customHeight="1" x14ac:dyDescent="0.3">
      <c r="A215" s="145"/>
      <c r="B215" s="140"/>
      <c r="C215" s="140"/>
      <c r="D215" s="36" t="s">
        <v>22</v>
      </c>
      <c r="E215" s="24">
        <f t="shared" si="294"/>
        <v>0</v>
      </c>
      <c r="F215" s="24">
        <f t="shared" si="294"/>
        <v>0</v>
      </c>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5"/>
      <c r="AR215" s="34"/>
      <c r="AS215" s="34"/>
      <c r="AT215" s="100"/>
      <c r="AU215" s="84">
        <f t="shared" si="236"/>
        <v>0</v>
      </c>
      <c r="AV215" s="84">
        <f t="shared" si="237"/>
        <v>0</v>
      </c>
      <c r="AW215" s="84">
        <f t="shared" si="238"/>
        <v>0</v>
      </c>
      <c r="AX215" s="84">
        <f t="shared" si="239"/>
        <v>0</v>
      </c>
    </row>
    <row r="216" spans="1:50" ht="12.6" customHeight="1" x14ac:dyDescent="0.3">
      <c r="A216" s="145" t="s">
        <v>148</v>
      </c>
      <c r="B216" s="140" t="s">
        <v>150</v>
      </c>
      <c r="C216" s="140" t="s">
        <v>5</v>
      </c>
      <c r="D216" s="36" t="s">
        <v>3</v>
      </c>
      <c r="E216" s="24">
        <f t="shared" ref="E216:E220" si="301">H216+K216+N216+Q216+T216+W216+Z216+AC216+AF216+AI216+AL216+AO216</f>
        <v>26175.899999999998</v>
      </c>
      <c r="F216" s="24">
        <f t="shared" ref="F216:F220" si="302">I216+L216+O216+R216+U216+X216+AA216+AD216+AG216+AJ216+AM216+AP216</f>
        <v>21648.699999999997</v>
      </c>
      <c r="G216" s="24">
        <f>F216/E216*100</f>
        <v>82.704701653047266</v>
      </c>
      <c r="H216" s="24">
        <f>H217+H218+H219+H220</f>
        <v>0</v>
      </c>
      <c r="I216" s="24"/>
      <c r="J216" s="22"/>
      <c r="K216" s="24">
        <f t="shared" ref="K216:L216" si="303">K217+K218+K219+K220</f>
        <v>1902.3</v>
      </c>
      <c r="L216" s="24">
        <f t="shared" si="303"/>
        <v>1902.3</v>
      </c>
      <c r="M216" s="24">
        <f t="shared" ref="M216:M217" si="304">L216/K216*100</f>
        <v>100</v>
      </c>
      <c r="N216" s="24">
        <f t="shared" ref="N216:O216" si="305">N217+N218+N219+N220</f>
        <v>1673.6</v>
      </c>
      <c r="O216" s="24">
        <f t="shared" si="305"/>
        <v>1673.6</v>
      </c>
      <c r="P216" s="24">
        <f t="shared" ref="P216:P217" si="306">O216/N216*100</f>
        <v>100</v>
      </c>
      <c r="Q216" s="24">
        <f t="shared" ref="Q216:R216" si="307">Q217+Q218+Q219+Q220</f>
        <v>2507.4</v>
      </c>
      <c r="R216" s="24">
        <f t="shared" si="307"/>
        <v>2473.5</v>
      </c>
      <c r="S216" s="24">
        <f>R216/Q216*100</f>
        <v>98.648001914333577</v>
      </c>
      <c r="T216" s="24">
        <f t="shared" ref="T216:U216" si="308">T217+T218+T219+T220</f>
        <v>3449.9</v>
      </c>
      <c r="U216" s="24">
        <f t="shared" si="308"/>
        <v>3448.3999999999996</v>
      </c>
      <c r="V216" s="24">
        <f>U216/T216*100</f>
        <v>99.956520478854443</v>
      </c>
      <c r="W216" s="24">
        <f t="shared" ref="W216:X216" si="309">W217+W218+W219+W220</f>
        <v>2346.3999999999996</v>
      </c>
      <c r="X216" s="24">
        <f t="shared" si="309"/>
        <v>2381.8000000000002</v>
      </c>
      <c r="Y216" s="24">
        <f>X216/W216*100</f>
        <v>101.50869416979205</v>
      </c>
      <c r="Z216" s="24">
        <f t="shared" ref="Z216:AA216" si="310">Z217+Z218+Z219+Z220</f>
        <v>0</v>
      </c>
      <c r="AA216" s="24">
        <f t="shared" si="310"/>
        <v>0</v>
      </c>
      <c r="AB216" s="24"/>
      <c r="AC216" s="24">
        <f t="shared" ref="AC216:AD216" si="311">AC217+AC218+AC219+AC220</f>
        <v>0</v>
      </c>
      <c r="AD216" s="24">
        <f t="shared" si="311"/>
        <v>0</v>
      </c>
      <c r="AE216" s="22"/>
      <c r="AF216" s="24">
        <f t="shared" ref="AF216" si="312">AF217+AF218+AF219+AF220</f>
        <v>0</v>
      </c>
      <c r="AG216" s="24"/>
      <c r="AH216" s="22"/>
      <c r="AI216" s="24">
        <f t="shared" ref="AI216:AJ216" si="313">AI217+AI218+AI219+AI220</f>
        <v>4142.8</v>
      </c>
      <c r="AJ216" s="24">
        <f t="shared" si="313"/>
        <v>3223.2</v>
      </c>
      <c r="AK216" s="24">
        <f>AJ216/AI216*100</f>
        <v>77.80245244761997</v>
      </c>
      <c r="AL216" s="24">
        <f t="shared" ref="AL216:AM216" si="314">AL217+AL218+AL219+AL220</f>
        <v>3185.3</v>
      </c>
      <c r="AM216" s="24">
        <f t="shared" si="314"/>
        <v>2475.1</v>
      </c>
      <c r="AN216" s="24">
        <f>AM216/AL216*100</f>
        <v>77.703826955074874</v>
      </c>
      <c r="AO216" s="24">
        <f t="shared" ref="AO216:AP216" si="315">AO217+AO218+AO219+AO220</f>
        <v>6968.2</v>
      </c>
      <c r="AP216" s="24">
        <f t="shared" si="315"/>
        <v>4070.8</v>
      </c>
      <c r="AQ216" s="24">
        <f>AP216/AO216*100</f>
        <v>58.419677965615222</v>
      </c>
      <c r="AR216" s="34"/>
      <c r="AS216" s="34"/>
      <c r="AT216" s="100">
        <f t="shared" si="298"/>
        <v>0.82704701653047263</v>
      </c>
      <c r="AU216" s="83">
        <f t="shared" ref="AU216:AU220" si="316">H216+K216+N216</f>
        <v>3575.8999999999996</v>
      </c>
      <c r="AV216" s="83">
        <f t="shared" ref="AV216:AV220" si="317">Q216+T216+W216</f>
        <v>8303.7000000000007</v>
      </c>
      <c r="AW216" s="83">
        <f t="shared" ref="AW216:AW220" si="318">Z216+AC216+AF216</f>
        <v>0</v>
      </c>
      <c r="AX216" s="83">
        <f t="shared" ref="AX216:AX220" si="319">AI216+AL216+AO216</f>
        <v>14296.3</v>
      </c>
    </row>
    <row r="217" spans="1:50" ht="20.399999999999999" customHeight="1" x14ac:dyDescent="0.3">
      <c r="A217" s="145"/>
      <c r="B217" s="140"/>
      <c r="C217" s="140"/>
      <c r="D217" s="36" t="s">
        <v>21</v>
      </c>
      <c r="E217" s="24">
        <f t="shared" si="301"/>
        <v>7577.9000000000005</v>
      </c>
      <c r="F217" s="24">
        <f t="shared" si="302"/>
        <v>6267.3</v>
      </c>
      <c r="G217" s="24">
        <f>F217/E217*100</f>
        <v>82.70497103419153</v>
      </c>
      <c r="H217" s="24"/>
      <c r="I217" s="24"/>
      <c r="J217" s="22"/>
      <c r="K217" s="24">
        <v>550.70000000000005</v>
      </c>
      <c r="L217" s="24">
        <v>550.70000000000005</v>
      </c>
      <c r="M217" s="24">
        <f t="shared" si="304"/>
        <v>100</v>
      </c>
      <c r="N217" s="24">
        <v>484.5</v>
      </c>
      <c r="O217" s="24">
        <v>484.5</v>
      </c>
      <c r="P217" s="24">
        <f t="shared" si="306"/>
        <v>100</v>
      </c>
      <c r="Q217" s="24">
        <v>716.1</v>
      </c>
      <c r="R217" s="24">
        <v>716.1</v>
      </c>
      <c r="S217" s="24">
        <f>R217/Q217*100</f>
        <v>100</v>
      </c>
      <c r="T217" s="24">
        <v>988.5</v>
      </c>
      <c r="U217" s="24">
        <v>998.3</v>
      </c>
      <c r="V217" s="24">
        <f t="shared" ref="V217:V219" si="320">U217/T217*100</f>
        <v>100.99140111279716</v>
      </c>
      <c r="W217" s="24">
        <f>996.4-297.1</f>
        <v>699.3</v>
      </c>
      <c r="X217" s="24">
        <v>689.5</v>
      </c>
      <c r="Y217" s="24">
        <f>X217/W217*100</f>
        <v>98.598598598598613</v>
      </c>
      <c r="Z217" s="24"/>
      <c r="AA217" s="24">
        <v>0</v>
      </c>
      <c r="AB217" s="24"/>
      <c r="AC217" s="24"/>
      <c r="AD217" s="24"/>
      <c r="AE217" s="22"/>
      <c r="AF217" s="24"/>
      <c r="AG217" s="24"/>
      <c r="AH217" s="22"/>
      <c r="AI217" s="24">
        <v>1259.5</v>
      </c>
      <c r="AJ217" s="24">
        <v>933.2</v>
      </c>
      <c r="AK217" s="24">
        <f t="shared" ref="AK217:AK218" si="321">AJ217/AI217*100</f>
        <v>74.092894005557767</v>
      </c>
      <c r="AL217" s="24">
        <v>926.8</v>
      </c>
      <c r="AM217" s="24">
        <v>716.5</v>
      </c>
      <c r="AN217" s="24">
        <f>AM217/AL217*100</f>
        <v>77.309020284851101</v>
      </c>
      <c r="AO217" s="24">
        <f>3259.4+444.6+36-1787.4-0.1</f>
        <v>1952.5</v>
      </c>
      <c r="AP217" s="24">
        <v>1178.5</v>
      </c>
      <c r="AQ217" s="24">
        <f>AP217/AO217*100</f>
        <v>60.35851472471191</v>
      </c>
      <c r="AR217" s="123" t="s">
        <v>159</v>
      </c>
      <c r="AS217" s="123" t="s">
        <v>192</v>
      </c>
      <c r="AT217" s="100">
        <f t="shared" si="298"/>
        <v>0.82704971034191532</v>
      </c>
      <c r="AU217" s="83">
        <f t="shared" si="316"/>
        <v>1035.2</v>
      </c>
      <c r="AV217" s="83">
        <f t="shared" si="317"/>
        <v>2403.8999999999996</v>
      </c>
      <c r="AW217" s="83">
        <f t="shared" si="318"/>
        <v>0</v>
      </c>
      <c r="AX217" s="83">
        <f t="shared" si="319"/>
        <v>4138.8</v>
      </c>
    </row>
    <row r="218" spans="1:50" ht="24.6" customHeight="1" x14ac:dyDescent="0.3">
      <c r="A218" s="145"/>
      <c r="B218" s="140"/>
      <c r="C218" s="140"/>
      <c r="D218" s="36" t="s">
        <v>4</v>
      </c>
      <c r="E218" s="24">
        <f t="shared" si="301"/>
        <v>17681.8</v>
      </c>
      <c r="F218" s="24">
        <f t="shared" si="302"/>
        <v>14623.7</v>
      </c>
      <c r="G218" s="24">
        <f>F218/E218*100</f>
        <v>82.704815120632531</v>
      </c>
      <c r="H218" s="24">
        <v>0</v>
      </c>
      <c r="I218" s="24"/>
      <c r="J218" s="22"/>
      <c r="K218" s="24">
        <v>1285</v>
      </c>
      <c r="L218" s="24">
        <v>1285</v>
      </c>
      <c r="M218" s="24">
        <f t="shared" ref="M218:M219" si="322">L218/K218*100</f>
        <v>100</v>
      </c>
      <c r="N218" s="24">
        <v>1130.5</v>
      </c>
      <c r="O218" s="24">
        <v>1130.5</v>
      </c>
      <c r="P218" s="24">
        <f t="shared" ref="P218:P219" si="323">O218/N218*100</f>
        <v>100</v>
      </c>
      <c r="Q218" s="24">
        <v>1670.9</v>
      </c>
      <c r="R218" s="24">
        <v>1670.9</v>
      </c>
      <c r="S218" s="24">
        <f>R218/Q218*100</f>
        <v>100</v>
      </c>
      <c r="T218" s="24">
        <v>2329.4</v>
      </c>
      <c r="U218" s="24">
        <v>2329.4</v>
      </c>
      <c r="V218" s="24">
        <f t="shared" si="320"/>
        <v>100</v>
      </c>
      <c r="W218" s="24">
        <v>1608.9</v>
      </c>
      <c r="X218" s="24">
        <v>1608.9</v>
      </c>
      <c r="Y218" s="24">
        <f>X218/W218*100</f>
        <v>100</v>
      </c>
      <c r="Z218" s="24"/>
      <c r="AA218" s="24">
        <v>0</v>
      </c>
      <c r="AB218" s="24"/>
      <c r="AC218" s="24">
        <v>0</v>
      </c>
      <c r="AD218" s="24"/>
      <c r="AE218" s="22"/>
      <c r="AF218" s="24">
        <v>0</v>
      </c>
      <c r="AG218" s="24"/>
      <c r="AH218" s="22"/>
      <c r="AI218" s="24">
        <v>2700.3</v>
      </c>
      <c r="AJ218" s="24">
        <v>2177.1999999999998</v>
      </c>
      <c r="AK218" s="24">
        <f t="shared" si="321"/>
        <v>80.628078361663498</v>
      </c>
      <c r="AL218" s="24">
        <v>2125.5</v>
      </c>
      <c r="AM218" s="24">
        <v>1672</v>
      </c>
      <c r="AN218" s="24">
        <f>AM218/AL218*100</f>
        <v>78.663843801458484</v>
      </c>
      <c r="AO218" s="24">
        <f>7879.9+1038.2+84-4170.8</f>
        <v>4831.3</v>
      </c>
      <c r="AP218" s="25">
        <v>2749.8</v>
      </c>
      <c r="AQ218" s="24">
        <f>AP218/AO218*100</f>
        <v>56.916357916088842</v>
      </c>
      <c r="AR218" s="144"/>
      <c r="AS218" s="144"/>
      <c r="AT218" s="100">
        <f t="shared" si="298"/>
        <v>0.82704815120632524</v>
      </c>
      <c r="AU218" s="83">
        <f t="shared" si="316"/>
        <v>2415.5</v>
      </c>
      <c r="AV218" s="83">
        <f t="shared" si="317"/>
        <v>5609.2000000000007</v>
      </c>
      <c r="AW218" s="83">
        <f t="shared" si="318"/>
        <v>0</v>
      </c>
      <c r="AX218" s="83">
        <f t="shared" si="319"/>
        <v>9657.1</v>
      </c>
    </row>
    <row r="219" spans="1:50" ht="16.2" customHeight="1" x14ac:dyDescent="0.3">
      <c r="A219" s="145"/>
      <c r="B219" s="140"/>
      <c r="C219" s="140"/>
      <c r="D219" s="36" t="s">
        <v>44</v>
      </c>
      <c r="E219" s="24">
        <f t="shared" si="301"/>
        <v>916.19999999999993</v>
      </c>
      <c r="F219" s="24">
        <f t="shared" si="302"/>
        <v>757.69999999999993</v>
      </c>
      <c r="G219" s="24">
        <f>F219/E219*100</f>
        <v>82.700283780833885</v>
      </c>
      <c r="H219" s="24"/>
      <c r="I219" s="24"/>
      <c r="J219" s="22"/>
      <c r="K219" s="24">
        <v>66.599999999999994</v>
      </c>
      <c r="L219" s="24">
        <v>66.599999999999994</v>
      </c>
      <c r="M219" s="24">
        <f t="shared" si="322"/>
        <v>100</v>
      </c>
      <c r="N219" s="24">
        <f>58.6+0.6-0.6</f>
        <v>58.6</v>
      </c>
      <c r="O219" s="24">
        <v>58.6</v>
      </c>
      <c r="P219" s="24">
        <f t="shared" si="323"/>
        <v>100</v>
      </c>
      <c r="Q219" s="24">
        <v>120.4</v>
      </c>
      <c r="R219" s="24">
        <v>86.5</v>
      </c>
      <c r="S219" s="24">
        <f>R219/Q219*100</f>
        <v>71.843853820598</v>
      </c>
      <c r="T219" s="24">
        <v>132</v>
      </c>
      <c r="U219" s="24">
        <v>120.7</v>
      </c>
      <c r="V219" s="24">
        <f t="shared" si="320"/>
        <v>91.439393939393938</v>
      </c>
      <c r="W219" s="24">
        <f>141.6-103.4</f>
        <v>38.199999999999989</v>
      </c>
      <c r="X219" s="24">
        <v>83.4</v>
      </c>
      <c r="Y219" s="24">
        <f>X219/W219*100</f>
        <v>218.32460732984299</v>
      </c>
      <c r="Z219" s="24">
        <v>0</v>
      </c>
      <c r="AA219" s="24">
        <v>0</v>
      </c>
      <c r="AB219" s="24"/>
      <c r="AC219" s="24">
        <v>0</v>
      </c>
      <c r="AD219" s="24"/>
      <c r="AE219" s="22"/>
      <c r="AF219" s="24"/>
      <c r="AG219" s="24"/>
      <c r="AH219" s="22"/>
      <c r="AI219" s="24">
        <v>183</v>
      </c>
      <c r="AJ219" s="24">
        <v>112.8</v>
      </c>
      <c r="AK219" s="24">
        <f>AJ219/AI219*100</f>
        <v>61.639344262295083</v>
      </c>
      <c r="AL219" s="24">
        <v>133</v>
      </c>
      <c r="AM219" s="24">
        <v>86.6</v>
      </c>
      <c r="AN219" s="24">
        <f>AM219/AL219*100</f>
        <v>65.112781954887211</v>
      </c>
      <c r="AO219" s="24">
        <f>297.1+82.4+21-216.1</f>
        <v>184.4</v>
      </c>
      <c r="AP219" s="24">
        <v>142.5</v>
      </c>
      <c r="AQ219" s="24">
        <f>AP219/AO219*100</f>
        <v>77.277657266811275</v>
      </c>
      <c r="AR219" s="124"/>
      <c r="AS219" s="124"/>
      <c r="AT219" s="100">
        <f t="shared" si="298"/>
        <v>0.82700283780833883</v>
      </c>
      <c r="AU219" s="83">
        <f t="shared" si="316"/>
        <v>125.19999999999999</v>
      </c>
      <c r="AV219" s="83">
        <f t="shared" si="317"/>
        <v>290.60000000000002</v>
      </c>
      <c r="AW219" s="83">
        <f t="shared" si="318"/>
        <v>0</v>
      </c>
      <c r="AX219" s="83">
        <f t="shared" si="319"/>
        <v>500.4</v>
      </c>
    </row>
    <row r="220" spans="1:50" ht="13.2" customHeight="1" x14ac:dyDescent="0.3">
      <c r="A220" s="145"/>
      <c r="B220" s="140"/>
      <c r="C220" s="140"/>
      <c r="D220" s="36" t="s">
        <v>22</v>
      </c>
      <c r="E220" s="24">
        <f t="shared" si="301"/>
        <v>0</v>
      </c>
      <c r="F220" s="24">
        <f t="shared" si="302"/>
        <v>0</v>
      </c>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5"/>
      <c r="AR220" s="34"/>
      <c r="AS220" s="34"/>
      <c r="AT220" s="100"/>
      <c r="AU220" s="84">
        <f t="shared" si="316"/>
        <v>0</v>
      </c>
      <c r="AV220" s="84">
        <f t="shared" si="317"/>
        <v>0</v>
      </c>
      <c r="AW220" s="84">
        <f t="shared" si="318"/>
        <v>0</v>
      </c>
      <c r="AX220" s="84">
        <f t="shared" si="319"/>
        <v>0</v>
      </c>
    </row>
    <row r="221" spans="1:50" x14ac:dyDescent="0.3">
      <c r="A221" s="146" t="s">
        <v>14</v>
      </c>
      <c r="B221" s="146"/>
      <c r="C221" s="146"/>
      <c r="D221" s="37" t="s">
        <v>3</v>
      </c>
      <c r="E221" s="38">
        <f t="shared" si="294"/>
        <v>122272.2</v>
      </c>
      <c r="F221" s="38">
        <f t="shared" si="294"/>
        <v>101983.01999999999</v>
      </c>
      <c r="G221" s="38">
        <f>F221/E221*100</f>
        <v>83.406547031950012</v>
      </c>
      <c r="H221" s="38">
        <f>H222+H223+H224+H225</f>
        <v>0</v>
      </c>
      <c r="I221" s="38">
        <f>I222+I223+I224+I225</f>
        <v>0</v>
      </c>
      <c r="J221" s="38"/>
      <c r="K221" s="38">
        <f t="shared" ref="K221:AO221" si="324">K222+K223+K224+K225</f>
        <v>9062.2999999999993</v>
      </c>
      <c r="L221" s="38">
        <f t="shared" si="324"/>
        <v>9062.2999999999993</v>
      </c>
      <c r="M221" s="38">
        <f t="shared" ref="M221:M224" si="325">L221/K221*100</f>
        <v>100</v>
      </c>
      <c r="N221" s="38">
        <f t="shared" si="324"/>
        <v>8190.9</v>
      </c>
      <c r="O221" s="38">
        <f t="shared" si="324"/>
        <v>8191</v>
      </c>
      <c r="P221" s="38">
        <f t="shared" ref="P221:P224" si="326">O221/N221*100</f>
        <v>100.00122086705979</v>
      </c>
      <c r="Q221" s="38">
        <f t="shared" si="324"/>
        <v>12723.1</v>
      </c>
      <c r="R221" s="38">
        <f t="shared" si="324"/>
        <v>11989.900000000001</v>
      </c>
      <c r="S221" s="38">
        <f>R221/Q221*100</f>
        <v>94.237253499540216</v>
      </c>
      <c r="T221" s="38">
        <f t="shared" si="324"/>
        <v>16616.2</v>
      </c>
      <c r="U221" s="38">
        <f t="shared" si="324"/>
        <v>16223.999999999998</v>
      </c>
      <c r="V221" s="38">
        <f>U221/T221*100</f>
        <v>97.639652868886969</v>
      </c>
      <c r="W221" s="38">
        <f t="shared" si="324"/>
        <v>9594.5</v>
      </c>
      <c r="X221" s="38">
        <f t="shared" si="324"/>
        <v>10719.9</v>
      </c>
      <c r="Y221" s="38">
        <f>X221/W221*100</f>
        <v>111.72963677106675</v>
      </c>
      <c r="Z221" s="38">
        <f t="shared" si="324"/>
        <v>35</v>
      </c>
      <c r="AA221" s="38">
        <f t="shared" si="324"/>
        <v>0</v>
      </c>
      <c r="AB221" s="38">
        <f>AA221/Z221*100</f>
        <v>0</v>
      </c>
      <c r="AC221" s="38">
        <f t="shared" si="324"/>
        <v>0</v>
      </c>
      <c r="AD221" s="38">
        <f t="shared" si="324"/>
        <v>0</v>
      </c>
      <c r="AE221" s="38"/>
      <c r="AF221" s="38">
        <f t="shared" si="324"/>
        <v>109.6</v>
      </c>
      <c r="AG221" s="38">
        <f t="shared" si="324"/>
        <v>144.6</v>
      </c>
      <c r="AH221" s="23"/>
      <c r="AI221" s="38">
        <f t="shared" si="324"/>
        <v>17214.399999999998</v>
      </c>
      <c r="AJ221" s="38">
        <f t="shared" si="324"/>
        <v>14070.2</v>
      </c>
      <c r="AK221" s="38">
        <f>AJ221/AI221*100</f>
        <v>81.735059020355067</v>
      </c>
      <c r="AL221" s="38">
        <f t="shared" si="324"/>
        <v>13800.199999999999</v>
      </c>
      <c r="AM221" s="38">
        <f t="shared" si="324"/>
        <v>11180.62</v>
      </c>
      <c r="AN221" s="38">
        <f>AM221/AL221*100</f>
        <v>81.017811336067609</v>
      </c>
      <c r="AO221" s="38">
        <f t="shared" si="324"/>
        <v>34926</v>
      </c>
      <c r="AP221" s="38">
        <f t="shared" ref="AP221" si="327">AP222+AP223+AP224+AP225</f>
        <v>20400.5</v>
      </c>
      <c r="AQ221" s="38">
        <f>AP221/AO221*100</f>
        <v>58.410639638091965</v>
      </c>
      <c r="AR221" s="34"/>
      <c r="AS221" s="34"/>
      <c r="AT221" s="100">
        <f t="shared" si="298"/>
        <v>0.83406547031950018</v>
      </c>
      <c r="AU221" s="84">
        <f t="shared" si="236"/>
        <v>17253.199999999997</v>
      </c>
      <c r="AV221" s="84">
        <f t="shared" si="237"/>
        <v>38933.800000000003</v>
      </c>
      <c r="AW221" s="84">
        <f t="shared" si="238"/>
        <v>144.6</v>
      </c>
      <c r="AX221" s="84">
        <f t="shared" si="239"/>
        <v>65940.600000000006</v>
      </c>
    </row>
    <row r="222" spans="1:50" ht="15" customHeight="1" x14ac:dyDescent="0.3">
      <c r="A222" s="146"/>
      <c r="B222" s="146"/>
      <c r="C222" s="146"/>
      <c r="D222" s="37" t="s">
        <v>21</v>
      </c>
      <c r="E222" s="38">
        <f t="shared" si="294"/>
        <v>7577.9000000000005</v>
      </c>
      <c r="F222" s="38">
        <f t="shared" si="294"/>
        <v>6267.3</v>
      </c>
      <c r="G222" s="38">
        <f>F222/E222*100</f>
        <v>82.70497103419153</v>
      </c>
      <c r="H222" s="38">
        <f t="shared" ref="H222:I225" si="328">H192+H197+H202+H207+H212</f>
        <v>0</v>
      </c>
      <c r="I222" s="38">
        <f t="shared" si="328"/>
        <v>0</v>
      </c>
      <c r="J222" s="38"/>
      <c r="K222" s="38">
        <f t="shared" ref="K222:L225" si="329">K192+K197+K202+K207+K212</f>
        <v>550.70000000000005</v>
      </c>
      <c r="L222" s="38">
        <f t="shared" si="329"/>
        <v>550.70000000000005</v>
      </c>
      <c r="M222" s="38">
        <f t="shared" si="325"/>
        <v>100</v>
      </c>
      <c r="N222" s="38">
        <f t="shared" ref="N222:O225" si="330">N192+N197+N202+N207+N212</f>
        <v>484.5</v>
      </c>
      <c r="O222" s="38">
        <f t="shared" si="330"/>
        <v>484.5</v>
      </c>
      <c r="P222" s="38"/>
      <c r="Q222" s="38">
        <f t="shared" ref="Q222:R225" si="331">Q192+Q197+Q202+Q207+Q212</f>
        <v>716.1</v>
      </c>
      <c r="R222" s="38">
        <f t="shared" si="331"/>
        <v>716.1</v>
      </c>
      <c r="S222" s="38">
        <f>R222/Q222*100</f>
        <v>100</v>
      </c>
      <c r="T222" s="38">
        <f t="shared" ref="T222:U225" si="332">T192+T197+T202+T207+T212</f>
        <v>988.5</v>
      </c>
      <c r="U222" s="38">
        <f t="shared" si="332"/>
        <v>998.3</v>
      </c>
      <c r="V222" s="38">
        <f>U222/T222*100</f>
        <v>100.99140111279716</v>
      </c>
      <c r="W222" s="38">
        <f t="shared" ref="W222:X225" si="333">W192+W197+W202+W207+W212</f>
        <v>699.3</v>
      </c>
      <c r="X222" s="38">
        <f t="shared" si="333"/>
        <v>689.5</v>
      </c>
      <c r="Y222" s="38">
        <f t="shared" ref="Y222:Y224" si="334">X222/W222*100</f>
        <v>98.598598598598613</v>
      </c>
      <c r="Z222" s="38">
        <f t="shared" ref="Z222:AA225" si="335">Z192+Z197+Z202+Z207+Z212</f>
        <v>0</v>
      </c>
      <c r="AA222" s="38">
        <f t="shared" si="335"/>
        <v>0</v>
      </c>
      <c r="AB222" s="38"/>
      <c r="AC222" s="38">
        <f t="shared" ref="AC222:AD225" si="336">AC192+AC197+AC202+AC207+AC212</f>
        <v>0</v>
      </c>
      <c r="AD222" s="38">
        <f t="shared" si="336"/>
        <v>0</v>
      </c>
      <c r="AE222" s="38"/>
      <c r="AF222" s="38">
        <f t="shared" ref="AF222:AG224" si="337">AF192+AF197+AF202+AF207+AF212</f>
        <v>0</v>
      </c>
      <c r="AG222" s="38">
        <f t="shared" si="337"/>
        <v>0</v>
      </c>
      <c r="AH222" s="23"/>
      <c r="AI222" s="38">
        <f t="shared" ref="AI222:AJ224" si="338">AI192+AI197+AI202+AI207+AI212</f>
        <v>1259.5</v>
      </c>
      <c r="AJ222" s="38">
        <f t="shared" si="338"/>
        <v>933.2</v>
      </c>
      <c r="AK222" s="38">
        <f>AJ222/AI222*100</f>
        <v>74.092894005557767</v>
      </c>
      <c r="AL222" s="38">
        <f t="shared" ref="AL222:AM224" si="339">AL192+AL197+AL202+AL207+AL212</f>
        <v>926.8</v>
      </c>
      <c r="AM222" s="38">
        <f t="shared" si="339"/>
        <v>716.5</v>
      </c>
      <c r="AN222" s="38">
        <f>AM222/AL222*100</f>
        <v>77.309020284851101</v>
      </c>
      <c r="AO222" s="38">
        <f t="shared" ref="AO222:AP224" si="340">AO192+AO197+AO202+AO207+AO212</f>
        <v>1952.5</v>
      </c>
      <c r="AP222" s="38">
        <f t="shared" si="340"/>
        <v>1178.5</v>
      </c>
      <c r="AQ222" s="38">
        <f>AP222/AO222*100</f>
        <v>60.35851472471191</v>
      </c>
      <c r="AR222" s="34"/>
      <c r="AS222" s="34"/>
      <c r="AT222" s="100">
        <f t="shared" si="298"/>
        <v>0.82704971034191532</v>
      </c>
      <c r="AU222" s="84">
        <f t="shared" si="236"/>
        <v>1035.2</v>
      </c>
      <c r="AV222" s="84">
        <f t="shared" si="237"/>
        <v>2403.8999999999996</v>
      </c>
      <c r="AW222" s="84">
        <f t="shared" si="238"/>
        <v>0</v>
      </c>
      <c r="AX222" s="84">
        <f t="shared" si="239"/>
        <v>4138.8</v>
      </c>
    </row>
    <row r="223" spans="1:50" ht="25.5" customHeight="1" x14ac:dyDescent="0.3">
      <c r="A223" s="146"/>
      <c r="B223" s="146"/>
      <c r="C223" s="146"/>
      <c r="D223" s="37" t="s">
        <v>4</v>
      </c>
      <c r="E223" s="38">
        <f t="shared" si="294"/>
        <v>97638.8</v>
      </c>
      <c r="F223" s="38">
        <f t="shared" si="294"/>
        <v>82031.7</v>
      </c>
      <c r="G223" s="38">
        <f t="shared" ref="G223:G224" si="341">F223/E223*100</f>
        <v>84.015473356903186</v>
      </c>
      <c r="H223" s="38">
        <f t="shared" si="328"/>
        <v>0</v>
      </c>
      <c r="I223" s="38">
        <f t="shared" si="328"/>
        <v>0</v>
      </c>
      <c r="J223" s="38"/>
      <c r="K223" s="38">
        <f t="shared" si="329"/>
        <v>7265.3</v>
      </c>
      <c r="L223" s="38">
        <f t="shared" si="329"/>
        <v>7265.3</v>
      </c>
      <c r="M223" s="38">
        <f t="shared" si="325"/>
        <v>100</v>
      </c>
      <c r="N223" s="38">
        <f t="shared" si="330"/>
        <v>6492.4</v>
      </c>
      <c r="O223" s="38">
        <f t="shared" si="330"/>
        <v>6492.5</v>
      </c>
      <c r="P223" s="38">
        <f t="shared" si="326"/>
        <v>100.00154026246074</v>
      </c>
      <c r="Q223" s="38">
        <f t="shared" si="331"/>
        <v>9665.6</v>
      </c>
      <c r="R223" s="38">
        <f t="shared" si="331"/>
        <v>9665.6</v>
      </c>
      <c r="S223" s="38">
        <f t="shared" ref="S223:S224" si="342">R223/Q223*100</f>
        <v>100</v>
      </c>
      <c r="T223" s="38">
        <f t="shared" si="332"/>
        <v>12896.3</v>
      </c>
      <c r="U223" s="38">
        <f t="shared" si="332"/>
        <v>12896.3</v>
      </c>
      <c r="V223" s="38">
        <f t="shared" ref="V223:V224" si="343">U223/T223*100</f>
        <v>100</v>
      </c>
      <c r="W223" s="38">
        <f t="shared" si="333"/>
        <v>8791.6</v>
      </c>
      <c r="X223" s="38">
        <f t="shared" si="333"/>
        <v>8791.6</v>
      </c>
      <c r="Y223" s="38">
        <f t="shared" si="334"/>
        <v>100</v>
      </c>
      <c r="Z223" s="38">
        <f t="shared" si="335"/>
        <v>0</v>
      </c>
      <c r="AA223" s="38">
        <f t="shared" si="335"/>
        <v>0</v>
      </c>
      <c r="AB223" s="38"/>
      <c r="AC223" s="38">
        <f t="shared" si="336"/>
        <v>0</v>
      </c>
      <c r="AD223" s="38">
        <f t="shared" si="336"/>
        <v>0</v>
      </c>
      <c r="AE223" s="38"/>
      <c r="AF223" s="38">
        <f t="shared" si="337"/>
        <v>31.9</v>
      </c>
      <c r="AG223" s="38">
        <f t="shared" si="337"/>
        <v>31.9</v>
      </c>
      <c r="AH223" s="23"/>
      <c r="AI223" s="38">
        <f t="shared" si="338"/>
        <v>13487.3</v>
      </c>
      <c r="AJ223" s="38">
        <f t="shared" si="338"/>
        <v>11173.3</v>
      </c>
      <c r="AK223" s="38">
        <f t="shared" ref="AK223:AK224" si="344">AJ223/AI223*100</f>
        <v>82.843119082396029</v>
      </c>
      <c r="AL223" s="38">
        <f t="shared" si="339"/>
        <v>10432</v>
      </c>
      <c r="AM223" s="38">
        <f t="shared" si="339"/>
        <v>8878.6</v>
      </c>
      <c r="AN223" s="38">
        <f t="shared" ref="AN223:AN224" si="345">AM223/AL223*100</f>
        <v>85.109279141104295</v>
      </c>
      <c r="AO223" s="38">
        <f t="shared" si="340"/>
        <v>28576.399999999998</v>
      </c>
      <c r="AP223" s="38">
        <f t="shared" si="340"/>
        <v>16836.599999999999</v>
      </c>
      <c r="AQ223" s="38">
        <f t="shared" ref="AQ223:AQ224" si="346">AP223/AO223*100</f>
        <v>58.917848294396777</v>
      </c>
      <c r="AR223" s="34"/>
      <c r="AS223" s="34"/>
      <c r="AT223" s="100">
        <f t="shared" si="298"/>
        <v>0.84015473356903192</v>
      </c>
      <c r="AU223" s="84">
        <f t="shared" si="236"/>
        <v>13757.7</v>
      </c>
      <c r="AV223" s="84">
        <f t="shared" si="237"/>
        <v>31353.5</v>
      </c>
      <c r="AW223" s="84">
        <f t="shared" si="238"/>
        <v>31.9</v>
      </c>
      <c r="AX223" s="84">
        <f t="shared" si="239"/>
        <v>52495.7</v>
      </c>
    </row>
    <row r="224" spans="1:50" x14ac:dyDescent="0.3">
      <c r="A224" s="146"/>
      <c r="B224" s="146"/>
      <c r="C224" s="146"/>
      <c r="D224" s="37" t="s">
        <v>44</v>
      </c>
      <c r="E224" s="38">
        <f t="shared" si="294"/>
        <v>17055.5</v>
      </c>
      <c r="F224" s="38">
        <f t="shared" si="294"/>
        <v>13684.02</v>
      </c>
      <c r="G224" s="38">
        <f t="shared" si="341"/>
        <v>80.23230043094604</v>
      </c>
      <c r="H224" s="38">
        <f t="shared" si="328"/>
        <v>0</v>
      </c>
      <c r="I224" s="38">
        <f t="shared" si="328"/>
        <v>0</v>
      </c>
      <c r="J224" s="38"/>
      <c r="K224" s="38">
        <f t="shared" si="329"/>
        <v>1246.3</v>
      </c>
      <c r="L224" s="38">
        <f t="shared" si="329"/>
        <v>1246.3</v>
      </c>
      <c r="M224" s="38">
        <f t="shared" si="325"/>
        <v>100</v>
      </c>
      <c r="N224" s="38">
        <f t="shared" si="330"/>
        <v>1214</v>
      </c>
      <c r="O224" s="38">
        <f t="shared" si="330"/>
        <v>1214</v>
      </c>
      <c r="P224" s="38">
        <f t="shared" si="326"/>
        <v>100</v>
      </c>
      <c r="Q224" s="38">
        <f t="shared" si="331"/>
        <v>2341.4</v>
      </c>
      <c r="R224" s="38">
        <f t="shared" si="331"/>
        <v>1608.2</v>
      </c>
      <c r="S224" s="38">
        <f t="shared" si="342"/>
        <v>68.685401896301357</v>
      </c>
      <c r="T224" s="38">
        <f t="shared" si="332"/>
        <v>2731.4</v>
      </c>
      <c r="U224" s="38">
        <f t="shared" si="332"/>
        <v>2329.4</v>
      </c>
      <c r="V224" s="38">
        <f t="shared" si="343"/>
        <v>85.282272827121616</v>
      </c>
      <c r="W224" s="38">
        <f t="shared" si="333"/>
        <v>103.5999999999998</v>
      </c>
      <c r="X224" s="38">
        <f t="shared" si="333"/>
        <v>1238.8</v>
      </c>
      <c r="Y224" s="38">
        <f t="shared" si="334"/>
        <v>1195.752895752898</v>
      </c>
      <c r="Z224" s="38">
        <f t="shared" si="335"/>
        <v>35</v>
      </c>
      <c r="AA224" s="38">
        <f t="shared" si="335"/>
        <v>0</v>
      </c>
      <c r="AB224" s="38">
        <f t="shared" ref="AB224" si="347">AA224/Z224*100</f>
        <v>0</v>
      </c>
      <c r="AC224" s="38">
        <f t="shared" si="336"/>
        <v>0</v>
      </c>
      <c r="AD224" s="38">
        <f t="shared" si="336"/>
        <v>0</v>
      </c>
      <c r="AE224" s="38"/>
      <c r="AF224" s="38">
        <f t="shared" si="337"/>
        <v>77.7</v>
      </c>
      <c r="AG224" s="38">
        <f t="shared" si="337"/>
        <v>112.7</v>
      </c>
      <c r="AH224" s="23"/>
      <c r="AI224" s="38">
        <f t="shared" si="338"/>
        <v>2467.6</v>
      </c>
      <c r="AJ224" s="38">
        <f t="shared" si="338"/>
        <v>1963.7</v>
      </c>
      <c r="AK224" s="38">
        <f t="shared" si="344"/>
        <v>79.579348354676611</v>
      </c>
      <c r="AL224" s="38">
        <f t="shared" si="339"/>
        <v>2441.4</v>
      </c>
      <c r="AM224" s="38">
        <f t="shared" si="339"/>
        <v>1585.52</v>
      </c>
      <c r="AN224" s="38">
        <f t="shared" si="345"/>
        <v>64.943065454247559</v>
      </c>
      <c r="AO224" s="38">
        <f t="shared" si="340"/>
        <v>4397.1000000000013</v>
      </c>
      <c r="AP224" s="38">
        <f t="shared" si="340"/>
        <v>2385.4</v>
      </c>
      <c r="AQ224" s="38">
        <f t="shared" si="346"/>
        <v>54.249391644492952</v>
      </c>
      <c r="AR224" s="34"/>
      <c r="AS224" s="34"/>
      <c r="AT224" s="100">
        <f t="shared" si="298"/>
        <v>0.80232300430946035</v>
      </c>
      <c r="AU224" s="84">
        <f t="shared" si="236"/>
        <v>2460.3000000000002</v>
      </c>
      <c r="AV224" s="84">
        <f t="shared" si="237"/>
        <v>5176.3999999999996</v>
      </c>
      <c r="AW224" s="84">
        <f t="shared" si="238"/>
        <v>112.7</v>
      </c>
      <c r="AX224" s="84">
        <f t="shared" si="239"/>
        <v>9306.1000000000022</v>
      </c>
    </row>
    <row r="225" spans="1:50" ht="14.25" customHeight="1" x14ac:dyDescent="0.3">
      <c r="A225" s="146"/>
      <c r="B225" s="146"/>
      <c r="C225" s="146"/>
      <c r="D225" s="37" t="s">
        <v>22</v>
      </c>
      <c r="E225" s="38">
        <f t="shared" si="294"/>
        <v>0</v>
      </c>
      <c r="F225" s="38">
        <f t="shared" si="294"/>
        <v>0</v>
      </c>
      <c r="G225" s="38"/>
      <c r="H225" s="38">
        <f t="shared" si="328"/>
        <v>0</v>
      </c>
      <c r="I225" s="38">
        <f t="shared" si="328"/>
        <v>0</v>
      </c>
      <c r="J225" s="38"/>
      <c r="K225" s="38">
        <f t="shared" si="329"/>
        <v>0</v>
      </c>
      <c r="L225" s="38">
        <f t="shared" si="329"/>
        <v>0</v>
      </c>
      <c r="M225" s="38"/>
      <c r="N225" s="38">
        <f t="shared" si="330"/>
        <v>0</v>
      </c>
      <c r="O225" s="38">
        <f t="shared" si="330"/>
        <v>0</v>
      </c>
      <c r="P225" s="38"/>
      <c r="Q225" s="38">
        <f t="shared" si="331"/>
        <v>0</v>
      </c>
      <c r="R225" s="38">
        <f t="shared" si="331"/>
        <v>0</v>
      </c>
      <c r="S225" s="38"/>
      <c r="T225" s="38">
        <f t="shared" si="332"/>
        <v>0</v>
      </c>
      <c r="U225" s="38">
        <f t="shared" si="332"/>
        <v>0</v>
      </c>
      <c r="V225" s="38"/>
      <c r="W225" s="38">
        <f t="shared" si="333"/>
        <v>0</v>
      </c>
      <c r="X225" s="38">
        <f t="shared" si="333"/>
        <v>0</v>
      </c>
      <c r="Y225" s="38"/>
      <c r="Z225" s="38">
        <f t="shared" si="335"/>
        <v>0</v>
      </c>
      <c r="AA225" s="38">
        <f t="shared" si="335"/>
        <v>0</v>
      </c>
      <c r="AB225" s="38"/>
      <c r="AC225" s="38">
        <f t="shared" si="336"/>
        <v>0</v>
      </c>
      <c r="AD225" s="38">
        <f t="shared" si="336"/>
        <v>0</v>
      </c>
      <c r="AE225" s="38"/>
      <c r="AF225" s="38">
        <f>AF195+AF200+AF205+AF210+AF215</f>
        <v>0</v>
      </c>
      <c r="AG225" s="38"/>
      <c r="AH225" s="38"/>
      <c r="AI225" s="38">
        <f>AI195+AI200+AI205+AI210+AI215</f>
        <v>0</v>
      </c>
      <c r="AJ225" s="38"/>
      <c r="AK225" s="38"/>
      <c r="AL225" s="38">
        <f>AL195+AL200+AL205+AL210+AL215</f>
        <v>0</v>
      </c>
      <c r="AM225" s="38"/>
      <c r="AN225" s="38"/>
      <c r="AO225" s="38">
        <f>AO195+AO200+AO205+AO210+AO215</f>
        <v>0</v>
      </c>
      <c r="AP225" s="25"/>
      <c r="AQ225" s="26"/>
      <c r="AR225" s="34"/>
      <c r="AS225" s="34"/>
      <c r="AT225" s="100"/>
      <c r="AU225" s="83">
        <f t="shared" si="236"/>
        <v>0</v>
      </c>
      <c r="AV225" s="83">
        <f t="shared" si="237"/>
        <v>0</v>
      </c>
      <c r="AW225" s="83">
        <f t="shared" si="238"/>
        <v>0</v>
      </c>
      <c r="AX225" s="83">
        <f t="shared" si="239"/>
        <v>0</v>
      </c>
    </row>
    <row r="226" spans="1:50" ht="13.5" customHeight="1" x14ac:dyDescent="0.3">
      <c r="A226" s="36" t="s">
        <v>76</v>
      </c>
      <c r="B226" s="35" t="s">
        <v>15</v>
      </c>
      <c r="C226" s="35"/>
      <c r="D226" s="35"/>
      <c r="E226" s="99"/>
      <c r="F226" s="99"/>
      <c r="G226" s="99"/>
      <c r="H226" s="99"/>
      <c r="I226" s="99"/>
      <c r="J226" s="99"/>
      <c r="K226" s="99"/>
      <c r="L226" s="99"/>
      <c r="M226" s="99"/>
      <c r="N226" s="99"/>
      <c r="O226" s="99"/>
      <c r="P226" s="99"/>
      <c r="Q226" s="99"/>
      <c r="R226" s="99"/>
      <c r="S226" s="99"/>
      <c r="T226" s="99"/>
      <c r="U226" s="99"/>
      <c r="V226" s="99"/>
      <c r="W226" s="99"/>
      <c r="X226" s="99"/>
      <c r="Y226" s="99"/>
      <c r="Z226" s="99"/>
      <c r="AA226" s="99"/>
      <c r="AB226" s="99"/>
      <c r="AC226" s="99"/>
      <c r="AD226" s="99"/>
      <c r="AE226" s="99"/>
      <c r="AF226" s="99"/>
      <c r="AG226" s="99"/>
      <c r="AH226" s="99"/>
      <c r="AI226" s="99"/>
      <c r="AJ226" s="99"/>
      <c r="AK226" s="99"/>
      <c r="AL226" s="99"/>
      <c r="AM226" s="99"/>
      <c r="AN226" s="99"/>
      <c r="AO226" s="99"/>
      <c r="AP226" s="35"/>
      <c r="AQ226" s="35"/>
      <c r="AR226" s="34"/>
      <c r="AS226" s="34"/>
      <c r="AT226" s="100"/>
      <c r="AU226" s="83">
        <f t="shared" si="236"/>
        <v>0</v>
      </c>
      <c r="AV226" s="83">
        <f t="shared" si="237"/>
        <v>0</v>
      </c>
      <c r="AW226" s="83">
        <f t="shared" si="238"/>
        <v>0</v>
      </c>
      <c r="AX226" s="83">
        <f t="shared" si="239"/>
        <v>0</v>
      </c>
    </row>
    <row r="227" spans="1:50" ht="15" customHeight="1" x14ac:dyDescent="0.3">
      <c r="A227" s="139" t="s">
        <v>77</v>
      </c>
      <c r="B227" s="140" t="s">
        <v>107</v>
      </c>
      <c r="C227" s="140" t="s">
        <v>5</v>
      </c>
      <c r="D227" s="36" t="s">
        <v>3</v>
      </c>
      <c r="E227" s="24">
        <f t="shared" ref="E227:F247" si="348">H227+K227+N227+Q227+T227+W227+Z227+AC227+AF227+AI227+AL227+AO227</f>
        <v>2392.8000000000002</v>
      </c>
      <c r="F227" s="24">
        <f t="shared" si="348"/>
        <v>2170.9</v>
      </c>
      <c r="G227" s="24">
        <f>F227/E227*100</f>
        <v>90.726345703777994</v>
      </c>
      <c r="H227" s="24">
        <f>H228+H229+H230+H231</f>
        <v>0</v>
      </c>
      <c r="I227" s="24"/>
      <c r="J227" s="22"/>
      <c r="K227" s="24">
        <f t="shared" ref="K227:AP227" si="349">K228+K229+K230+K231</f>
        <v>0</v>
      </c>
      <c r="L227" s="24">
        <f t="shared" si="349"/>
        <v>0</v>
      </c>
      <c r="M227" s="24"/>
      <c r="N227" s="24">
        <f t="shared" si="349"/>
        <v>0</v>
      </c>
      <c r="O227" s="24"/>
      <c r="P227" s="24"/>
      <c r="Q227" s="24">
        <f t="shared" si="349"/>
        <v>148</v>
      </c>
      <c r="R227" s="24">
        <f t="shared" si="349"/>
        <v>148</v>
      </c>
      <c r="S227" s="24">
        <f>R227/Q227*100</f>
        <v>100</v>
      </c>
      <c r="T227" s="24">
        <f t="shared" si="349"/>
        <v>0</v>
      </c>
      <c r="U227" s="24"/>
      <c r="V227" s="22"/>
      <c r="W227" s="24">
        <f t="shared" si="349"/>
        <v>105.00000000000003</v>
      </c>
      <c r="X227" s="24">
        <f t="shared" si="349"/>
        <v>105</v>
      </c>
      <c r="Y227" s="24">
        <f>X227/W227*100</f>
        <v>99.999999999999972</v>
      </c>
      <c r="Z227" s="24">
        <f t="shared" si="349"/>
        <v>0</v>
      </c>
      <c r="AA227" s="24">
        <f t="shared" si="349"/>
        <v>119.9</v>
      </c>
      <c r="AB227" s="24"/>
      <c r="AC227" s="24">
        <f t="shared" si="349"/>
        <v>1723.3</v>
      </c>
      <c r="AD227" s="24">
        <f t="shared" si="349"/>
        <v>1603.4</v>
      </c>
      <c r="AE227" s="24">
        <f>AD227/AC227*100</f>
        <v>93.042418615447119</v>
      </c>
      <c r="AF227" s="24">
        <f t="shared" si="349"/>
        <v>0</v>
      </c>
      <c r="AG227" s="24">
        <f t="shared" si="349"/>
        <v>0</v>
      </c>
      <c r="AH227" s="24"/>
      <c r="AI227" s="24">
        <f t="shared" si="349"/>
        <v>374.7</v>
      </c>
      <c r="AJ227" s="24">
        <f t="shared" si="349"/>
        <v>48.8</v>
      </c>
      <c r="AK227" s="24">
        <f>AJ227/AI227*100</f>
        <v>13.023752335201493</v>
      </c>
      <c r="AL227" s="24">
        <f t="shared" si="349"/>
        <v>41.8</v>
      </c>
      <c r="AM227" s="24">
        <f t="shared" si="349"/>
        <v>141.69999999999999</v>
      </c>
      <c r="AN227" s="24">
        <f>AM227/AL227*100</f>
        <v>338.99521531100476</v>
      </c>
      <c r="AO227" s="24">
        <f t="shared" si="349"/>
        <v>0</v>
      </c>
      <c r="AP227" s="24">
        <f t="shared" si="349"/>
        <v>4.0999999999999996</v>
      </c>
      <c r="AQ227" s="22"/>
      <c r="AR227" s="34"/>
      <c r="AS227" s="34"/>
      <c r="AT227" s="100">
        <f t="shared" si="298"/>
        <v>0.90726345703778</v>
      </c>
      <c r="AU227" s="83">
        <f t="shared" si="236"/>
        <v>0</v>
      </c>
      <c r="AV227" s="83">
        <f t="shared" si="237"/>
        <v>253.00000000000003</v>
      </c>
      <c r="AW227" s="83">
        <f t="shared" si="238"/>
        <v>1723.3</v>
      </c>
      <c r="AX227" s="83">
        <f t="shared" si="239"/>
        <v>416.5</v>
      </c>
    </row>
    <row r="228" spans="1:50" ht="15" customHeight="1" x14ac:dyDescent="0.3">
      <c r="A228" s="139"/>
      <c r="B228" s="140"/>
      <c r="C228" s="140"/>
      <c r="D228" s="36" t="s">
        <v>21</v>
      </c>
      <c r="E228" s="24">
        <f t="shared" si="348"/>
        <v>0</v>
      </c>
      <c r="F228" s="24">
        <f t="shared" si="348"/>
        <v>0</v>
      </c>
      <c r="G228" s="24"/>
      <c r="H228" s="24">
        <v>0</v>
      </c>
      <c r="I228" s="24"/>
      <c r="J228" s="22"/>
      <c r="K228" s="24"/>
      <c r="L228" s="24"/>
      <c r="M228" s="24"/>
      <c r="N228" s="24">
        <v>0</v>
      </c>
      <c r="O228" s="24"/>
      <c r="P228" s="24"/>
      <c r="Q228" s="24"/>
      <c r="R228" s="24"/>
      <c r="S228" s="24"/>
      <c r="T228" s="24"/>
      <c r="U228" s="24"/>
      <c r="V228" s="22"/>
      <c r="W228" s="24"/>
      <c r="X228" s="24"/>
      <c r="Y228" s="24"/>
      <c r="Z228" s="24"/>
      <c r="AA228" s="24"/>
      <c r="AB228" s="24"/>
      <c r="AC228" s="24"/>
      <c r="AD228" s="24"/>
      <c r="AE228" s="24"/>
      <c r="AF228" s="24"/>
      <c r="AG228" s="24"/>
      <c r="AH228" s="24"/>
      <c r="AI228" s="24"/>
      <c r="AJ228" s="24"/>
      <c r="AK228" s="24"/>
      <c r="AL228" s="24"/>
      <c r="AM228" s="24"/>
      <c r="AN228" s="24"/>
      <c r="AO228" s="24"/>
      <c r="AP228" s="24"/>
      <c r="AQ228" s="22"/>
      <c r="AR228" s="34"/>
      <c r="AS228" s="34"/>
      <c r="AT228" s="100"/>
      <c r="AU228" s="83">
        <f t="shared" si="236"/>
        <v>0</v>
      </c>
      <c r="AV228" s="83">
        <f t="shared" si="237"/>
        <v>0</v>
      </c>
      <c r="AW228" s="83">
        <f t="shared" si="238"/>
        <v>0</v>
      </c>
      <c r="AX228" s="83">
        <f t="shared" si="239"/>
        <v>0</v>
      </c>
    </row>
    <row r="229" spans="1:50" ht="60.6" x14ac:dyDescent="0.3">
      <c r="A229" s="139"/>
      <c r="B229" s="140"/>
      <c r="C229" s="140"/>
      <c r="D229" s="36" t="s">
        <v>4</v>
      </c>
      <c r="E229" s="24">
        <f t="shared" si="348"/>
        <v>1338</v>
      </c>
      <c r="F229" s="24">
        <f t="shared" si="348"/>
        <v>1189.5</v>
      </c>
      <c r="G229" s="24">
        <f t="shared" ref="G229" si="350">F229/E229*100</f>
        <v>88.901345291479814</v>
      </c>
      <c r="H229" s="24"/>
      <c r="I229" s="24"/>
      <c r="J229" s="22"/>
      <c r="K229" s="24"/>
      <c r="L229" s="24"/>
      <c r="M229" s="24"/>
      <c r="N229" s="24"/>
      <c r="O229" s="24"/>
      <c r="P229" s="24"/>
      <c r="Q229" s="24"/>
      <c r="R229" s="24"/>
      <c r="S229" s="24"/>
      <c r="T229" s="24"/>
      <c r="U229" s="24"/>
      <c r="V229" s="22"/>
      <c r="W229" s="24">
        <f>1338-1338</f>
        <v>0</v>
      </c>
      <c r="X229" s="24"/>
      <c r="Y229" s="24"/>
      <c r="Z229" s="24"/>
      <c r="AA229" s="24">
        <v>82.8</v>
      </c>
      <c r="AB229" s="24"/>
      <c r="AC229" s="24">
        <f>1338-203.5</f>
        <v>1134.5</v>
      </c>
      <c r="AD229" s="24">
        <v>1051.7</v>
      </c>
      <c r="AE229" s="24">
        <f t="shared" ref="AE229:AE230" si="351">AD229/AC229*100</f>
        <v>92.701630674305875</v>
      </c>
      <c r="AF229" s="24"/>
      <c r="AG229" s="24"/>
      <c r="AH229" s="24"/>
      <c r="AI229" s="24">
        <f>203.5</f>
        <v>203.5</v>
      </c>
      <c r="AJ229" s="24">
        <v>48.8</v>
      </c>
      <c r="AK229" s="24">
        <f t="shared" ref="AK229:AK230" si="352">AJ229/AI229*100</f>
        <v>23.980343980343978</v>
      </c>
      <c r="AL229" s="24"/>
      <c r="AM229" s="24"/>
      <c r="AN229" s="24"/>
      <c r="AO229" s="24"/>
      <c r="AP229" s="24">
        <v>6.2</v>
      </c>
      <c r="AQ229" s="22"/>
      <c r="AR229" s="41" t="s">
        <v>172</v>
      </c>
      <c r="AS229" s="123" t="s">
        <v>246</v>
      </c>
      <c r="AT229" s="100">
        <f t="shared" si="298"/>
        <v>0.88901345291479816</v>
      </c>
      <c r="AU229" s="83">
        <f t="shared" si="236"/>
        <v>0</v>
      </c>
      <c r="AV229" s="83">
        <f t="shared" si="237"/>
        <v>0</v>
      </c>
      <c r="AW229" s="83">
        <f t="shared" si="238"/>
        <v>1134.5</v>
      </c>
      <c r="AX229" s="83">
        <f t="shared" si="239"/>
        <v>203.5</v>
      </c>
    </row>
    <row r="230" spans="1:50" ht="132" x14ac:dyDescent="0.3">
      <c r="A230" s="139"/>
      <c r="B230" s="140"/>
      <c r="C230" s="140"/>
      <c r="D230" s="36" t="s">
        <v>44</v>
      </c>
      <c r="E230" s="24">
        <f t="shared" si="348"/>
        <v>1054.8</v>
      </c>
      <c r="F230" s="24">
        <f t="shared" si="348"/>
        <v>981.4</v>
      </c>
      <c r="G230" s="24">
        <f t="shared" ref="G230" si="353">F230/E230*100</f>
        <v>93.041334850208571</v>
      </c>
      <c r="H230" s="24"/>
      <c r="I230" s="24"/>
      <c r="J230" s="22"/>
      <c r="K230" s="24"/>
      <c r="L230" s="24"/>
      <c r="M230" s="24"/>
      <c r="N230" s="24"/>
      <c r="O230" s="24"/>
      <c r="P230" s="24"/>
      <c r="Q230" s="24">
        <v>148</v>
      </c>
      <c r="R230" s="24">
        <v>148</v>
      </c>
      <c r="S230" s="24">
        <f t="shared" ref="S230" si="354">R230/Q230*100</f>
        <v>100</v>
      </c>
      <c r="T230" s="24"/>
      <c r="U230" s="24"/>
      <c r="V230" s="22"/>
      <c r="W230" s="24">
        <f>105.1+660-660-0.1</f>
        <v>105.00000000000003</v>
      </c>
      <c r="X230" s="24">
        <v>105</v>
      </c>
      <c r="Y230" s="24">
        <f t="shared" ref="Y230" si="355">X230/W230*100</f>
        <v>99.999999999999972</v>
      </c>
      <c r="Z230" s="24">
        <f>105.1-105.1</f>
        <v>0</v>
      </c>
      <c r="AA230" s="24">
        <v>37.1</v>
      </c>
      <c r="AB230" s="24"/>
      <c r="AC230" s="24">
        <f>660-71.2</f>
        <v>588.79999999999995</v>
      </c>
      <c r="AD230" s="24">
        <v>551.70000000000005</v>
      </c>
      <c r="AE230" s="24">
        <f t="shared" si="351"/>
        <v>93.699048913043498</v>
      </c>
      <c r="AF230" s="24"/>
      <c r="AG230" s="24"/>
      <c r="AH230" s="24"/>
      <c r="AI230" s="24">
        <f>100+71.2</f>
        <v>171.2</v>
      </c>
      <c r="AJ230" s="24">
        <v>0</v>
      </c>
      <c r="AK230" s="24">
        <f t="shared" si="352"/>
        <v>0</v>
      </c>
      <c r="AL230" s="24">
        <v>41.8</v>
      </c>
      <c r="AM230" s="24">
        <v>141.69999999999999</v>
      </c>
      <c r="AN230" s="24">
        <f t="shared" ref="AN230" si="356">AM230/AL230*100</f>
        <v>338.99521531100476</v>
      </c>
      <c r="AO230" s="24"/>
      <c r="AP230" s="24">
        <v>-2.1</v>
      </c>
      <c r="AQ230" s="22"/>
      <c r="AR230" s="88" t="s">
        <v>173</v>
      </c>
      <c r="AS230" s="124"/>
      <c r="AT230" s="100">
        <f t="shared" si="298"/>
        <v>0.93041334850208568</v>
      </c>
      <c r="AU230" s="83">
        <f t="shared" si="236"/>
        <v>0</v>
      </c>
      <c r="AV230" s="83">
        <f t="shared" si="237"/>
        <v>253.00000000000003</v>
      </c>
      <c r="AW230" s="83">
        <f t="shared" si="238"/>
        <v>588.79999999999995</v>
      </c>
      <c r="AX230" s="83">
        <f t="shared" si="239"/>
        <v>213</v>
      </c>
    </row>
    <row r="231" spans="1:50" ht="16.2" customHeight="1" x14ac:dyDescent="0.3">
      <c r="A231" s="139"/>
      <c r="B231" s="140"/>
      <c r="C231" s="140"/>
      <c r="D231" s="36" t="s">
        <v>22</v>
      </c>
      <c r="E231" s="24">
        <f t="shared" si="348"/>
        <v>0</v>
      </c>
      <c r="F231" s="24">
        <f t="shared" si="348"/>
        <v>0</v>
      </c>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5"/>
      <c r="AR231" s="34"/>
      <c r="AS231" s="34"/>
      <c r="AT231" s="100"/>
      <c r="AU231" s="83">
        <f t="shared" si="236"/>
        <v>0</v>
      </c>
      <c r="AV231" s="83">
        <f t="shared" si="237"/>
        <v>0</v>
      </c>
      <c r="AW231" s="83">
        <f t="shared" si="238"/>
        <v>0</v>
      </c>
      <c r="AX231" s="83">
        <f t="shared" si="239"/>
        <v>0</v>
      </c>
    </row>
    <row r="232" spans="1:50" ht="12" customHeight="1" x14ac:dyDescent="0.3">
      <c r="A232" s="139" t="s">
        <v>108</v>
      </c>
      <c r="B232" s="140" t="s">
        <v>109</v>
      </c>
      <c r="C232" s="140" t="s">
        <v>5</v>
      </c>
      <c r="D232" s="36" t="s">
        <v>3</v>
      </c>
      <c r="E232" s="24">
        <f t="shared" si="348"/>
        <v>59.7</v>
      </c>
      <c r="F232" s="24">
        <f t="shared" si="348"/>
        <v>59.7</v>
      </c>
      <c r="G232" s="24">
        <f>F232/E232*100</f>
        <v>100</v>
      </c>
      <c r="H232" s="24">
        <f>H233+H234+H235+H236</f>
        <v>0</v>
      </c>
      <c r="I232" s="24"/>
      <c r="J232" s="22"/>
      <c r="K232" s="24">
        <f t="shared" ref="K232:AO232" si="357">K233+K234+K235+K236</f>
        <v>0</v>
      </c>
      <c r="L232" s="24"/>
      <c r="M232" s="22"/>
      <c r="N232" s="24">
        <f t="shared" si="357"/>
        <v>0</v>
      </c>
      <c r="O232" s="24"/>
      <c r="P232" s="22"/>
      <c r="Q232" s="24">
        <f t="shared" si="357"/>
        <v>0</v>
      </c>
      <c r="R232" s="24"/>
      <c r="S232" s="24"/>
      <c r="T232" s="24">
        <f t="shared" si="357"/>
        <v>0</v>
      </c>
      <c r="U232" s="24"/>
      <c r="V232" s="22"/>
      <c r="W232" s="24">
        <f t="shared" si="357"/>
        <v>0</v>
      </c>
      <c r="X232" s="24"/>
      <c r="Y232" s="22"/>
      <c r="Z232" s="24">
        <f t="shared" si="357"/>
        <v>0</v>
      </c>
      <c r="AA232" s="24"/>
      <c r="AB232" s="22"/>
      <c r="AC232" s="24">
        <f t="shared" si="357"/>
        <v>0</v>
      </c>
      <c r="AD232" s="24">
        <f t="shared" si="357"/>
        <v>0</v>
      </c>
      <c r="AE232" s="22"/>
      <c r="AF232" s="24">
        <f t="shared" si="357"/>
        <v>59.7</v>
      </c>
      <c r="AG232" s="24">
        <f t="shared" si="357"/>
        <v>59.7</v>
      </c>
      <c r="AH232" s="24">
        <f>AG232/AF232*100</f>
        <v>100</v>
      </c>
      <c r="AI232" s="24">
        <f t="shared" si="357"/>
        <v>0</v>
      </c>
      <c r="AJ232" s="24">
        <f t="shared" si="357"/>
        <v>0</v>
      </c>
      <c r="AK232" s="24"/>
      <c r="AL232" s="24">
        <f t="shared" si="357"/>
        <v>0</v>
      </c>
      <c r="AM232" s="24"/>
      <c r="AN232" s="22"/>
      <c r="AO232" s="24">
        <f t="shared" si="357"/>
        <v>0</v>
      </c>
      <c r="AP232" s="24"/>
      <c r="AQ232" s="22"/>
      <c r="AR232" s="34"/>
      <c r="AS232" s="34"/>
      <c r="AT232" s="100">
        <f t="shared" si="298"/>
        <v>1</v>
      </c>
      <c r="AU232" s="83">
        <f t="shared" si="236"/>
        <v>0</v>
      </c>
      <c r="AV232" s="83">
        <f t="shared" si="237"/>
        <v>0</v>
      </c>
      <c r="AW232" s="83">
        <f t="shared" si="238"/>
        <v>59.7</v>
      </c>
      <c r="AX232" s="83">
        <f t="shared" si="239"/>
        <v>0</v>
      </c>
    </row>
    <row r="233" spans="1:50" x14ac:dyDescent="0.3">
      <c r="A233" s="139"/>
      <c r="B233" s="140"/>
      <c r="C233" s="140"/>
      <c r="D233" s="36" t="s">
        <v>21</v>
      </c>
      <c r="E233" s="24">
        <f t="shared" si="348"/>
        <v>0</v>
      </c>
      <c r="F233" s="24">
        <f t="shared" si="348"/>
        <v>0</v>
      </c>
      <c r="G233" s="24"/>
      <c r="H233" s="24"/>
      <c r="I233" s="24"/>
      <c r="J233" s="22"/>
      <c r="K233" s="24"/>
      <c r="L233" s="24"/>
      <c r="M233" s="22"/>
      <c r="N233" s="24"/>
      <c r="O233" s="24"/>
      <c r="P233" s="22"/>
      <c r="Q233" s="24"/>
      <c r="R233" s="24"/>
      <c r="S233" s="24"/>
      <c r="T233" s="24"/>
      <c r="U233" s="24"/>
      <c r="V233" s="22"/>
      <c r="W233" s="24"/>
      <c r="X233" s="24"/>
      <c r="Y233" s="22"/>
      <c r="Z233" s="24"/>
      <c r="AA233" s="24"/>
      <c r="AB233" s="22"/>
      <c r="AC233" s="24"/>
      <c r="AD233" s="24"/>
      <c r="AE233" s="22"/>
      <c r="AF233" s="24"/>
      <c r="AG233" s="24"/>
      <c r="AH233" s="24"/>
      <c r="AI233" s="24"/>
      <c r="AJ233" s="24"/>
      <c r="AK233" s="24"/>
      <c r="AL233" s="24"/>
      <c r="AM233" s="24"/>
      <c r="AN233" s="22"/>
      <c r="AO233" s="24"/>
      <c r="AP233" s="24"/>
      <c r="AQ233" s="22"/>
      <c r="AR233" s="34"/>
      <c r="AS233" s="34"/>
      <c r="AT233" s="100"/>
      <c r="AU233" s="83">
        <f t="shared" si="236"/>
        <v>0</v>
      </c>
      <c r="AV233" s="83">
        <f t="shared" si="237"/>
        <v>0</v>
      </c>
      <c r="AW233" s="83">
        <f t="shared" si="238"/>
        <v>0</v>
      </c>
      <c r="AX233" s="83">
        <f t="shared" si="239"/>
        <v>0</v>
      </c>
    </row>
    <row r="234" spans="1:50" ht="24" x14ac:dyDescent="0.3">
      <c r="A234" s="139"/>
      <c r="B234" s="140"/>
      <c r="C234" s="140"/>
      <c r="D234" s="36" t="s">
        <v>4</v>
      </c>
      <c r="E234" s="24">
        <f t="shared" si="348"/>
        <v>0</v>
      </c>
      <c r="F234" s="24">
        <f t="shared" si="348"/>
        <v>0</v>
      </c>
      <c r="G234" s="24"/>
      <c r="H234" s="24"/>
      <c r="I234" s="24"/>
      <c r="J234" s="22"/>
      <c r="K234" s="24"/>
      <c r="L234" s="24"/>
      <c r="M234" s="22"/>
      <c r="N234" s="24"/>
      <c r="O234" s="24"/>
      <c r="P234" s="22"/>
      <c r="Q234" s="24"/>
      <c r="R234" s="24"/>
      <c r="S234" s="24"/>
      <c r="T234" s="24"/>
      <c r="U234" s="24"/>
      <c r="V234" s="22"/>
      <c r="W234" s="24"/>
      <c r="X234" s="24"/>
      <c r="Y234" s="22"/>
      <c r="Z234" s="24"/>
      <c r="AA234" s="24"/>
      <c r="AB234" s="22"/>
      <c r="AC234" s="24"/>
      <c r="AD234" s="24"/>
      <c r="AE234" s="22"/>
      <c r="AF234" s="24"/>
      <c r="AG234" s="24"/>
      <c r="AH234" s="24"/>
      <c r="AI234" s="24"/>
      <c r="AJ234" s="24"/>
      <c r="AK234" s="24"/>
      <c r="AL234" s="24"/>
      <c r="AM234" s="24"/>
      <c r="AN234" s="22"/>
      <c r="AO234" s="24"/>
      <c r="AP234" s="24"/>
      <c r="AQ234" s="22"/>
      <c r="AR234" s="34"/>
      <c r="AS234" s="34"/>
      <c r="AT234" s="100"/>
      <c r="AU234" s="83">
        <f t="shared" si="236"/>
        <v>0</v>
      </c>
      <c r="AV234" s="83">
        <f t="shared" si="237"/>
        <v>0</v>
      </c>
      <c r="AW234" s="83">
        <f t="shared" si="238"/>
        <v>0</v>
      </c>
      <c r="AX234" s="83">
        <f t="shared" si="239"/>
        <v>0</v>
      </c>
    </row>
    <row r="235" spans="1:50" ht="48.6" x14ac:dyDescent="0.3">
      <c r="A235" s="139"/>
      <c r="B235" s="140"/>
      <c r="C235" s="140"/>
      <c r="D235" s="36" t="s">
        <v>44</v>
      </c>
      <c r="E235" s="24">
        <f t="shared" si="348"/>
        <v>59.7</v>
      </c>
      <c r="F235" s="24">
        <f t="shared" si="348"/>
        <v>59.7</v>
      </c>
      <c r="G235" s="24">
        <f t="shared" ref="G235" si="358">F235/E235*100</f>
        <v>100</v>
      </c>
      <c r="H235" s="24"/>
      <c r="I235" s="24"/>
      <c r="J235" s="22"/>
      <c r="K235" s="24"/>
      <c r="L235" s="24"/>
      <c r="M235" s="22"/>
      <c r="N235" s="24">
        <f>60-60</f>
        <v>0</v>
      </c>
      <c r="O235" s="24"/>
      <c r="P235" s="22"/>
      <c r="Q235" s="24">
        <f>60-60</f>
        <v>0</v>
      </c>
      <c r="R235" s="24"/>
      <c r="S235" s="24"/>
      <c r="T235" s="24"/>
      <c r="U235" s="24"/>
      <c r="V235" s="22"/>
      <c r="W235" s="24">
        <f>59.8-59.8</f>
        <v>0</v>
      </c>
      <c r="X235" s="24"/>
      <c r="Y235" s="22"/>
      <c r="Z235" s="24"/>
      <c r="AA235" s="24"/>
      <c r="AB235" s="22"/>
      <c r="AC235" s="24"/>
      <c r="AD235" s="24"/>
      <c r="AE235" s="22"/>
      <c r="AF235" s="24">
        <v>59.7</v>
      </c>
      <c r="AG235" s="24">
        <v>59.7</v>
      </c>
      <c r="AH235" s="24">
        <f t="shared" ref="AH235" si="359">AG235/AF235*100</f>
        <v>100</v>
      </c>
      <c r="AI235" s="24"/>
      <c r="AJ235" s="24"/>
      <c r="AK235" s="24"/>
      <c r="AL235" s="24"/>
      <c r="AM235" s="24"/>
      <c r="AN235" s="22"/>
      <c r="AO235" s="24">
        <f>60.1-60.1</f>
        <v>0</v>
      </c>
      <c r="AP235" s="24"/>
      <c r="AQ235" s="22"/>
      <c r="AR235" s="41" t="s">
        <v>174</v>
      </c>
      <c r="AS235" s="34"/>
      <c r="AT235" s="100">
        <f t="shared" si="298"/>
        <v>1</v>
      </c>
      <c r="AU235" s="83">
        <f t="shared" ref="AU235:AU305" si="360">H235+K235+N235</f>
        <v>0</v>
      </c>
      <c r="AV235" s="83">
        <f t="shared" ref="AV235:AV305" si="361">Q235+T235+W235</f>
        <v>0</v>
      </c>
      <c r="AW235" s="83">
        <f t="shared" ref="AW235:AW305" si="362">Z235+AC235+AF235</f>
        <v>59.7</v>
      </c>
      <c r="AX235" s="83">
        <f t="shared" ref="AX235:AX305" si="363">AI235+AL235+AO235</f>
        <v>0</v>
      </c>
    </row>
    <row r="236" spans="1:50" ht="12" customHeight="1" x14ac:dyDescent="0.3">
      <c r="A236" s="139"/>
      <c r="B236" s="140"/>
      <c r="C236" s="140"/>
      <c r="D236" s="36" t="s">
        <v>22</v>
      </c>
      <c r="E236" s="24">
        <f t="shared" si="348"/>
        <v>0</v>
      </c>
      <c r="F236" s="24">
        <f t="shared" si="348"/>
        <v>0</v>
      </c>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5"/>
      <c r="AR236" s="34"/>
      <c r="AS236" s="34"/>
      <c r="AT236" s="100"/>
      <c r="AU236" s="83">
        <f t="shared" si="360"/>
        <v>0</v>
      </c>
      <c r="AV236" s="83">
        <f t="shared" si="361"/>
        <v>0</v>
      </c>
      <c r="AW236" s="83">
        <f t="shared" si="362"/>
        <v>0</v>
      </c>
      <c r="AX236" s="83">
        <f t="shared" si="363"/>
        <v>0</v>
      </c>
    </row>
    <row r="237" spans="1:50" ht="13.2" customHeight="1" x14ac:dyDescent="0.3">
      <c r="A237" s="141" t="s">
        <v>78</v>
      </c>
      <c r="B237" s="123" t="s">
        <v>110</v>
      </c>
      <c r="C237" s="123" t="s">
        <v>5</v>
      </c>
      <c r="D237" s="36" t="s">
        <v>3</v>
      </c>
      <c r="E237" s="24">
        <f>H237+K237+N237+Q237+T237+W237+Z237+AC237+AF237+AI237+AL237+AO237</f>
        <v>308.60000000000002</v>
      </c>
      <c r="F237" s="24">
        <f t="shared" si="348"/>
        <v>308.60000000000002</v>
      </c>
      <c r="G237" s="24">
        <f>F237/E237*100</f>
        <v>100</v>
      </c>
      <c r="H237" s="24">
        <f>H238+H239+H240+H241</f>
        <v>0</v>
      </c>
      <c r="I237" s="24"/>
      <c r="J237" s="22"/>
      <c r="K237" s="24">
        <f>K238+K239+K240+K241</f>
        <v>0</v>
      </c>
      <c r="L237" s="24">
        <f>L238+L239+L240+L241</f>
        <v>0</v>
      </c>
      <c r="M237" s="24"/>
      <c r="N237" s="24">
        <f t="shared" ref="N237:AO237" si="364">N238+N239+N240+N241</f>
        <v>6</v>
      </c>
      <c r="O237" s="24">
        <f t="shared" si="364"/>
        <v>6</v>
      </c>
      <c r="P237" s="24">
        <f t="shared" ref="P237:P240" si="365">O237/N237*100</f>
        <v>100</v>
      </c>
      <c r="Q237" s="24">
        <f t="shared" si="364"/>
        <v>18</v>
      </c>
      <c r="R237" s="24">
        <f t="shared" si="364"/>
        <v>18</v>
      </c>
      <c r="S237" s="24">
        <f t="shared" ref="S237" si="366">R237/Q237*100</f>
        <v>100</v>
      </c>
      <c r="T237" s="24">
        <f t="shared" si="364"/>
        <v>0</v>
      </c>
      <c r="U237" s="24">
        <f t="shared" si="364"/>
        <v>0</v>
      </c>
      <c r="V237" s="24"/>
      <c r="W237" s="24">
        <f t="shared" si="364"/>
        <v>151.80000000000001</v>
      </c>
      <c r="X237" s="24">
        <f t="shared" si="364"/>
        <v>151.80000000000001</v>
      </c>
      <c r="Y237" s="24">
        <f>X237/W237*100</f>
        <v>100</v>
      </c>
      <c r="Z237" s="24">
        <f t="shared" si="364"/>
        <v>0</v>
      </c>
      <c r="AA237" s="24"/>
      <c r="AB237" s="22"/>
      <c r="AC237" s="24">
        <f t="shared" si="364"/>
        <v>0</v>
      </c>
      <c r="AD237" s="24">
        <f t="shared" si="364"/>
        <v>0</v>
      </c>
      <c r="AE237" s="22"/>
      <c r="AF237" s="24">
        <f t="shared" si="364"/>
        <v>126.8</v>
      </c>
      <c r="AG237" s="24">
        <f t="shared" si="364"/>
        <v>126.8</v>
      </c>
      <c r="AH237" s="24">
        <f>AG237/AF237*100</f>
        <v>100</v>
      </c>
      <c r="AI237" s="24">
        <f t="shared" si="364"/>
        <v>0</v>
      </c>
      <c r="AJ237" s="24">
        <f t="shared" si="364"/>
        <v>0</v>
      </c>
      <c r="AK237" s="22"/>
      <c r="AL237" s="24">
        <f t="shared" si="364"/>
        <v>6</v>
      </c>
      <c r="AM237" s="24">
        <f t="shared" si="364"/>
        <v>6</v>
      </c>
      <c r="AN237" s="24">
        <f>AM237/AL237*100</f>
        <v>100</v>
      </c>
      <c r="AO237" s="24">
        <f t="shared" si="364"/>
        <v>0</v>
      </c>
      <c r="AP237" s="24"/>
      <c r="AQ237" s="22"/>
      <c r="AR237" s="34"/>
      <c r="AS237" s="34"/>
      <c r="AT237" s="100">
        <f t="shared" si="298"/>
        <v>1</v>
      </c>
      <c r="AU237" s="83">
        <f>H237+K237+N237</f>
        <v>6</v>
      </c>
      <c r="AV237" s="83">
        <f t="shared" si="361"/>
        <v>169.8</v>
      </c>
      <c r="AW237" s="83">
        <f t="shared" si="362"/>
        <v>126.8</v>
      </c>
      <c r="AX237" s="83">
        <f t="shared" si="363"/>
        <v>6</v>
      </c>
    </row>
    <row r="238" spans="1:50" x14ac:dyDescent="0.3">
      <c r="A238" s="142"/>
      <c r="B238" s="144"/>
      <c r="C238" s="144"/>
      <c r="D238" s="36" t="s">
        <v>21</v>
      </c>
      <c r="E238" s="24">
        <f t="shared" si="348"/>
        <v>0</v>
      </c>
      <c r="F238" s="24">
        <f>I238+L238+O238+R238+U238+X238+AA238+AD238+AG238+AJ238+AM238+AP238</f>
        <v>0</v>
      </c>
      <c r="G238" s="24"/>
      <c r="H238" s="24"/>
      <c r="I238" s="24"/>
      <c r="J238" s="22"/>
      <c r="K238" s="24"/>
      <c r="L238" s="24"/>
      <c r="M238" s="24"/>
      <c r="N238" s="24"/>
      <c r="O238" s="24"/>
      <c r="P238" s="24"/>
      <c r="Q238" s="24"/>
      <c r="R238" s="24"/>
      <c r="S238" s="22"/>
      <c r="T238" s="24"/>
      <c r="U238" s="24"/>
      <c r="V238" s="24"/>
      <c r="W238" s="24"/>
      <c r="X238" s="24"/>
      <c r="Y238" s="24"/>
      <c r="Z238" s="24"/>
      <c r="AA238" s="24"/>
      <c r="AB238" s="22"/>
      <c r="AC238" s="24"/>
      <c r="AD238" s="24"/>
      <c r="AE238" s="22"/>
      <c r="AF238" s="24"/>
      <c r="AG238" s="24"/>
      <c r="AH238" s="24"/>
      <c r="AI238" s="24"/>
      <c r="AJ238" s="24"/>
      <c r="AK238" s="22"/>
      <c r="AL238" s="24"/>
      <c r="AM238" s="24"/>
      <c r="AN238" s="24"/>
      <c r="AO238" s="24"/>
      <c r="AP238" s="24"/>
      <c r="AQ238" s="22"/>
      <c r="AR238" s="34"/>
      <c r="AS238" s="34"/>
      <c r="AT238" s="100"/>
      <c r="AU238" s="83">
        <f t="shared" si="360"/>
        <v>0</v>
      </c>
      <c r="AV238" s="83">
        <f t="shared" si="361"/>
        <v>0</v>
      </c>
      <c r="AW238" s="83">
        <f t="shared" si="362"/>
        <v>0</v>
      </c>
      <c r="AX238" s="83">
        <f t="shared" si="363"/>
        <v>0</v>
      </c>
    </row>
    <row r="239" spans="1:50" ht="37.799999999999997" customHeight="1" x14ac:dyDescent="0.3">
      <c r="A239" s="142"/>
      <c r="B239" s="144"/>
      <c r="C239" s="144"/>
      <c r="D239" s="36" t="s">
        <v>4</v>
      </c>
      <c r="E239" s="24">
        <f t="shared" si="348"/>
        <v>145.80000000000001</v>
      </c>
      <c r="F239" s="24">
        <f t="shared" si="348"/>
        <v>145.80000000000001</v>
      </c>
      <c r="G239" s="24">
        <f>F239/E239*100</f>
        <v>100</v>
      </c>
      <c r="H239" s="24"/>
      <c r="I239" s="24"/>
      <c r="J239" s="22"/>
      <c r="K239" s="24"/>
      <c r="L239" s="24"/>
      <c r="M239" s="24"/>
      <c r="N239" s="24"/>
      <c r="O239" s="24"/>
      <c r="P239" s="24"/>
      <c r="Q239" s="24"/>
      <c r="R239" s="24"/>
      <c r="S239" s="22"/>
      <c r="T239" s="24"/>
      <c r="U239" s="24"/>
      <c r="V239" s="24"/>
      <c r="W239" s="24">
        <v>145.80000000000001</v>
      </c>
      <c r="X239" s="24">
        <v>145.80000000000001</v>
      </c>
      <c r="Y239" s="24">
        <f>X239/W239*100</f>
        <v>100</v>
      </c>
      <c r="Z239" s="24"/>
      <c r="AA239" s="24"/>
      <c r="AB239" s="22"/>
      <c r="AC239" s="24"/>
      <c r="AD239" s="24"/>
      <c r="AE239" s="22"/>
      <c r="AF239" s="24"/>
      <c r="AG239" s="24"/>
      <c r="AH239" s="24"/>
      <c r="AI239" s="24"/>
      <c r="AJ239" s="24"/>
      <c r="AK239" s="22"/>
      <c r="AL239" s="24"/>
      <c r="AM239" s="24"/>
      <c r="AN239" s="24"/>
      <c r="AO239" s="24"/>
      <c r="AP239" s="24"/>
      <c r="AQ239" s="22"/>
      <c r="AR239" s="90" t="s">
        <v>166</v>
      </c>
      <c r="AS239" s="34"/>
      <c r="AT239" s="100">
        <f t="shared" si="298"/>
        <v>1</v>
      </c>
      <c r="AU239" s="83">
        <f t="shared" si="360"/>
        <v>0</v>
      </c>
      <c r="AV239" s="83">
        <f t="shared" si="361"/>
        <v>145.80000000000001</v>
      </c>
      <c r="AW239" s="83">
        <f t="shared" si="362"/>
        <v>0</v>
      </c>
      <c r="AX239" s="83">
        <f t="shared" si="363"/>
        <v>0</v>
      </c>
    </row>
    <row r="240" spans="1:50" ht="75.599999999999994" customHeight="1" x14ac:dyDescent="0.3">
      <c r="A240" s="142"/>
      <c r="B240" s="144"/>
      <c r="C240" s="144"/>
      <c r="D240" s="36" t="s">
        <v>44</v>
      </c>
      <c r="E240" s="24">
        <f t="shared" si="348"/>
        <v>162.80000000000001</v>
      </c>
      <c r="F240" s="24">
        <f t="shared" si="348"/>
        <v>162.80000000000001</v>
      </c>
      <c r="G240" s="24">
        <f t="shared" ref="G240" si="367">F240/E240*100</f>
        <v>100</v>
      </c>
      <c r="H240" s="24"/>
      <c r="I240" s="24"/>
      <c r="J240" s="22"/>
      <c r="K240" s="24"/>
      <c r="L240" s="24"/>
      <c r="M240" s="24"/>
      <c r="N240" s="24">
        <v>6</v>
      </c>
      <c r="O240" s="24">
        <v>6</v>
      </c>
      <c r="P240" s="24">
        <f t="shared" si="365"/>
        <v>100</v>
      </c>
      <c r="Q240" s="24">
        <v>18</v>
      </c>
      <c r="R240" s="24">
        <v>18</v>
      </c>
      <c r="S240" s="24">
        <f t="shared" ref="S240" si="368">R240/Q240*100</f>
        <v>100</v>
      </c>
      <c r="T240" s="24"/>
      <c r="U240" s="24"/>
      <c r="V240" s="24"/>
      <c r="W240" s="24">
        <f>126.8-120.8</f>
        <v>6</v>
      </c>
      <c r="X240" s="24">
        <v>6</v>
      </c>
      <c r="Y240" s="24">
        <f t="shared" ref="Y240" si="369">X240/W240*100</f>
        <v>100</v>
      </c>
      <c r="Z240" s="24"/>
      <c r="AA240" s="24"/>
      <c r="AB240" s="22"/>
      <c r="AC240" s="24"/>
      <c r="AD240" s="24"/>
      <c r="AE240" s="22"/>
      <c r="AF240" s="24">
        <f>6+120.8</f>
        <v>126.8</v>
      </c>
      <c r="AG240" s="24">
        <f>6+120.8</f>
        <v>126.8</v>
      </c>
      <c r="AH240" s="24">
        <f t="shared" ref="AH240" si="370">AG240/AF240*100</f>
        <v>100</v>
      </c>
      <c r="AI240" s="24">
        <v>0</v>
      </c>
      <c r="AJ240" s="24">
        <v>0</v>
      </c>
      <c r="AK240" s="22"/>
      <c r="AL240" s="24">
        <v>6</v>
      </c>
      <c r="AM240" s="24">
        <v>6</v>
      </c>
      <c r="AN240" s="24">
        <f t="shared" ref="AN240" si="371">AM240/AL240*100</f>
        <v>100</v>
      </c>
      <c r="AO240" s="24"/>
      <c r="AP240" s="24"/>
      <c r="AQ240" s="22"/>
      <c r="AR240" s="90" t="s">
        <v>175</v>
      </c>
      <c r="AS240" s="34"/>
      <c r="AT240" s="100">
        <f t="shared" si="298"/>
        <v>1</v>
      </c>
      <c r="AU240" s="83">
        <f t="shared" si="360"/>
        <v>6</v>
      </c>
      <c r="AV240" s="83">
        <f t="shared" si="361"/>
        <v>24</v>
      </c>
      <c r="AW240" s="83">
        <f t="shared" si="362"/>
        <v>126.8</v>
      </c>
      <c r="AX240" s="83">
        <f t="shared" si="363"/>
        <v>6</v>
      </c>
    </row>
    <row r="241" spans="1:50" ht="15.75" customHeight="1" x14ac:dyDescent="0.3">
      <c r="A241" s="142"/>
      <c r="B241" s="144"/>
      <c r="C241" s="144"/>
      <c r="D241" s="36" t="s">
        <v>22</v>
      </c>
      <c r="E241" s="24">
        <f t="shared" si="348"/>
        <v>0</v>
      </c>
      <c r="F241" s="24">
        <f t="shared" si="348"/>
        <v>0</v>
      </c>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5"/>
      <c r="AR241" s="34"/>
      <c r="AS241" s="34"/>
      <c r="AT241" s="100"/>
      <c r="AU241" s="83">
        <f t="shared" si="360"/>
        <v>0</v>
      </c>
      <c r="AV241" s="83">
        <f t="shared" si="361"/>
        <v>0</v>
      </c>
      <c r="AW241" s="83">
        <f t="shared" si="362"/>
        <v>0</v>
      </c>
      <c r="AX241" s="83">
        <f t="shared" si="363"/>
        <v>0</v>
      </c>
    </row>
    <row r="242" spans="1:50" hidden="1" x14ac:dyDescent="0.3">
      <c r="A242" s="143"/>
      <c r="B242" s="124"/>
      <c r="C242" s="124"/>
      <c r="D242" s="37" t="s">
        <v>128</v>
      </c>
      <c r="E242" s="24"/>
      <c r="F242" s="24">
        <f t="shared" si="348"/>
        <v>0</v>
      </c>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5"/>
      <c r="AR242" s="92"/>
      <c r="AS242" s="34"/>
      <c r="AT242" s="100" t="e">
        <f t="shared" si="298"/>
        <v>#DIV/0!</v>
      </c>
      <c r="AU242" s="83"/>
      <c r="AV242" s="83"/>
      <c r="AW242" s="83"/>
      <c r="AX242" s="83"/>
    </row>
    <row r="243" spans="1:50" ht="12.6" customHeight="1" x14ac:dyDescent="0.3">
      <c r="A243" s="125" t="s">
        <v>16</v>
      </c>
      <c r="B243" s="126"/>
      <c r="C243" s="127"/>
      <c r="D243" s="37" t="s">
        <v>3</v>
      </c>
      <c r="E243" s="38">
        <f>H243+K243+N243+Q243+T243+W243+Z243+AC243+AF243+AI243+AL243+AO243</f>
        <v>2761.1</v>
      </c>
      <c r="F243" s="38">
        <f>I243+L243+O243+R243+U243+X243+AA243+AD243+AG243+AJ243+AM243+AP243</f>
        <v>2539.2000000000003</v>
      </c>
      <c r="G243" s="38">
        <f>F243/E243*100</f>
        <v>91.963347941038009</v>
      </c>
      <c r="H243" s="38">
        <f>H244+H245+H246+H247</f>
        <v>0</v>
      </c>
      <c r="I243" s="38"/>
      <c r="J243" s="23"/>
      <c r="K243" s="38">
        <f t="shared" ref="K243:AO243" si="372">K245+K246</f>
        <v>0</v>
      </c>
      <c r="L243" s="38">
        <f t="shared" si="372"/>
        <v>0</v>
      </c>
      <c r="M243" s="38"/>
      <c r="N243" s="38">
        <f t="shared" si="372"/>
        <v>6</v>
      </c>
      <c r="O243" s="38">
        <f t="shared" si="372"/>
        <v>6</v>
      </c>
      <c r="P243" s="38">
        <f t="shared" ref="P243:P246" si="373">O243/N243*100</f>
        <v>100</v>
      </c>
      <c r="Q243" s="38">
        <f t="shared" si="372"/>
        <v>166</v>
      </c>
      <c r="R243" s="38">
        <f t="shared" si="372"/>
        <v>166</v>
      </c>
      <c r="S243" s="38">
        <f>R243/Q243*100</f>
        <v>100</v>
      </c>
      <c r="T243" s="38">
        <f t="shared" si="372"/>
        <v>0</v>
      </c>
      <c r="U243" s="38">
        <f t="shared" si="372"/>
        <v>0</v>
      </c>
      <c r="V243" s="38"/>
      <c r="W243" s="38">
        <f t="shared" si="372"/>
        <v>256.80000000000007</v>
      </c>
      <c r="X243" s="38">
        <f t="shared" si="372"/>
        <v>256.8</v>
      </c>
      <c r="Y243" s="38">
        <f>X243/W243*100</f>
        <v>99.999999999999972</v>
      </c>
      <c r="Z243" s="38">
        <f t="shared" si="372"/>
        <v>0</v>
      </c>
      <c r="AA243" s="38">
        <f t="shared" si="372"/>
        <v>119.9</v>
      </c>
      <c r="AB243" s="38"/>
      <c r="AC243" s="38">
        <f t="shared" si="372"/>
        <v>1723.3</v>
      </c>
      <c r="AD243" s="38">
        <f t="shared" si="372"/>
        <v>1603.4</v>
      </c>
      <c r="AE243" s="38">
        <f>AD243/AC243*100</f>
        <v>93.042418615447119</v>
      </c>
      <c r="AF243" s="38">
        <f>AF245+AF246</f>
        <v>186.5</v>
      </c>
      <c r="AG243" s="38">
        <f>AG245+AG246</f>
        <v>186.5</v>
      </c>
      <c r="AH243" s="38">
        <f>AG243/AF243*100</f>
        <v>100</v>
      </c>
      <c r="AI243" s="38">
        <f t="shared" si="372"/>
        <v>374.7</v>
      </c>
      <c r="AJ243" s="38">
        <f t="shared" si="372"/>
        <v>48.8</v>
      </c>
      <c r="AK243" s="38">
        <f>AJ243/AI243*100</f>
        <v>13.023752335201493</v>
      </c>
      <c r="AL243" s="38">
        <f t="shared" si="372"/>
        <v>47.8</v>
      </c>
      <c r="AM243" s="38">
        <f t="shared" si="372"/>
        <v>147.69999999999999</v>
      </c>
      <c r="AN243" s="38">
        <f>AM243/AL243*100</f>
        <v>308.9958158995816</v>
      </c>
      <c r="AO243" s="38">
        <f t="shared" si="372"/>
        <v>0</v>
      </c>
      <c r="AP243" s="38">
        <f t="shared" ref="AP243" si="374">AP245+AP246</f>
        <v>4.0999999999999996</v>
      </c>
      <c r="AQ243" s="23"/>
      <c r="AR243" s="34"/>
      <c r="AS243" s="34"/>
      <c r="AT243" s="100">
        <f t="shared" si="298"/>
        <v>0.91963347941038009</v>
      </c>
      <c r="AU243" s="84">
        <f t="shared" si="360"/>
        <v>6</v>
      </c>
      <c r="AV243" s="84">
        <f t="shared" si="361"/>
        <v>422.80000000000007</v>
      </c>
      <c r="AW243" s="84">
        <f>Z243+AC243+AF243</f>
        <v>1909.8</v>
      </c>
      <c r="AX243" s="84">
        <f t="shared" si="363"/>
        <v>422.5</v>
      </c>
    </row>
    <row r="244" spans="1:50" x14ac:dyDescent="0.3">
      <c r="A244" s="128"/>
      <c r="B244" s="129"/>
      <c r="C244" s="130"/>
      <c r="D244" s="37" t="s">
        <v>21</v>
      </c>
      <c r="E244" s="38">
        <f t="shared" si="348"/>
        <v>0</v>
      </c>
      <c r="F244" s="38">
        <f t="shared" si="348"/>
        <v>0</v>
      </c>
      <c r="G244" s="38"/>
      <c r="H244" s="24">
        <f>H228+H233+H238</f>
        <v>0</v>
      </c>
      <c r="I244" s="24"/>
      <c r="J244" s="23"/>
      <c r="K244" s="24">
        <f t="shared" ref="K244:AO247" si="375">K228+K233+K238</f>
        <v>0</v>
      </c>
      <c r="L244" s="24">
        <f>L228+L233+L238</f>
        <v>0</v>
      </c>
      <c r="M244" s="38"/>
      <c r="N244" s="24">
        <f t="shared" si="375"/>
        <v>0</v>
      </c>
      <c r="O244" s="24">
        <f t="shared" si="375"/>
        <v>0</v>
      </c>
      <c r="P244" s="38"/>
      <c r="Q244" s="24">
        <f t="shared" si="375"/>
        <v>0</v>
      </c>
      <c r="R244" s="24">
        <f t="shared" si="375"/>
        <v>0</v>
      </c>
      <c r="S244" s="38"/>
      <c r="T244" s="24">
        <f t="shared" si="375"/>
        <v>0</v>
      </c>
      <c r="U244" s="24">
        <f t="shared" si="375"/>
        <v>0</v>
      </c>
      <c r="V244" s="38"/>
      <c r="W244" s="24">
        <f t="shared" si="375"/>
        <v>0</v>
      </c>
      <c r="X244" s="24">
        <f t="shared" si="375"/>
        <v>0</v>
      </c>
      <c r="Y244" s="38"/>
      <c r="Z244" s="38">
        <f t="shared" si="375"/>
        <v>0</v>
      </c>
      <c r="AA244" s="38">
        <f t="shared" si="375"/>
        <v>0</v>
      </c>
      <c r="AB244" s="38"/>
      <c r="AC244" s="24">
        <f t="shared" si="375"/>
        <v>0</v>
      </c>
      <c r="AD244" s="24">
        <f t="shared" si="375"/>
        <v>0</v>
      </c>
      <c r="AE244" s="38"/>
      <c r="AF244" s="24">
        <f t="shared" si="375"/>
        <v>0</v>
      </c>
      <c r="AG244" s="24">
        <f t="shared" si="375"/>
        <v>0</v>
      </c>
      <c r="AH244" s="38"/>
      <c r="AI244" s="38">
        <f t="shared" si="375"/>
        <v>0</v>
      </c>
      <c r="AJ244" s="38">
        <f t="shared" si="375"/>
        <v>0</v>
      </c>
      <c r="AK244" s="38"/>
      <c r="AL244" s="38">
        <f t="shared" si="375"/>
        <v>0</v>
      </c>
      <c r="AM244" s="38">
        <f t="shared" si="375"/>
        <v>0</v>
      </c>
      <c r="AN244" s="38"/>
      <c r="AO244" s="38">
        <f t="shared" si="375"/>
        <v>0</v>
      </c>
      <c r="AP244" s="38">
        <f t="shared" ref="AP244" si="376">AP228+AP233+AP238</f>
        <v>0</v>
      </c>
      <c r="AQ244" s="23"/>
      <c r="AR244" s="34"/>
      <c r="AS244" s="34"/>
      <c r="AT244" s="100"/>
      <c r="AU244" s="84">
        <f t="shared" si="360"/>
        <v>0</v>
      </c>
      <c r="AV244" s="84">
        <f t="shared" si="361"/>
        <v>0</v>
      </c>
      <c r="AW244" s="84">
        <f t="shared" si="362"/>
        <v>0</v>
      </c>
      <c r="AX244" s="84">
        <f t="shared" si="363"/>
        <v>0</v>
      </c>
    </row>
    <row r="245" spans="1:50" ht="24" customHeight="1" x14ac:dyDescent="0.3">
      <c r="A245" s="128"/>
      <c r="B245" s="129"/>
      <c r="C245" s="130"/>
      <c r="D245" s="37" t="s">
        <v>4</v>
      </c>
      <c r="E245" s="38">
        <f t="shared" si="348"/>
        <v>1483.8</v>
      </c>
      <c r="F245" s="38">
        <f t="shared" si="348"/>
        <v>1335.3000000000002</v>
      </c>
      <c r="G245" s="38">
        <f t="shared" ref="G245:G246" si="377">F245/E245*100</f>
        <v>89.991912656692293</v>
      </c>
      <c r="H245" s="24">
        <f>H229+H234+H239</f>
        <v>0</v>
      </c>
      <c r="I245" s="24"/>
      <c r="J245" s="23"/>
      <c r="K245" s="24">
        <f t="shared" si="375"/>
        <v>0</v>
      </c>
      <c r="L245" s="24">
        <f t="shared" si="375"/>
        <v>0</v>
      </c>
      <c r="M245" s="38"/>
      <c r="N245" s="24">
        <f t="shared" si="375"/>
        <v>0</v>
      </c>
      <c r="O245" s="24">
        <f t="shared" si="375"/>
        <v>0</v>
      </c>
      <c r="P245" s="38"/>
      <c r="Q245" s="24">
        <f t="shared" si="375"/>
        <v>0</v>
      </c>
      <c r="R245" s="24">
        <f t="shared" si="375"/>
        <v>0</v>
      </c>
      <c r="S245" s="38"/>
      <c r="T245" s="24">
        <f t="shared" si="375"/>
        <v>0</v>
      </c>
      <c r="U245" s="24">
        <f t="shared" si="375"/>
        <v>0</v>
      </c>
      <c r="V245" s="38"/>
      <c r="W245" s="24">
        <f t="shared" si="375"/>
        <v>145.80000000000001</v>
      </c>
      <c r="X245" s="24">
        <f t="shared" si="375"/>
        <v>145.80000000000001</v>
      </c>
      <c r="Y245" s="38">
        <f t="shared" ref="Y245:Y246" si="378">X245/W245*100</f>
        <v>100</v>
      </c>
      <c r="Z245" s="38">
        <f t="shared" si="375"/>
        <v>0</v>
      </c>
      <c r="AA245" s="38">
        <f t="shared" si="375"/>
        <v>82.8</v>
      </c>
      <c r="AB245" s="38"/>
      <c r="AC245" s="38">
        <f t="shared" si="375"/>
        <v>1134.5</v>
      </c>
      <c r="AD245" s="38">
        <f t="shared" si="375"/>
        <v>1051.7</v>
      </c>
      <c r="AE245" s="38">
        <f t="shared" ref="AE245:AE246" si="379">AD245/AC245*100</f>
        <v>92.701630674305875</v>
      </c>
      <c r="AF245" s="24">
        <f t="shared" si="375"/>
        <v>0</v>
      </c>
      <c r="AG245" s="24">
        <f t="shared" si="375"/>
        <v>0</v>
      </c>
      <c r="AH245" s="38"/>
      <c r="AI245" s="38">
        <f t="shared" si="375"/>
        <v>203.5</v>
      </c>
      <c r="AJ245" s="38">
        <f t="shared" si="375"/>
        <v>48.8</v>
      </c>
      <c r="AK245" s="38"/>
      <c r="AL245" s="38">
        <f t="shared" si="375"/>
        <v>0</v>
      </c>
      <c r="AM245" s="38">
        <f t="shared" si="375"/>
        <v>0</v>
      </c>
      <c r="AN245" s="38"/>
      <c r="AO245" s="38">
        <f t="shared" si="375"/>
        <v>0</v>
      </c>
      <c r="AP245" s="38">
        <f t="shared" ref="AP245" si="380">AP229+AP234+AP239</f>
        <v>6.2</v>
      </c>
      <c r="AQ245" s="23"/>
      <c r="AR245" s="34"/>
      <c r="AS245" s="34"/>
      <c r="AT245" s="100">
        <f t="shared" si="298"/>
        <v>0.89991912656692297</v>
      </c>
      <c r="AU245" s="84">
        <f t="shared" si="360"/>
        <v>0</v>
      </c>
      <c r="AV245" s="84">
        <f t="shared" si="361"/>
        <v>145.80000000000001</v>
      </c>
      <c r="AW245" s="84">
        <f t="shared" si="362"/>
        <v>1134.5</v>
      </c>
      <c r="AX245" s="84">
        <f t="shared" si="363"/>
        <v>203.5</v>
      </c>
    </row>
    <row r="246" spans="1:50" ht="12.6" customHeight="1" x14ac:dyDescent="0.3">
      <c r="A246" s="128"/>
      <c r="B246" s="129"/>
      <c r="C246" s="130"/>
      <c r="D246" s="37" t="s">
        <v>44</v>
      </c>
      <c r="E246" s="38">
        <f t="shared" si="348"/>
        <v>1277.3</v>
      </c>
      <c r="F246" s="38">
        <f t="shared" si="348"/>
        <v>1203.9000000000003</v>
      </c>
      <c r="G246" s="38">
        <f t="shared" si="377"/>
        <v>94.253503483911402</v>
      </c>
      <c r="H246" s="24">
        <f>H230+H235+H240</f>
        <v>0</v>
      </c>
      <c r="I246" s="24"/>
      <c r="J246" s="23"/>
      <c r="K246" s="24">
        <f t="shared" si="375"/>
        <v>0</v>
      </c>
      <c r="L246" s="24">
        <f t="shared" si="375"/>
        <v>0</v>
      </c>
      <c r="M246" s="38"/>
      <c r="N246" s="24">
        <f t="shared" si="375"/>
        <v>6</v>
      </c>
      <c r="O246" s="24">
        <f t="shared" si="375"/>
        <v>6</v>
      </c>
      <c r="P246" s="38">
        <f t="shared" si="373"/>
        <v>100</v>
      </c>
      <c r="Q246" s="24">
        <f t="shared" si="375"/>
        <v>166</v>
      </c>
      <c r="R246" s="24">
        <f t="shared" si="375"/>
        <v>166</v>
      </c>
      <c r="S246" s="38">
        <f t="shared" ref="S246" si="381">R246/Q246*100</f>
        <v>100</v>
      </c>
      <c r="T246" s="24">
        <f t="shared" si="375"/>
        <v>0</v>
      </c>
      <c r="U246" s="24">
        <f t="shared" si="375"/>
        <v>0</v>
      </c>
      <c r="V246" s="38"/>
      <c r="W246" s="24">
        <f t="shared" si="375"/>
        <v>111.00000000000003</v>
      </c>
      <c r="X246" s="24">
        <f t="shared" si="375"/>
        <v>111</v>
      </c>
      <c r="Y246" s="38">
        <f t="shared" si="378"/>
        <v>99.999999999999972</v>
      </c>
      <c r="Z246" s="38">
        <f t="shared" si="375"/>
        <v>0</v>
      </c>
      <c r="AA246" s="38">
        <f t="shared" si="375"/>
        <v>37.1</v>
      </c>
      <c r="AB246" s="38"/>
      <c r="AC246" s="38">
        <f t="shared" si="375"/>
        <v>588.79999999999995</v>
      </c>
      <c r="AD246" s="38">
        <f t="shared" si="375"/>
        <v>551.70000000000005</v>
      </c>
      <c r="AE246" s="38">
        <f t="shared" si="379"/>
        <v>93.699048913043498</v>
      </c>
      <c r="AF246" s="24">
        <f t="shared" si="375"/>
        <v>186.5</v>
      </c>
      <c r="AG246" s="24">
        <f t="shared" si="375"/>
        <v>186.5</v>
      </c>
      <c r="AH246" s="38">
        <f t="shared" ref="AH246" si="382">AG246/AF246*100</f>
        <v>100</v>
      </c>
      <c r="AI246" s="38">
        <f t="shared" si="375"/>
        <v>171.2</v>
      </c>
      <c r="AJ246" s="38">
        <f t="shared" si="375"/>
        <v>0</v>
      </c>
      <c r="AK246" s="38">
        <f t="shared" ref="AK246" si="383">AJ246/AI246*100</f>
        <v>0</v>
      </c>
      <c r="AL246" s="38">
        <f t="shared" si="375"/>
        <v>47.8</v>
      </c>
      <c r="AM246" s="38">
        <f t="shared" si="375"/>
        <v>147.69999999999999</v>
      </c>
      <c r="AN246" s="38">
        <f t="shared" ref="AN246" si="384">AM246/AL246*100</f>
        <v>308.9958158995816</v>
      </c>
      <c r="AO246" s="38">
        <f t="shared" si="375"/>
        <v>0</v>
      </c>
      <c r="AP246" s="38">
        <f t="shared" ref="AP246" si="385">AP230+AP235+AP240</f>
        <v>-2.1</v>
      </c>
      <c r="AQ246" s="23"/>
      <c r="AR246" s="34"/>
      <c r="AS246" s="34"/>
      <c r="AT246" s="100">
        <f t="shared" si="298"/>
        <v>0.94253503483911405</v>
      </c>
      <c r="AU246" s="84">
        <f t="shared" si="360"/>
        <v>6</v>
      </c>
      <c r="AV246" s="84">
        <f t="shared" si="361"/>
        <v>277</v>
      </c>
      <c r="AW246" s="84">
        <f t="shared" si="362"/>
        <v>775.3</v>
      </c>
      <c r="AX246" s="84">
        <f t="shared" si="363"/>
        <v>219</v>
      </c>
    </row>
    <row r="247" spans="1:50" ht="14.25" customHeight="1" x14ac:dyDescent="0.3">
      <c r="A247" s="128"/>
      <c r="B247" s="129"/>
      <c r="C247" s="130"/>
      <c r="D247" s="37" t="s">
        <v>22</v>
      </c>
      <c r="E247" s="45">
        <f t="shared" si="348"/>
        <v>0</v>
      </c>
      <c r="F247" s="45">
        <f t="shared" si="348"/>
        <v>0</v>
      </c>
      <c r="G247" s="24"/>
      <c r="H247" s="39">
        <f>H231+H236+H241</f>
        <v>0</v>
      </c>
      <c r="I247" s="39"/>
      <c r="J247" s="45"/>
      <c r="K247" s="39">
        <f t="shared" si="375"/>
        <v>0</v>
      </c>
      <c r="L247" s="39">
        <f t="shared" si="375"/>
        <v>0</v>
      </c>
      <c r="M247" s="38"/>
      <c r="N247" s="39">
        <f t="shared" si="375"/>
        <v>0</v>
      </c>
      <c r="O247" s="39">
        <f t="shared" si="375"/>
        <v>0</v>
      </c>
      <c r="P247" s="45"/>
      <c r="Q247" s="39">
        <f t="shared" si="375"/>
        <v>0</v>
      </c>
      <c r="R247" s="39">
        <f t="shared" si="375"/>
        <v>0</v>
      </c>
      <c r="S247" s="45"/>
      <c r="T247" s="39">
        <f t="shared" si="375"/>
        <v>0</v>
      </c>
      <c r="U247" s="39">
        <f t="shared" si="375"/>
        <v>0</v>
      </c>
      <c r="V247" s="24"/>
      <c r="W247" s="39">
        <f t="shared" si="375"/>
        <v>0</v>
      </c>
      <c r="X247" s="39">
        <f t="shared" si="375"/>
        <v>0</v>
      </c>
      <c r="Y247" s="24"/>
      <c r="Z247" s="45">
        <f t="shared" si="375"/>
        <v>0</v>
      </c>
      <c r="AA247" s="45">
        <f t="shared" si="375"/>
        <v>0</v>
      </c>
      <c r="AB247" s="45"/>
      <c r="AC247" s="39">
        <f t="shared" si="375"/>
        <v>0</v>
      </c>
      <c r="AD247" s="39">
        <f t="shared" si="375"/>
        <v>0</v>
      </c>
      <c r="AE247" s="45"/>
      <c r="AF247" s="39">
        <f t="shared" si="375"/>
        <v>0</v>
      </c>
      <c r="AG247" s="39">
        <f t="shared" si="375"/>
        <v>0</v>
      </c>
      <c r="AH247" s="45"/>
      <c r="AI247" s="39">
        <f t="shared" si="375"/>
        <v>0</v>
      </c>
      <c r="AJ247" s="39"/>
      <c r="AK247" s="45"/>
      <c r="AL247" s="39">
        <f t="shared" si="375"/>
        <v>0</v>
      </c>
      <c r="AM247" s="39">
        <f t="shared" si="375"/>
        <v>0</v>
      </c>
      <c r="AN247" s="45"/>
      <c r="AO247" s="39">
        <f t="shared" si="375"/>
        <v>0</v>
      </c>
      <c r="AP247" s="39">
        <f t="shared" ref="AP247" si="386">AP231+AP236+AP241</f>
        <v>0</v>
      </c>
      <c r="AQ247" s="57"/>
      <c r="AR247" s="34"/>
      <c r="AS247" s="34"/>
      <c r="AT247" s="100"/>
      <c r="AU247" s="84">
        <f t="shared" si="360"/>
        <v>0</v>
      </c>
      <c r="AV247" s="84">
        <f t="shared" si="361"/>
        <v>0</v>
      </c>
      <c r="AW247" s="84">
        <f t="shared" si="362"/>
        <v>0</v>
      </c>
      <c r="AX247" s="84">
        <f t="shared" si="363"/>
        <v>0</v>
      </c>
    </row>
    <row r="248" spans="1:50" ht="12" hidden="1" customHeight="1" x14ac:dyDescent="0.3">
      <c r="A248" s="131"/>
      <c r="B248" s="132"/>
      <c r="C248" s="133"/>
      <c r="D248" s="37" t="s">
        <v>128</v>
      </c>
      <c r="E248" s="45"/>
      <c r="F248" s="45"/>
      <c r="G248" s="24"/>
      <c r="H248" s="39"/>
      <c r="I248" s="39"/>
      <c r="J248" s="45"/>
      <c r="K248" s="39"/>
      <c r="L248" s="39"/>
      <c r="M248" s="38"/>
      <c r="N248" s="39"/>
      <c r="O248" s="39"/>
      <c r="P248" s="45"/>
      <c r="Q248" s="39"/>
      <c r="R248" s="39"/>
      <c r="S248" s="45"/>
      <c r="T248" s="39"/>
      <c r="U248" s="39"/>
      <c r="V248" s="24"/>
      <c r="W248" s="39"/>
      <c r="X248" s="39"/>
      <c r="Y248" s="24"/>
      <c r="Z248" s="45"/>
      <c r="AA248" s="45"/>
      <c r="AB248" s="45"/>
      <c r="AC248" s="39"/>
      <c r="AD248" s="39"/>
      <c r="AE248" s="45"/>
      <c r="AF248" s="39"/>
      <c r="AG248" s="39"/>
      <c r="AH248" s="45"/>
      <c r="AI248" s="39"/>
      <c r="AJ248" s="39"/>
      <c r="AK248" s="45"/>
      <c r="AL248" s="39"/>
      <c r="AM248" s="39"/>
      <c r="AN248" s="45"/>
      <c r="AO248" s="39"/>
      <c r="AP248" s="39"/>
      <c r="AQ248" s="57"/>
      <c r="AR248" s="34"/>
      <c r="AS248" s="34"/>
      <c r="AT248" s="100"/>
      <c r="AU248" s="84"/>
      <c r="AV248" s="84"/>
      <c r="AW248" s="84"/>
      <c r="AX248" s="84"/>
    </row>
    <row r="249" spans="1:50" ht="19.2" customHeight="1" x14ac:dyDescent="0.3">
      <c r="A249" s="46" t="s">
        <v>79</v>
      </c>
      <c r="B249" s="35" t="s">
        <v>17</v>
      </c>
      <c r="C249" s="47"/>
      <c r="D249" s="47"/>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47"/>
      <c r="AQ249" s="47"/>
      <c r="AR249" s="34"/>
      <c r="AS249" s="34"/>
      <c r="AT249" s="100"/>
      <c r="AU249" s="83">
        <f t="shared" si="360"/>
        <v>0</v>
      </c>
      <c r="AV249" s="83">
        <f t="shared" si="361"/>
        <v>0</v>
      </c>
      <c r="AW249" s="83">
        <f t="shared" si="362"/>
        <v>0</v>
      </c>
      <c r="AX249" s="83">
        <f t="shared" si="363"/>
        <v>0</v>
      </c>
    </row>
    <row r="250" spans="1:50" ht="15" customHeight="1" x14ac:dyDescent="0.3">
      <c r="A250" s="139" t="s">
        <v>80</v>
      </c>
      <c r="B250" s="140" t="s">
        <v>111</v>
      </c>
      <c r="C250" s="140" t="s">
        <v>124</v>
      </c>
      <c r="D250" s="36" t="s">
        <v>3</v>
      </c>
      <c r="E250" s="24">
        <f t="shared" ref="E250:F269" si="387">H250+K250+N250+Q250+T250+W250+Z250+AC250+AF250+AI250+AL250+AO250</f>
        <v>7242.7999999999993</v>
      </c>
      <c r="F250" s="24">
        <f t="shared" si="387"/>
        <v>7244.3</v>
      </c>
      <c r="G250" s="24">
        <f>F250/E250*100</f>
        <v>100.02071022256587</v>
      </c>
      <c r="H250" s="24">
        <f>H251+H252+H253+H254</f>
        <v>0</v>
      </c>
      <c r="I250" s="24"/>
      <c r="J250" s="22"/>
      <c r="K250" s="24">
        <f t="shared" ref="K250:AO250" si="388">K251+K252+K253+K254</f>
        <v>0</v>
      </c>
      <c r="L250" s="24">
        <f t="shared" si="388"/>
        <v>0</v>
      </c>
      <c r="M250" s="24"/>
      <c r="N250" s="24">
        <f t="shared" si="388"/>
        <v>1807.5</v>
      </c>
      <c r="O250" s="24">
        <f t="shared" si="388"/>
        <v>1639.5</v>
      </c>
      <c r="P250" s="24">
        <f t="shared" ref="P250" si="389">O250/N250*100</f>
        <v>90.705394190871374</v>
      </c>
      <c r="Q250" s="24">
        <f t="shared" si="388"/>
        <v>0</v>
      </c>
      <c r="R250" s="24">
        <f t="shared" si="388"/>
        <v>88.4</v>
      </c>
      <c r="S250" s="22"/>
      <c r="T250" s="24">
        <f t="shared" si="388"/>
        <v>0</v>
      </c>
      <c r="U250" s="24">
        <f t="shared" si="388"/>
        <v>0</v>
      </c>
      <c r="V250" s="24"/>
      <c r="W250" s="24">
        <f t="shared" si="388"/>
        <v>3049.4</v>
      </c>
      <c r="X250" s="24">
        <f t="shared" si="388"/>
        <v>3006.4</v>
      </c>
      <c r="Y250" s="24">
        <f>X250/W250*100</f>
        <v>98.589886535056081</v>
      </c>
      <c r="Z250" s="24">
        <f t="shared" si="388"/>
        <v>1307.1999999999998</v>
      </c>
      <c r="AA250" s="24">
        <f t="shared" si="388"/>
        <v>1158</v>
      </c>
      <c r="AB250" s="24">
        <f>AA250/Z250*100</f>
        <v>88.586291309669534</v>
      </c>
      <c r="AC250" s="24">
        <f t="shared" si="388"/>
        <v>25.4</v>
      </c>
      <c r="AD250" s="24">
        <f t="shared" si="388"/>
        <v>449.2</v>
      </c>
      <c r="AE250" s="24"/>
      <c r="AF250" s="24">
        <f t="shared" si="388"/>
        <v>0</v>
      </c>
      <c r="AG250" s="24">
        <f t="shared" si="388"/>
        <v>0</v>
      </c>
      <c r="AH250" s="24"/>
      <c r="AI250" s="24">
        <f t="shared" si="388"/>
        <v>0</v>
      </c>
      <c r="AJ250" s="24">
        <f t="shared" si="388"/>
        <v>0</v>
      </c>
      <c r="AK250" s="22"/>
      <c r="AL250" s="24">
        <f t="shared" si="388"/>
        <v>1053.3000000000002</v>
      </c>
      <c r="AM250" s="24">
        <f t="shared" si="388"/>
        <v>902.8</v>
      </c>
      <c r="AN250" s="24">
        <f>AM250/AL250*100</f>
        <v>85.711573151049066</v>
      </c>
      <c r="AO250" s="24">
        <f t="shared" si="388"/>
        <v>0</v>
      </c>
      <c r="AP250" s="24"/>
      <c r="AQ250" s="22"/>
      <c r="AR250" s="34"/>
      <c r="AS250" s="34"/>
      <c r="AT250" s="100">
        <f t="shared" si="298"/>
        <v>1.0002071022256587</v>
      </c>
      <c r="AU250" s="83">
        <f t="shared" si="360"/>
        <v>1807.5</v>
      </c>
      <c r="AV250" s="83">
        <f t="shared" si="361"/>
        <v>3049.4</v>
      </c>
      <c r="AW250" s="83">
        <f t="shared" si="362"/>
        <v>1332.6</v>
      </c>
      <c r="AX250" s="83">
        <f t="shared" si="363"/>
        <v>1053.3000000000002</v>
      </c>
    </row>
    <row r="251" spans="1:50" ht="13.5" customHeight="1" x14ac:dyDescent="0.3">
      <c r="A251" s="139"/>
      <c r="B251" s="140"/>
      <c r="C251" s="140"/>
      <c r="D251" s="36" t="s">
        <v>21</v>
      </c>
      <c r="E251" s="24">
        <f t="shared" si="387"/>
        <v>0</v>
      </c>
      <c r="F251" s="24">
        <f t="shared" si="387"/>
        <v>0</v>
      </c>
      <c r="G251" s="24"/>
      <c r="H251" s="24"/>
      <c r="I251" s="24"/>
      <c r="J251" s="22"/>
      <c r="K251" s="24"/>
      <c r="L251" s="24"/>
      <c r="M251" s="22"/>
      <c r="N251" s="24"/>
      <c r="O251" s="24"/>
      <c r="P251" s="22"/>
      <c r="Q251" s="24"/>
      <c r="R251" s="24"/>
      <c r="S251" s="22"/>
      <c r="T251" s="24"/>
      <c r="U251" s="24"/>
      <c r="V251" s="24"/>
      <c r="W251" s="24"/>
      <c r="X251" s="24"/>
      <c r="Y251" s="24"/>
      <c r="Z251" s="24"/>
      <c r="AA251" s="24"/>
      <c r="AB251" s="24"/>
      <c r="AC251" s="24"/>
      <c r="AD251" s="24"/>
      <c r="AE251" s="24"/>
      <c r="AF251" s="24"/>
      <c r="AG251" s="24"/>
      <c r="AH251" s="24"/>
      <c r="AI251" s="24"/>
      <c r="AJ251" s="24"/>
      <c r="AK251" s="22"/>
      <c r="AL251" s="24"/>
      <c r="AM251" s="24"/>
      <c r="AN251" s="24"/>
      <c r="AO251" s="24"/>
      <c r="AP251" s="24"/>
      <c r="AQ251" s="22"/>
      <c r="AR251" s="34"/>
      <c r="AS251" s="34"/>
      <c r="AT251" s="100"/>
      <c r="AU251" s="83">
        <f t="shared" si="360"/>
        <v>0</v>
      </c>
      <c r="AV251" s="83">
        <f t="shared" si="361"/>
        <v>0</v>
      </c>
      <c r="AW251" s="83">
        <f t="shared" si="362"/>
        <v>0</v>
      </c>
      <c r="AX251" s="83">
        <f t="shared" si="363"/>
        <v>0</v>
      </c>
    </row>
    <row r="252" spans="1:50" ht="37.799999999999997" customHeight="1" x14ac:dyDescent="0.3">
      <c r="A252" s="139"/>
      <c r="B252" s="140"/>
      <c r="C252" s="140"/>
      <c r="D252" s="36" t="s">
        <v>4</v>
      </c>
      <c r="E252" s="24">
        <f t="shared" si="387"/>
        <v>3311.9</v>
      </c>
      <c r="F252" s="24">
        <f t="shared" si="387"/>
        <v>3311.9</v>
      </c>
      <c r="G252" s="24">
        <f t="shared" ref="G252:G253" si="390">F252/E252*100</f>
        <v>100</v>
      </c>
      <c r="H252" s="24"/>
      <c r="I252" s="24"/>
      <c r="J252" s="22"/>
      <c r="K252" s="24"/>
      <c r="L252" s="24"/>
      <c r="M252" s="24"/>
      <c r="N252" s="24">
        <f>974-163.3+0.1</f>
        <v>810.80000000000007</v>
      </c>
      <c r="O252" s="24">
        <v>639.79999999999995</v>
      </c>
      <c r="P252" s="24">
        <f t="shared" ref="P252:P253" si="391">O252/N252*100</f>
        <v>78.909718796250601</v>
      </c>
      <c r="Q252" s="24"/>
      <c r="R252" s="24">
        <v>94.5</v>
      </c>
      <c r="S252" s="22"/>
      <c r="T252" s="24"/>
      <c r="U252" s="24"/>
      <c r="V252" s="24"/>
      <c r="W252" s="24">
        <f>227.2+1181.7-87.4-26.4</f>
        <v>1295.0999999999999</v>
      </c>
      <c r="X252" s="24">
        <v>1256.5</v>
      </c>
      <c r="Y252" s="24">
        <f t="shared" ref="Y252:Y253" si="392">X252/W252*100</f>
        <v>97.019535171029275</v>
      </c>
      <c r="Z252" s="24">
        <f>7262.9+163.3-227.2-1181.7-5276.8-103.8-0.1</f>
        <v>636.6</v>
      </c>
      <c r="AA252" s="24">
        <v>593.6</v>
      </c>
      <c r="AB252" s="24">
        <f t="shared" ref="AB252:AB253" si="393">AA252/Z252*100</f>
        <v>93.245366006911723</v>
      </c>
      <c r="AC252" s="24">
        <v>25.4</v>
      </c>
      <c r="AD252" s="24">
        <v>183.5</v>
      </c>
      <c r="AE252" s="24"/>
      <c r="AF252" s="24"/>
      <c r="AG252" s="24"/>
      <c r="AH252" s="24"/>
      <c r="AI252" s="24"/>
      <c r="AJ252" s="24"/>
      <c r="AK252" s="22"/>
      <c r="AL252" s="24">
        <f>865.8-321.8</f>
        <v>544</v>
      </c>
      <c r="AM252" s="24">
        <f>455.6+88.4</f>
        <v>544</v>
      </c>
      <c r="AN252" s="24">
        <f t="shared" ref="AN252:AN253" si="394">AM252/AL252*100</f>
        <v>100</v>
      </c>
      <c r="AO252" s="24">
        <f>5276.8-5276.8</f>
        <v>0</v>
      </c>
      <c r="AP252" s="24"/>
      <c r="AQ252" s="22"/>
      <c r="AR252" s="88" t="s">
        <v>167</v>
      </c>
      <c r="AS252" s="123"/>
      <c r="AT252" s="100">
        <f t="shared" si="298"/>
        <v>1</v>
      </c>
      <c r="AU252" s="83">
        <f t="shared" si="360"/>
        <v>810.80000000000007</v>
      </c>
      <c r="AV252" s="83">
        <f t="shared" si="361"/>
        <v>1295.0999999999999</v>
      </c>
      <c r="AW252" s="83">
        <f t="shared" si="362"/>
        <v>662</v>
      </c>
      <c r="AX252" s="83">
        <f t="shared" si="363"/>
        <v>544</v>
      </c>
    </row>
    <row r="253" spans="1:50" ht="48.6" customHeight="1" x14ac:dyDescent="0.3">
      <c r="A253" s="139"/>
      <c r="B253" s="140"/>
      <c r="C253" s="140"/>
      <c r="D253" s="36" t="s">
        <v>44</v>
      </c>
      <c r="E253" s="24">
        <f t="shared" si="387"/>
        <v>3930.9</v>
      </c>
      <c r="F253" s="24">
        <f t="shared" si="387"/>
        <v>3930.9</v>
      </c>
      <c r="G253" s="24">
        <f t="shared" si="390"/>
        <v>100</v>
      </c>
      <c r="H253" s="24"/>
      <c r="I253" s="24"/>
      <c r="J253" s="22"/>
      <c r="K253" s="24"/>
      <c r="L253" s="24"/>
      <c r="M253" s="24"/>
      <c r="N253" s="24">
        <f>1363.4-186.1-46.4-134.2</f>
        <v>996.7</v>
      </c>
      <c r="O253" s="24">
        <v>999.7</v>
      </c>
      <c r="P253" s="24">
        <f t="shared" si="391"/>
        <v>100.30099327781679</v>
      </c>
      <c r="Q253" s="24"/>
      <c r="R253" s="24">
        <v>-6.1</v>
      </c>
      <c r="S253" s="22"/>
      <c r="T253" s="24"/>
      <c r="U253" s="24"/>
      <c r="V253" s="24"/>
      <c r="W253" s="24">
        <f>534.5+1530.4-22.3-66.8-221.5</f>
        <v>1754.3000000000002</v>
      </c>
      <c r="X253" s="24">
        <v>1749.9</v>
      </c>
      <c r="Y253" s="24">
        <f t="shared" si="392"/>
        <v>99.749187710197802</v>
      </c>
      <c r="Z253" s="24">
        <f>3716.9+186.2-534.5+22.3-1530.4-1105.2-84.7</f>
        <v>670.59999999999991</v>
      </c>
      <c r="AA253" s="24">
        <v>564.4</v>
      </c>
      <c r="AB253" s="24">
        <f t="shared" si="393"/>
        <v>84.163435729197744</v>
      </c>
      <c r="AC253" s="24"/>
      <c r="AD253" s="24">
        <v>265.7</v>
      </c>
      <c r="AE253" s="24"/>
      <c r="AF253" s="24"/>
      <c r="AG253" s="24"/>
      <c r="AH253" s="24"/>
      <c r="AI253" s="24"/>
      <c r="AJ253" s="24"/>
      <c r="AK253" s="22"/>
      <c r="AL253" s="24">
        <f>1000.1+46.3-594.3-383.2+440.4</f>
        <v>509.30000000000013</v>
      </c>
      <c r="AM253" s="24">
        <f>345+13.8</f>
        <v>358.8</v>
      </c>
      <c r="AN253" s="24">
        <f t="shared" si="394"/>
        <v>70.449636756332197</v>
      </c>
      <c r="AO253" s="24">
        <f>1105.2-1105.2</f>
        <v>0</v>
      </c>
      <c r="AP253" s="24">
        <v>-1.5</v>
      </c>
      <c r="AQ253" s="22"/>
      <c r="AR253" s="90" t="s">
        <v>193</v>
      </c>
      <c r="AS253" s="124"/>
      <c r="AT253" s="100">
        <f t="shared" si="298"/>
        <v>1</v>
      </c>
      <c r="AU253" s="83">
        <f t="shared" si="360"/>
        <v>996.7</v>
      </c>
      <c r="AV253" s="83">
        <f t="shared" si="361"/>
        <v>1754.3000000000002</v>
      </c>
      <c r="AW253" s="83">
        <f t="shared" si="362"/>
        <v>670.59999999999991</v>
      </c>
      <c r="AX253" s="83">
        <f t="shared" si="363"/>
        <v>509.30000000000013</v>
      </c>
    </row>
    <row r="254" spans="1:50" ht="13.8" customHeight="1" x14ac:dyDescent="0.3">
      <c r="A254" s="139"/>
      <c r="B254" s="140"/>
      <c r="C254" s="140"/>
      <c r="D254" s="36" t="s">
        <v>22</v>
      </c>
      <c r="E254" s="24">
        <f t="shared" si="387"/>
        <v>0</v>
      </c>
      <c r="F254" s="24">
        <f t="shared" si="387"/>
        <v>0</v>
      </c>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5"/>
      <c r="AR254" s="34"/>
      <c r="AS254" s="34"/>
      <c r="AT254" s="100"/>
      <c r="AU254" s="83">
        <f t="shared" si="360"/>
        <v>0</v>
      </c>
      <c r="AV254" s="83">
        <f t="shared" si="361"/>
        <v>0</v>
      </c>
      <c r="AW254" s="83">
        <f t="shared" si="362"/>
        <v>0</v>
      </c>
      <c r="AX254" s="83">
        <f t="shared" si="363"/>
        <v>0</v>
      </c>
    </row>
    <row r="255" spans="1:50" ht="12.6" customHeight="1" x14ac:dyDescent="0.3">
      <c r="A255" s="139" t="s">
        <v>81</v>
      </c>
      <c r="B255" s="140" t="s">
        <v>112</v>
      </c>
      <c r="C255" s="140" t="s">
        <v>5</v>
      </c>
      <c r="D255" s="36" t="s">
        <v>3</v>
      </c>
      <c r="E255" s="24">
        <f t="shared" si="387"/>
        <v>7298.2000000000007</v>
      </c>
      <c r="F255" s="24">
        <f t="shared" si="387"/>
        <v>7298.2</v>
      </c>
      <c r="G255" s="24">
        <f>F255/E255*100</f>
        <v>99.999999999999986</v>
      </c>
      <c r="H255" s="24">
        <f>H256+H257+H258+H259</f>
        <v>0</v>
      </c>
      <c r="I255" s="24"/>
      <c r="J255" s="22"/>
      <c r="K255" s="24">
        <f t="shared" ref="K255:AO255" si="395">K256+K257+K258+K259</f>
        <v>0</v>
      </c>
      <c r="L255" s="24"/>
      <c r="M255" s="22"/>
      <c r="N255" s="24">
        <f t="shared" si="395"/>
        <v>0</v>
      </c>
      <c r="O255" s="24"/>
      <c r="P255" s="22"/>
      <c r="Q255" s="24">
        <f t="shared" si="395"/>
        <v>6.7</v>
      </c>
      <c r="R255" s="24">
        <f t="shared" si="395"/>
        <v>6.7</v>
      </c>
      <c r="S255" s="24">
        <f>R255/Q255*100</f>
        <v>100</v>
      </c>
      <c r="T255" s="24">
        <f t="shared" si="395"/>
        <v>0</v>
      </c>
      <c r="U255" s="24">
        <f t="shared" si="395"/>
        <v>0</v>
      </c>
      <c r="V255" s="24"/>
      <c r="W255" s="24">
        <f t="shared" si="395"/>
        <v>2683</v>
      </c>
      <c r="X255" s="24">
        <f t="shared" si="395"/>
        <v>2683</v>
      </c>
      <c r="Y255" s="24">
        <f>X255/W255*100</f>
        <v>100</v>
      </c>
      <c r="Z255" s="24">
        <f t="shared" si="395"/>
        <v>4516.9000000000005</v>
      </c>
      <c r="AA255" s="24">
        <f t="shared" si="395"/>
        <v>4592.1000000000004</v>
      </c>
      <c r="AB255" s="24">
        <f>AA255/Z255*100</f>
        <v>101.66485864198897</v>
      </c>
      <c r="AC255" s="24">
        <f t="shared" si="395"/>
        <v>72</v>
      </c>
      <c r="AD255" s="24">
        <f t="shared" si="395"/>
        <v>37</v>
      </c>
      <c r="AE255" s="24">
        <f>AD255/AC255*100</f>
        <v>51.388888888888886</v>
      </c>
      <c r="AF255" s="24">
        <f t="shared" si="395"/>
        <v>19.600000000000001</v>
      </c>
      <c r="AG255" s="24">
        <f t="shared" si="395"/>
        <v>7.5</v>
      </c>
      <c r="AH255" s="24">
        <f>AG255/AF255*100</f>
        <v>38.265306122448976</v>
      </c>
      <c r="AI255" s="24">
        <f t="shared" si="395"/>
        <v>0</v>
      </c>
      <c r="AJ255" s="24">
        <f t="shared" si="395"/>
        <v>-27.1</v>
      </c>
      <c r="AK255" s="24"/>
      <c r="AL255" s="24">
        <f t="shared" si="395"/>
        <v>0</v>
      </c>
      <c r="AM255" s="24">
        <f t="shared" si="395"/>
        <v>-1</v>
      </c>
      <c r="AN255" s="24"/>
      <c r="AO255" s="24">
        <f t="shared" si="395"/>
        <v>0</v>
      </c>
      <c r="AP255" s="24"/>
      <c r="AQ255" s="22"/>
      <c r="AR255" s="34"/>
      <c r="AS255" s="34"/>
      <c r="AT255" s="100">
        <f t="shared" si="298"/>
        <v>0.99999999999999989</v>
      </c>
      <c r="AU255" s="83">
        <f t="shared" si="360"/>
        <v>0</v>
      </c>
      <c r="AV255" s="83">
        <f t="shared" si="361"/>
        <v>2689.7</v>
      </c>
      <c r="AW255" s="83">
        <f t="shared" si="362"/>
        <v>4608.5000000000009</v>
      </c>
      <c r="AX255" s="83">
        <f t="shared" si="363"/>
        <v>0</v>
      </c>
    </row>
    <row r="256" spans="1:50" ht="12.6" customHeight="1" x14ac:dyDescent="0.3">
      <c r="A256" s="139"/>
      <c r="B256" s="140"/>
      <c r="C256" s="140"/>
      <c r="D256" s="36" t="s">
        <v>21</v>
      </c>
      <c r="E256" s="24">
        <f t="shared" si="387"/>
        <v>0</v>
      </c>
      <c r="F256" s="24">
        <f t="shared" si="387"/>
        <v>0</v>
      </c>
      <c r="G256" s="24"/>
      <c r="H256" s="24"/>
      <c r="I256" s="24"/>
      <c r="J256" s="22"/>
      <c r="K256" s="24"/>
      <c r="L256" s="24"/>
      <c r="M256" s="22"/>
      <c r="N256" s="24"/>
      <c r="O256" s="24"/>
      <c r="P256" s="22"/>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2"/>
      <c r="AR256" s="34"/>
      <c r="AS256" s="34"/>
      <c r="AT256" s="100"/>
      <c r="AU256" s="83">
        <f t="shared" si="360"/>
        <v>0</v>
      </c>
      <c r="AV256" s="83">
        <f t="shared" si="361"/>
        <v>0</v>
      </c>
      <c r="AW256" s="83">
        <f t="shared" si="362"/>
        <v>0</v>
      </c>
      <c r="AX256" s="83">
        <f t="shared" si="363"/>
        <v>0</v>
      </c>
    </row>
    <row r="257" spans="1:50" ht="49.2" customHeight="1" x14ac:dyDescent="0.3">
      <c r="A257" s="139"/>
      <c r="B257" s="140"/>
      <c r="C257" s="140"/>
      <c r="D257" s="36" t="s">
        <v>4</v>
      </c>
      <c r="E257" s="24">
        <f t="shared" si="387"/>
        <v>7067</v>
      </c>
      <c r="F257" s="24">
        <f t="shared" si="387"/>
        <v>7067</v>
      </c>
      <c r="G257" s="24">
        <f t="shared" ref="G257" si="396">F257/E257*100</f>
        <v>100</v>
      </c>
      <c r="H257" s="24"/>
      <c r="I257" s="24"/>
      <c r="J257" s="22"/>
      <c r="K257" s="24"/>
      <c r="L257" s="24"/>
      <c r="M257" s="22"/>
      <c r="N257" s="24"/>
      <c r="O257" s="24"/>
      <c r="P257" s="22"/>
      <c r="Q257" s="24"/>
      <c r="R257" s="24"/>
      <c r="S257" s="24"/>
      <c r="T257" s="24">
        <f>2226.5-2226.5</f>
        <v>0</v>
      </c>
      <c r="U257" s="24"/>
      <c r="V257" s="24"/>
      <c r="W257" s="24">
        <v>2606.1999999999998</v>
      </c>
      <c r="X257" s="24">
        <v>2606.1999999999998</v>
      </c>
      <c r="Y257" s="24">
        <f t="shared" ref="Y257:Y258" si="397">X257/W257*100</f>
        <v>100</v>
      </c>
      <c r="Z257" s="24">
        <v>4453.8</v>
      </c>
      <c r="AA257" s="24">
        <v>4453.8</v>
      </c>
      <c r="AB257" s="24">
        <f t="shared" ref="AB257:AB258" si="398">AA257/Z257*100</f>
        <v>100</v>
      </c>
      <c r="AC257" s="24"/>
      <c r="AD257" s="24">
        <v>0</v>
      </c>
      <c r="AE257" s="24"/>
      <c r="AF257" s="24">
        <f>7.5-0.5</f>
        <v>7</v>
      </c>
      <c r="AG257" s="24">
        <v>7.5</v>
      </c>
      <c r="AH257" s="24">
        <f>AG257/AF257*100</f>
        <v>107.14285714285714</v>
      </c>
      <c r="AI257" s="24">
        <v>0</v>
      </c>
      <c r="AJ257" s="24">
        <v>0.5</v>
      </c>
      <c r="AK257" s="24"/>
      <c r="AL257" s="24"/>
      <c r="AM257" s="24">
        <v>-1</v>
      </c>
      <c r="AN257" s="24"/>
      <c r="AO257" s="24">
        <f>4465.9-4465.9</f>
        <v>0</v>
      </c>
      <c r="AP257" s="24"/>
      <c r="AQ257" s="22"/>
      <c r="AR257" s="88" t="s">
        <v>169</v>
      </c>
      <c r="AS257" s="123"/>
      <c r="AT257" s="100">
        <f t="shared" si="298"/>
        <v>1</v>
      </c>
      <c r="AU257" s="83">
        <f t="shared" si="360"/>
        <v>0</v>
      </c>
      <c r="AV257" s="83">
        <f t="shared" si="361"/>
        <v>2606.1999999999998</v>
      </c>
      <c r="AW257" s="83">
        <f t="shared" si="362"/>
        <v>4460.8</v>
      </c>
      <c r="AX257" s="83">
        <f t="shared" si="363"/>
        <v>0</v>
      </c>
    </row>
    <row r="258" spans="1:50" ht="51" customHeight="1" x14ac:dyDescent="0.3">
      <c r="A258" s="139"/>
      <c r="B258" s="140"/>
      <c r="C258" s="140"/>
      <c r="D258" s="36" t="s">
        <v>44</v>
      </c>
      <c r="E258" s="24">
        <f t="shared" si="387"/>
        <v>231.2</v>
      </c>
      <c r="F258" s="24">
        <f t="shared" si="387"/>
        <v>231.20000000000002</v>
      </c>
      <c r="G258" s="24">
        <f t="shared" ref="G258" si="399">F258/E258*100</f>
        <v>100.00000000000003</v>
      </c>
      <c r="H258" s="24"/>
      <c r="I258" s="24"/>
      <c r="J258" s="22"/>
      <c r="K258" s="24"/>
      <c r="L258" s="24"/>
      <c r="M258" s="22"/>
      <c r="N258" s="24"/>
      <c r="O258" s="24"/>
      <c r="P258" s="22"/>
      <c r="Q258" s="24">
        <v>6.7</v>
      </c>
      <c r="R258" s="24">
        <v>6.7</v>
      </c>
      <c r="S258" s="24">
        <f t="shared" ref="S258" si="400">R258/Q258*100</f>
        <v>100</v>
      </c>
      <c r="T258" s="24">
        <f>61.9-61.9</f>
        <v>0</v>
      </c>
      <c r="U258" s="24"/>
      <c r="V258" s="24"/>
      <c r="W258" s="24">
        <v>76.8</v>
      </c>
      <c r="X258" s="24">
        <v>76.8</v>
      </c>
      <c r="Y258" s="24">
        <f t="shared" si="397"/>
        <v>100</v>
      </c>
      <c r="Z258" s="24">
        <v>63.1</v>
      </c>
      <c r="AA258" s="24">
        <v>138.30000000000001</v>
      </c>
      <c r="AB258" s="24">
        <f t="shared" si="398"/>
        <v>219.17591125198101</v>
      </c>
      <c r="AC258" s="24">
        <f>37+35</f>
        <v>72</v>
      </c>
      <c r="AD258" s="24">
        <v>37</v>
      </c>
      <c r="AE258" s="24">
        <f t="shared" ref="AE258" si="401">AD258/AC258*100</f>
        <v>51.388888888888886</v>
      </c>
      <c r="AF258" s="24">
        <f>35.3+40.2-35.3-27.6</f>
        <v>12.600000000000001</v>
      </c>
      <c r="AG258" s="24">
        <v>0</v>
      </c>
      <c r="AH258" s="24">
        <f t="shared" ref="AH258" si="402">AG258/AF258*100</f>
        <v>0</v>
      </c>
      <c r="AI258" s="24"/>
      <c r="AJ258" s="24">
        <v>-27.6</v>
      </c>
      <c r="AK258" s="24"/>
      <c r="AL258" s="24">
        <f>5.9-5.9</f>
        <v>0</v>
      </c>
      <c r="AM258" s="24">
        <v>0</v>
      </c>
      <c r="AN258" s="24"/>
      <c r="AO258" s="24">
        <f>182.2-182.2+35.3-35.3</f>
        <v>0</v>
      </c>
      <c r="AP258" s="24"/>
      <c r="AQ258" s="22"/>
      <c r="AR258" s="91" t="s">
        <v>168</v>
      </c>
      <c r="AS258" s="124"/>
      <c r="AT258" s="100">
        <f t="shared" si="298"/>
        <v>1.0000000000000002</v>
      </c>
      <c r="AU258" s="83">
        <f t="shared" si="360"/>
        <v>0</v>
      </c>
      <c r="AV258" s="83">
        <f t="shared" si="361"/>
        <v>83.5</v>
      </c>
      <c r="AW258" s="83">
        <f t="shared" si="362"/>
        <v>147.69999999999999</v>
      </c>
      <c r="AX258" s="83">
        <f t="shared" si="363"/>
        <v>0</v>
      </c>
    </row>
    <row r="259" spans="1:50" ht="12.6" customHeight="1" x14ac:dyDescent="0.3">
      <c r="A259" s="139"/>
      <c r="B259" s="140"/>
      <c r="C259" s="140"/>
      <c r="D259" s="36" t="s">
        <v>22</v>
      </c>
      <c r="E259" s="24">
        <f t="shared" si="387"/>
        <v>0</v>
      </c>
      <c r="F259" s="24">
        <f t="shared" si="387"/>
        <v>0</v>
      </c>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5"/>
      <c r="AR259" s="34"/>
      <c r="AS259" s="34"/>
      <c r="AT259" s="100"/>
      <c r="AU259" s="83">
        <f t="shared" si="360"/>
        <v>0</v>
      </c>
      <c r="AV259" s="83">
        <f t="shared" si="361"/>
        <v>0</v>
      </c>
      <c r="AW259" s="83">
        <f t="shared" si="362"/>
        <v>0</v>
      </c>
      <c r="AX259" s="83">
        <f t="shared" si="363"/>
        <v>0</v>
      </c>
    </row>
    <row r="260" spans="1:50" ht="12" customHeight="1" x14ac:dyDescent="0.3">
      <c r="A260" s="139" t="s">
        <v>82</v>
      </c>
      <c r="B260" s="140" t="s">
        <v>113</v>
      </c>
      <c r="C260" s="140" t="s">
        <v>5</v>
      </c>
      <c r="D260" s="36" t="s">
        <v>3</v>
      </c>
      <c r="E260" s="24">
        <f t="shared" si="387"/>
        <v>0</v>
      </c>
      <c r="F260" s="24">
        <f t="shared" si="387"/>
        <v>0</v>
      </c>
      <c r="G260" s="24"/>
      <c r="H260" s="24">
        <f>H261+H262+H263+H264</f>
        <v>0</v>
      </c>
      <c r="I260" s="24"/>
      <c r="J260" s="24"/>
      <c r="K260" s="24">
        <f t="shared" ref="K260:AO260" si="403">K261+K262+K263+K264</f>
        <v>0</v>
      </c>
      <c r="L260" s="24"/>
      <c r="M260" s="24"/>
      <c r="N260" s="24">
        <f t="shared" si="403"/>
        <v>0</v>
      </c>
      <c r="O260" s="24"/>
      <c r="P260" s="24"/>
      <c r="Q260" s="24">
        <f t="shared" si="403"/>
        <v>0</v>
      </c>
      <c r="R260" s="24"/>
      <c r="S260" s="24"/>
      <c r="T260" s="24">
        <f t="shared" si="403"/>
        <v>0</v>
      </c>
      <c r="U260" s="24"/>
      <c r="V260" s="24"/>
      <c r="W260" s="24">
        <f t="shared" si="403"/>
        <v>0</v>
      </c>
      <c r="X260" s="24"/>
      <c r="Y260" s="24"/>
      <c r="Z260" s="24">
        <f t="shared" si="403"/>
        <v>0</v>
      </c>
      <c r="AA260" s="24"/>
      <c r="AB260" s="24"/>
      <c r="AC260" s="24">
        <f t="shared" si="403"/>
        <v>0</v>
      </c>
      <c r="AD260" s="24"/>
      <c r="AE260" s="24"/>
      <c r="AF260" s="24">
        <f t="shared" si="403"/>
        <v>0</v>
      </c>
      <c r="AG260" s="24"/>
      <c r="AH260" s="24"/>
      <c r="AI260" s="24">
        <f t="shared" si="403"/>
        <v>0</v>
      </c>
      <c r="AJ260" s="24"/>
      <c r="AK260" s="24"/>
      <c r="AL260" s="24">
        <f t="shared" si="403"/>
        <v>0</v>
      </c>
      <c r="AM260" s="24"/>
      <c r="AN260" s="24"/>
      <c r="AO260" s="24">
        <f t="shared" si="403"/>
        <v>0</v>
      </c>
      <c r="AP260" s="24"/>
      <c r="AQ260" s="25"/>
      <c r="AR260" s="34"/>
      <c r="AS260" s="34"/>
      <c r="AT260" s="100"/>
      <c r="AU260" s="83">
        <f t="shared" si="360"/>
        <v>0</v>
      </c>
      <c r="AV260" s="83">
        <f t="shared" si="361"/>
        <v>0</v>
      </c>
      <c r="AW260" s="83">
        <f t="shared" si="362"/>
        <v>0</v>
      </c>
      <c r="AX260" s="83">
        <f t="shared" si="363"/>
        <v>0</v>
      </c>
    </row>
    <row r="261" spans="1:50" x14ac:dyDescent="0.3">
      <c r="A261" s="139"/>
      <c r="B261" s="140"/>
      <c r="C261" s="140"/>
      <c r="D261" s="36" t="s">
        <v>21</v>
      </c>
      <c r="E261" s="24">
        <f t="shared" si="387"/>
        <v>0</v>
      </c>
      <c r="F261" s="24">
        <f t="shared" si="387"/>
        <v>0</v>
      </c>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5"/>
      <c r="AR261" s="34"/>
      <c r="AS261" s="34"/>
      <c r="AT261" s="100"/>
      <c r="AU261" s="83">
        <f t="shared" si="360"/>
        <v>0</v>
      </c>
      <c r="AV261" s="83">
        <f t="shared" si="361"/>
        <v>0</v>
      </c>
      <c r="AW261" s="83">
        <f t="shared" si="362"/>
        <v>0</v>
      </c>
      <c r="AX261" s="83">
        <f t="shared" si="363"/>
        <v>0</v>
      </c>
    </row>
    <row r="262" spans="1:50" ht="24" x14ac:dyDescent="0.3">
      <c r="A262" s="139"/>
      <c r="B262" s="140"/>
      <c r="C262" s="140"/>
      <c r="D262" s="36" t="s">
        <v>4</v>
      </c>
      <c r="E262" s="24">
        <f t="shared" si="387"/>
        <v>0</v>
      </c>
      <c r="F262" s="24">
        <f t="shared" si="387"/>
        <v>0</v>
      </c>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5"/>
      <c r="AR262" s="34"/>
      <c r="AS262" s="34"/>
      <c r="AT262" s="100"/>
      <c r="AU262" s="83">
        <f t="shared" si="360"/>
        <v>0</v>
      </c>
      <c r="AV262" s="83">
        <f t="shared" si="361"/>
        <v>0</v>
      </c>
      <c r="AW262" s="83">
        <f t="shared" si="362"/>
        <v>0</v>
      </c>
      <c r="AX262" s="83">
        <f t="shared" si="363"/>
        <v>0</v>
      </c>
    </row>
    <row r="263" spans="1:50" ht="15.75" customHeight="1" x14ac:dyDescent="0.3">
      <c r="A263" s="139"/>
      <c r="B263" s="140"/>
      <c r="C263" s="140"/>
      <c r="D263" s="36" t="s">
        <v>44</v>
      </c>
      <c r="E263" s="24">
        <f t="shared" si="387"/>
        <v>0</v>
      </c>
      <c r="F263" s="24">
        <f t="shared" si="387"/>
        <v>0</v>
      </c>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5"/>
      <c r="AR263" s="34"/>
      <c r="AS263" s="34"/>
      <c r="AT263" s="100"/>
      <c r="AU263" s="83">
        <f t="shared" si="360"/>
        <v>0</v>
      </c>
      <c r="AV263" s="83">
        <f t="shared" si="361"/>
        <v>0</v>
      </c>
      <c r="AW263" s="83">
        <f t="shared" si="362"/>
        <v>0</v>
      </c>
      <c r="AX263" s="83">
        <f t="shared" si="363"/>
        <v>0</v>
      </c>
    </row>
    <row r="264" spans="1:50" ht="15.75" customHeight="1" x14ac:dyDescent="0.3">
      <c r="A264" s="139"/>
      <c r="B264" s="140"/>
      <c r="C264" s="140"/>
      <c r="D264" s="36" t="s">
        <v>22</v>
      </c>
      <c r="E264" s="24">
        <f t="shared" si="387"/>
        <v>0</v>
      </c>
      <c r="F264" s="24">
        <f t="shared" si="387"/>
        <v>0</v>
      </c>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5"/>
      <c r="AR264" s="34"/>
      <c r="AS264" s="34"/>
      <c r="AT264" s="100"/>
      <c r="AU264" s="84">
        <f t="shared" si="360"/>
        <v>0</v>
      </c>
      <c r="AV264" s="84">
        <f t="shared" si="361"/>
        <v>0</v>
      </c>
      <c r="AW264" s="84">
        <f t="shared" si="362"/>
        <v>0</v>
      </c>
      <c r="AX264" s="84">
        <f t="shared" si="363"/>
        <v>0</v>
      </c>
    </row>
    <row r="265" spans="1:50" ht="12.75" customHeight="1" x14ac:dyDescent="0.3">
      <c r="A265" s="137" t="s">
        <v>18</v>
      </c>
      <c r="B265" s="137"/>
      <c r="C265" s="137"/>
      <c r="D265" s="37" t="s">
        <v>3</v>
      </c>
      <c r="E265" s="38">
        <f t="shared" si="387"/>
        <v>14541</v>
      </c>
      <c r="F265" s="38">
        <f t="shared" si="387"/>
        <v>14541</v>
      </c>
      <c r="G265" s="38">
        <f>F265/E265*100</f>
        <v>100</v>
      </c>
      <c r="H265" s="38">
        <f>H266+H267+H268+H269</f>
        <v>0</v>
      </c>
      <c r="I265" s="38">
        <f>I266+I267+I268+I269</f>
        <v>0</v>
      </c>
      <c r="J265" s="23"/>
      <c r="K265" s="38">
        <f t="shared" ref="K265:AO265" si="404">K266+K267+K268+K269</f>
        <v>0</v>
      </c>
      <c r="L265" s="38">
        <f t="shared" si="404"/>
        <v>0</v>
      </c>
      <c r="M265" s="38"/>
      <c r="N265" s="38">
        <f t="shared" si="404"/>
        <v>1807.5</v>
      </c>
      <c r="O265" s="38">
        <f t="shared" si="404"/>
        <v>1639.5</v>
      </c>
      <c r="P265" s="38">
        <f>O265/N265*100</f>
        <v>90.705394190871374</v>
      </c>
      <c r="Q265" s="38">
        <f t="shared" si="404"/>
        <v>6.7</v>
      </c>
      <c r="R265" s="38">
        <f t="shared" si="404"/>
        <v>95.1</v>
      </c>
      <c r="S265" s="38">
        <f>R265/Q265*100</f>
        <v>1419.4029850746267</v>
      </c>
      <c r="T265" s="38">
        <f t="shared" si="404"/>
        <v>0</v>
      </c>
      <c r="U265" s="38">
        <f t="shared" si="404"/>
        <v>0</v>
      </c>
      <c r="V265" s="38"/>
      <c r="W265" s="38">
        <f t="shared" si="404"/>
        <v>5732.4</v>
      </c>
      <c r="X265" s="38">
        <f t="shared" si="404"/>
        <v>5689.4</v>
      </c>
      <c r="Y265" s="38">
        <f>X265/W265*100</f>
        <v>99.249877887097909</v>
      </c>
      <c r="Z265" s="38">
        <f t="shared" si="404"/>
        <v>5824.1</v>
      </c>
      <c r="AA265" s="38">
        <f t="shared" si="404"/>
        <v>5750.1</v>
      </c>
      <c r="AB265" s="38">
        <f>AA265/Z265*100</f>
        <v>98.729417420717368</v>
      </c>
      <c r="AC265" s="38">
        <f t="shared" si="404"/>
        <v>97.4</v>
      </c>
      <c r="AD265" s="38">
        <f t="shared" si="404"/>
        <v>486.2</v>
      </c>
      <c r="AE265" s="38">
        <f>AD265/AC265*100</f>
        <v>499.17864476386029</v>
      </c>
      <c r="AF265" s="38">
        <f t="shared" si="404"/>
        <v>19.600000000000001</v>
      </c>
      <c r="AG265" s="38">
        <f t="shared" si="404"/>
        <v>7.5</v>
      </c>
      <c r="AH265" s="38">
        <f>AG265/AF265*100</f>
        <v>38.265306122448976</v>
      </c>
      <c r="AI265" s="38">
        <f t="shared" si="404"/>
        <v>0</v>
      </c>
      <c r="AJ265" s="38">
        <f t="shared" si="404"/>
        <v>-27.1</v>
      </c>
      <c r="AK265" s="38"/>
      <c r="AL265" s="38">
        <f t="shared" si="404"/>
        <v>1053.3000000000002</v>
      </c>
      <c r="AM265" s="38">
        <f t="shared" si="404"/>
        <v>901.8</v>
      </c>
      <c r="AN265" s="38">
        <f>AM265/AL265*100</f>
        <v>85.616633437766993</v>
      </c>
      <c r="AO265" s="38">
        <f t="shared" si="404"/>
        <v>0</v>
      </c>
      <c r="AP265" s="38">
        <f t="shared" ref="AP265" si="405">AP266+AP267+AP268+AP269</f>
        <v>-1.5</v>
      </c>
      <c r="AQ265" s="23"/>
      <c r="AR265" s="34"/>
      <c r="AS265" s="34"/>
      <c r="AT265" s="100">
        <f t="shared" si="298"/>
        <v>1</v>
      </c>
      <c r="AU265" s="84">
        <f t="shared" si="360"/>
        <v>1807.5</v>
      </c>
      <c r="AV265" s="84">
        <f t="shared" si="361"/>
        <v>5739.0999999999995</v>
      </c>
      <c r="AW265" s="84">
        <f t="shared" si="362"/>
        <v>5941.1</v>
      </c>
      <c r="AX265" s="84">
        <f t="shared" si="363"/>
        <v>1053.3000000000002</v>
      </c>
    </row>
    <row r="266" spans="1:50" ht="13.5" customHeight="1" x14ac:dyDescent="0.3">
      <c r="A266" s="137"/>
      <c r="B266" s="137"/>
      <c r="C266" s="137"/>
      <c r="D266" s="37" t="s">
        <v>21</v>
      </c>
      <c r="E266" s="38">
        <f t="shared" si="387"/>
        <v>0</v>
      </c>
      <c r="F266" s="38">
        <f t="shared" si="387"/>
        <v>0</v>
      </c>
      <c r="G266" s="38"/>
      <c r="H266" s="38">
        <f t="shared" ref="H266:I269" si="406">H251+H256+H261</f>
        <v>0</v>
      </c>
      <c r="I266" s="38">
        <f t="shared" si="406"/>
        <v>0</v>
      </c>
      <c r="J266" s="23"/>
      <c r="K266" s="38">
        <f t="shared" ref="K266:AO269" si="407">K251+K256+K261</f>
        <v>0</v>
      </c>
      <c r="L266" s="38">
        <f t="shared" si="407"/>
        <v>0</v>
      </c>
      <c r="M266" s="38"/>
      <c r="N266" s="38">
        <f t="shared" si="407"/>
        <v>0</v>
      </c>
      <c r="O266" s="38">
        <f t="shared" si="407"/>
        <v>0</v>
      </c>
      <c r="P266" s="38"/>
      <c r="Q266" s="38">
        <f t="shared" si="407"/>
        <v>0</v>
      </c>
      <c r="R266" s="38">
        <f t="shared" si="407"/>
        <v>0</v>
      </c>
      <c r="S266" s="38"/>
      <c r="T266" s="38">
        <f t="shared" si="407"/>
        <v>0</v>
      </c>
      <c r="U266" s="38">
        <f t="shared" si="407"/>
        <v>0</v>
      </c>
      <c r="V266" s="38"/>
      <c r="W266" s="38">
        <f t="shared" si="407"/>
        <v>0</v>
      </c>
      <c r="X266" s="38">
        <f t="shared" si="407"/>
        <v>0</v>
      </c>
      <c r="Y266" s="38"/>
      <c r="Z266" s="38">
        <f t="shared" si="407"/>
        <v>0</v>
      </c>
      <c r="AA266" s="38">
        <f t="shared" si="407"/>
        <v>0</v>
      </c>
      <c r="AB266" s="38"/>
      <c r="AC266" s="38">
        <f t="shared" si="407"/>
        <v>0</v>
      </c>
      <c r="AD266" s="38">
        <f t="shared" si="407"/>
        <v>0</v>
      </c>
      <c r="AE266" s="38"/>
      <c r="AF266" s="38">
        <f t="shared" si="407"/>
        <v>0</v>
      </c>
      <c r="AG266" s="38">
        <f t="shared" si="407"/>
        <v>0</v>
      </c>
      <c r="AH266" s="38"/>
      <c r="AI266" s="38">
        <f t="shared" si="407"/>
        <v>0</v>
      </c>
      <c r="AJ266" s="38">
        <f t="shared" si="407"/>
        <v>0</v>
      </c>
      <c r="AK266" s="38"/>
      <c r="AL266" s="38">
        <f t="shared" si="407"/>
        <v>0</v>
      </c>
      <c r="AM266" s="38">
        <f t="shared" si="407"/>
        <v>0</v>
      </c>
      <c r="AN266" s="38"/>
      <c r="AO266" s="38">
        <f t="shared" si="407"/>
        <v>0</v>
      </c>
      <c r="AP266" s="38">
        <f t="shared" ref="AP266" si="408">AP251+AP256+AP261</f>
        <v>0</v>
      </c>
      <c r="AQ266" s="23"/>
      <c r="AR266" s="34"/>
      <c r="AS266" s="34"/>
      <c r="AT266" s="100"/>
      <c r="AU266" s="84">
        <f t="shared" si="360"/>
        <v>0</v>
      </c>
      <c r="AV266" s="84">
        <f t="shared" si="361"/>
        <v>0</v>
      </c>
      <c r="AW266" s="84">
        <f t="shared" si="362"/>
        <v>0</v>
      </c>
      <c r="AX266" s="84">
        <f t="shared" si="363"/>
        <v>0</v>
      </c>
    </row>
    <row r="267" spans="1:50" ht="25.5" customHeight="1" x14ac:dyDescent="0.3">
      <c r="A267" s="137"/>
      <c r="B267" s="137"/>
      <c r="C267" s="137"/>
      <c r="D267" s="37" t="s">
        <v>4</v>
      </c>
      <c r="E267" s="38">
        <f t="shared" si="387"/>
        <v>10378.9</v>
      </c>
      <c r="F267" s="38">
        <f t="shared" si="387"/>
        <v>10378.900000000001</v>
      </c>
      <c r="G267" s="38">
        <f t="shared" ref="G267:G268" si="409">F267/E267*100</f>
        <v>100.00000000000003</v>
      </c>
      <c r="H267" s="38">
        <f t="shared" si="406"/>
        <v>0</v>
      </c>
      <c r="I267" s="38">
        <f t="shared" si="406"/>
        <v>0</v>
      </c>
      <c r="J267" s="23"/>
      <c r="K267" s="38">
        <f t="shared" si="407"/>
        <v>0</v>
      </c>
      <c r="L267" s="38">
        <f t="shared" si="407"/>
        <v>0</v>
      </c>
      <c r="M267" s="38"/>
      <c r="N267" s="38">
        <f t="shared" si="407"/>
        <v>810.80000000000007</v>
      </c>
      <c r="O267" s="38">
        <f t="shared" si="407"/>
        <v>639.79999999999995</v>
      </c>
      <c r="P267" s="38">
        <f t="shared" ref="P267:P268" si="410">O267/N267*100</f>
        <v>78.909718796250601</v>
      </c>
      <c r="Q267" s="38">
        <f t="shared" si="407"/>
        <v>0</v>
      </c>
      <c r="R267" s="38">
        <f t="shared" si="407"/>
        <v>94.5</v>
      </c>
      <c r="S267" s="38"/>
      <c r="T267" s="38">
        <f t="shared" si="407"/>
        <v>0</v>
      </c>
      <c r="U267" s="38">
        <f t="shared" si="407"/>
        <v>0</v>
      </c>
      <c r="V267" s="38"/>
      <c r="W267" s="38">
        <f t="shared" si="407"/>
        <v>3901.2999999999997</v>
      </c>
      <c r="X267" s="38">
        <f t="shared" si="407"/>
        <v>3862.7</v>
      </c>
      <c r="Y267" s="38">
        <f t="shared" ref="Y267:Y268" si="411">X267/W267*100</f>
        <v>99.010586214851457</v>
      </c>
      <c r="Z267" s="38">
        <f t="shared" si="407"/>
        <v>5090.4000000000005</v>
      </c>
      <c r="AA267" s="38">
        <f t="shared" si="407"/>
        <v>5047.4000000000005</v>
      </c>
      <c r="AB267" s="38">
        <f t="shared" ref="AB267:AB268" si="412">AA267/Z267*100</f>
        <v>99.155272670124148</v>
      </c>
      <c r="AC267" s="38">
        <f t="shared" si="407"/>
        <v>25.4</v>
      </c>
      <c r="AD267" s="38">
        <f t="shared" si="407"/>
        <v>183.5</v>
      </c>
      <c r="AE267" s="38"/>
      <c r="AF267" s="38">
        <f t="shared" si="407"/>
        <v>7</v>
      </c>
      <c r="AG267" s="38">
        <f t="shared" si="407"/>
        <v>7.5</v>
      </c>
      <c r="AH267" s="38">
        <f t="shared" ref="AH267:AH268" si="413">AG267/AF267*100</f>
        <v>107.14285714285714</v>
      </c>
      <c r="AI267" s="38">
        <f t="shared" si="407"/>
        <v>0</v>
      </c>
      <c r="AJ267" s="38">
        <f t="shared" si="407"/>
        <v>0.5</v>
      </c>
      <c r="AK267" s="38"/>
      <c r="AL267" s="38">
        <f t="shared" si="407"/>
        <v>544</v>
      </c>
      <c r="AM267" s="38">
        <f t="shared" si="407"/>
        <v>543</v>
      </c>
      <c r="AN267" s="38">
        <f t="shared" ref="AN267:AN268" si="414">AM267/AL267*100</f>
        <v>99.816176470588232</v>
      </c>
      <c r="AO267" s="38">
        <f t="shared" si="407"/>
        <v>0</v>
      </c>
      <c r="AP267" s="38">
        <f t="shared" ref="AP267" si="415">AP252+AP257+AP262</f>
        <v>0</v>
      </c>
      <c r="AQ267" s="23"/>
      <c r="AR267" s="34"/>
      <c r="AS267" s="34"/>
      <c r="AT267" s="100">
        <f t="shared" si="298"/>
        <v>1.0000000000000002</v>
      </c>
      <c r="AU267" s="84">
        <f t="shared" si="360"/>
        <v>810.80000000000007</v>
      </c>
      <c r="AV267" s="84">
        <f t="shared" si="361"/>
        <v>3901.2999999999997</v>
      </c>
      <c r="AW267" s="84">
        <f t="shared" si="362"/>
        <v>5122.8</v>
      </c>
      <c r="AX267" s="84">
        <f t="shared" si="363"/>
        <v>544</v>
      </c>
    </row>
    <row r="268" spans="1:50" ht="14.25" customHeight="1" x14ac:dyDescent="0.3">
      <c r="A268" s="137"/>
      <c r="B268" s="137"/>
      <c r="C268" s="137"/>
      <c r="D268" s="37" t="s">
        <v>44</v>
      </c>
      <c r="E268" s="38">
        <f t="shared" si="387"/>
        <v>4162.0999999999995</v>
      </c>
      <c r="F268" s="38">
        <f t="shared" si="387"/>
        <v>4162.0999999999995</v>
      </c>
      <c r="G268" s="38">
        <f t="shared" si="409"/>
        <v>100</v>
      </c>
      <c r="H268" s="38">
        <f t="shared" si="406"/>
        <v>0</v>
      </c>
      <c r="I268" s="38">
        <f t="shared" si="406"/>
        <v>0</v>
      </c>
      <c r="J268" s="23"/>
      <c r="K268" s="38">
        <f t="shared" si="407"/>
        <v>0</v>
      </c>
      <c r="L268" s="38">
        <f t="shared" si="407"/>
        <v>0</v>
      </c>
      <c r="M268" s="38"/>
      <c r="N268" s="38">
        <f t="shared" si="407"/>
        <v>996.7</v>
      </c>
      <c r="O268" s="38">
        <f t="shared" si="407"/>
        <v>999.7</v>
      </c>
      <c r="P268" s="38">
        <f t="shared" si="410"/>
        <v>100.30099327781679</v>
      </c>
      <c r="Q268" s="38">
        <f t="shared" si="407"/>
        <v>6.7</v>
      </c>
      <c r="R268" s="38">
        <f t="shared" si="407"/>
        <v>0.60000000000000053</v>
      </c>
      <c r="S268" s="38">
        <f t="shared" ref="S268" si="416">R268/Q268*100</f>
        <v>8.955223880597023</v>
      </c>
      <c r="T268" s="38">
        <f t="shared" si="407"/>
        <v>0</v>
      </c>
      <c r="U268" s="38">
        <f t="shared" si="407"/>
        <v>0</v>
      </c>
      <c r="V268" s="38"/>
      <c r="W268" s="38">
        <f t="shared" si="407"/>
        <v>1831.1000000000001</v>
      </c>
      <c r="X268" s="38">
        <f t="shared" si="407"/>
        <v>1826.7</v>
      </c>
      <c r="Y268" s="38">
        <f t="shared" si="411"/>
        <v>99.759707279777174</v>
      </c>
      <c r="Z268" s="38">
        <f t="shared" si="407"/>
        <v>733.69999999999993</v>
      </c>
      <c r="AA268" s="38">
        <f t="shared" si="407"/>
        <v>702.7</v>
      </c>
      <c r="AB268" s="38">
        <f t="shared" si="412"/>
        <v>95.774839852800881</v>
      </c>
      <c r="AC268" s="38">
        <f t="shared" si="407"/>
        <v>72</v>
      </c>
      <c r="AD268" s="38">
        <f t="shared" si="407"/>
        <v>302.7</v>
      </c>
      <c r="AE268" s="38">
        <f t="shared" ref="AE268" si="417">AD268/AC268*100</f>
        <v>420.41666666666669</v>
      </c>
      <c r="AF268" s="38">
        <f t="shared" si="407"/>
        <v>12.600000000000001</v>
      </c>
      <c r="AG268" s="38">
        <f t="shared" si="407"/>
        <v>0</v>
      </c>
      <c r="AH268" s="38">
        <f t="shared" si="413"/>
        <v>0</v>
      </c>
      <c r="AI268" s="38">
        <f t="shared" si="407"/>
        <v>0</v>
      </c>
      <c r="AJ268" s="38">
        <f t="shared" si="407"/>
        <v>-27.6</v>
      </c>
      <c r="AK268" s="38"/>
      <c r="AL268" s="38">
        <f t="shared" si="407"/>
        <v>509.30000000000013</v>
      </c>
      <c r="AM268" s="38">
        <f t="shared" si="407"/>
        <v>358.8</v>
      </c>
      <c r="AN268" s="38">
        <f t="shared" si="414"/>
        <v>70.449636756332197</v>
      </c>
      <c r="AO268" s="38">
        <f t="shared" si="407"/>
        <v>0</v>
      </c>
      <c r="AP268" s="38">
        <f t="shared" ref="AP268" si="418">AP253+AP258+AP263</f>
        <v>-1.5</v>
      </c>
      <c r="AQ268" s="23"/>
      <c r="AR268" s="34"/>
      <c r="AS268" s="34"/>
      <c r="AT268" s="100">
        <f t="shared" si="298"/>
        <v>1</v>
      </c>
      <c r="AU268" s="84">
        <f t="shared" si="360"/>
        <v>996.7</v>
      </c>
      <c r="AV268" s="84">
        <f t="shared" si="361"/>
        <v>1837.8000000000002</v>
      </c>
      <c r="AW268" s="84">
        <f t="shared" si="362"/>
        <v>818.3</v>
      </c>
      <c r="AX268" s="84">
        <f t="shared" si="363"/>
        <v>509.30000000000013</v>
      </c>
    </row>
    <row r="269" spans="1:50" ht="15" customHeight="1" x14ac:dyDescent="0.3">
      <c r="A269" s="137"/>
      <c r="B269" s="137"/>
      <c r="C269" s="137"/>
      <c r="D269" s="37" t="s">
        <v>22</v>
      </c>
      <c r="E269" s="38">
        <f t="shared" si="387"/>
        <v>0</v>
      </c>
      <c r="F269" s="38">
        <f t="shared" si="387"/>
        <v>0</v>
      </c>
      <c r="G269" s="38"/>
      <c r="H269" s="38">
        <f t="shared" si="406"/>
        <v>0</v>
      </c>
      <c r="I269" s="38">
        <f t="shared" si="406"/>
        <v>0</v>
      </c>
      <c r="J269" s="38"/>
      <c r="K269" s="38">
        <f t="shared" si="407"/>
        <v>0</v>
      </c>
      <c r="L269" s="38">
        <f t="shared" si="407"/>
        <v>0</v>
      </c>
      <c r="M269" s="38"/>
      <c r="N269" s="38">
        <f t="shared" si="407"/>
        <v>0</v>
      </c>
      <c r="O269" s="38">
        <f t="shared" si="407"/>
        <v>0</v>
      </c>
      <c r="P269" s="38"/>
      <c r="Q269" s="38">
        <f t="shared" si="407"/>
        <v>0</v>
      </c>
      <c r="R269" s="38">
        <f t="shared" si="407"/>
        <v>0</v>
      </c>
      <c r="S269" s="38"/>
      <c r="T269" s="38">
        <f t="shared" si="407"/>
        <v>0</v>
      </c>
      <c r="U269" s="38">
        <f t="shared" si="407"/>
        <v>0</v>
      </c>
      <c r="V269" s="38"/>
      <c r="W269" s="38">
        <f t="shared" si="407"/>
        <v>0</v>
      </c>
      <c r="X269" s="38">
        <f t="shared" si="407"/>
        <v>0</v>
      </c>
      <c r="Y269" s="38"/>
      <c r="Z269" s="38">
        <f t="shared" si="407"/>
        <v>0</v>
      </c>
      <c r="AA269" s="38">
        <f t="shared" si="407"/>
        <v>0</v>
      </c>
      <c r="AB269" s="38"/>
      <c r="AC269" s="38">
        <f t="shared" si="407"/>
        <v>0</v>
      </c>
      <c r="AD269" s="38">
        <f t="shared" si="407"/>
        <v>0</v>
      </c>
      <c r="AE269" s="38"/>
      <c r="AF269" s="38">
        <f t="shared" si="407"/>
        <v>0</v>
      </c>
      <c r="AG269" s="38">
        <f t="shared" si="407"/>
        <v>0</v>
      </c>
      <c r="AH269" s="38"/>
      <c r="AI269" s="38">
        <f t="shared" si="407"/>
        <v>0</v>
      </c>
      <c r="AJ269" s="38">
        <f t="shared" si="407"/>
        <v>0</v>
      </c>
      <c r="AK269" s="38"/>
      <c r="AL269" s="38">
        <f t="shared" si="407"/>
        <v>0</v>
      </c>
      <c r="AM269" s="38">
        <f t="shared" si="407"/>
        <v>0</v>
      </c>
      <c r="AN269" s="38"/>
      <c r="AO269" s="38">
        <f t="shared" si="407"/>
        <v>0</v>
      </c>
      <c r="AP269" s="38">
        <f t="shared" ref="AP269" si="419">AP254+AP259+AP264</f>
        <v>0</v>
      </c>
      <c r="AQ269" s="26"/>
      <c r="AR269" s="34"/>
      <c r="AS269" s="34"/>
      <c r="AT269" s="100"/>
      <c r="AU269" s="83">
        <f t="shared" si="360"/>
        <v>0</v>
      </c>
      <c r="AV269" s="83">
        <f t="shared" si="361"/>
        <v>0</v>
      </c>
      <c r="AW269" s="83">
        <f t="shared" si="362"/>
        <v>0</v>
      </c>
      <c r="AX269" s="83">
        <f t="shared" si="363"/>
        <v>0</v>
      </c>
    </row>
    <row r="270" spans="1:50" ht="13.2" customHeight="1" x14ac:dyDescent="0.3">
      <c r="A270" s="125" t="s">
        <v>19</v>
      </c>
      <c r="B270" s="126"/>
      <c r="C270" s="127"/>
      <c r="D270" s="37" t="s">
        <v>3</v>
      </c>
      <c r="E270" s="38">
        <f t="shared" ref="E270:F287" si="420">H270+K270+N270+Q270+T270+W270+Z270+AC270+AF270+AI270+AL270+AO270</f>
        <v>1738619.7000000002</v>
      </c>
      <c r="F270" s="38">
        <f t="shared" si="420"/>
        <v>1686558.2293299998</v>
      </c>
      <c r="G270" s="38">
        <f>F270/E270*100</f>
        <v>97.005586059447026</v>
      </c>
      <c r="H270" s="38">
        <f>H271+H272+H273+H274</f>
        <v>33846.5</v>
      </c>
      <c r="I270" s="38">
        <f>I271+I272+I273+I274</f>
        <v>34755.899999999994</v>
      </c>
      <c r="J270" s="38">
        <f>I270/H270*100</f>
        <v>102.68683615735748</v>
      </c>
      <c r="K270" s="38">
        <f>K271+K272+K273+K274</f>
        <v>147102.70000000001</v>
      </c>
      <c r="L270" s="38">
        <f>L271+L272+L273+L274</f>
        <v>147909</v>
      </c>
      <c r="M270" s="38">
        <f>L270/K270*100</f>
        <v>100.54812046277873</v>
      </c>
      <c r="N270" s="38">
        <f>N271+N272+N273+N274</f>
        <v>133578.5</v>
      </c>
      <c r="O270" s="38">
        <f>O271+O272+O273+O274</f>
        <v>129961.8</v>
      </c>
      <c r="P270" s="38">
        <f>O270/N270*100</f>
        <v>97.292453501124811</v>
      </c>
      <c r="Q270" s="38">
        <f t="shared" ref="Q270:AH271" si="421">Q271+Q272+Q273+Q274</f>
        <v>201200.2</v>
      </c>
      <c r="R270" s="38">
        <f t="shared" si="421"/>
        <v>200975.2</v>
      </c>
      <c r="S270" s="38">
        <f t="shared" si="421"/>
        <v>398.20601559661321</v>
      </c>
      <c r="T270" s="38">
        <f t="shared" si="421"/>
        <v>148817.20000000001</v>
      </c>
      <c r="U270" s="38">
        <f t="shared" si="421"/>
        <v>147207.79999999999</v>
      </c>
      <c r="V270" s="38">
        <f t="shared" si="421"/>
        <v>388.19687776507294</v>
      </c>
      <c r="W270" s="38">
        <f t="shared" si="421"/>
        <v>215082.6</v>
      </c>
      <c r="X270" s="38">
        <f t="shared" si="421"/>
        <v>217090.6</v>
      </c>
      <c r="Y270" s="38">
        <f t="shared" si="421"/>
        <v>412.52694984451398</v>
      </c>
      <c r="Z270" s="38">
        <f t="shared" si="421"/>
        <v>137104.5</v>
      </c>
      <c r="AA270" s="38">
        <f t="shared" si="421"/>
        <v>136699.6</v>
      </c>
      <c r="AB270" s="38">
        <f t="shared" si="421"/>
        <v>197.99121025268943</v>
      </c>
      <c r="AC270" s="38">
        <f t="shared" si="421"/>
        <v>79434.899999999994</v>
      </c>
      <c r="AD270" s="38">
        <f t="shared" si="421"/>
        <v>81310.699999999983</v>
      </c>
      <c r="AE270" s="38">
        <f>AD270/AC270*100</f>
        <v>102.36143055508347</v>
      </c>
      <c r="AF270" s="38">
        <f t="shared" si="421"/>
        <v>87415.999999999985</v>
      </c>
      <c r="AG270" s="38">
        <f t="shared" si="421"/>
        <v>84590.7</v>
      </c>
      <c r="AH270" s="38">
        <f t="shared" si="421"/>
        <v>385.92649642610411</v>
      </c>
      <c r="AI270" s="38">
        <f>AI271+AI272+AI273+AI274</f>
        <v>165114.20000000001</v>
      </c>
      <c r="AJ270" s="38">
        <f t="shared" ref="AJ270:AO271" si="422">AJ271+AJ272+AJ273+AJ274</f>
        <v>137043.80000000002</v>
      </c>
      <c r="AK270" s="38">
        <f t="shared" si="422"/>
        <v>308.22692427882089</v>
      </c>
      <c r="AL270" s="38">
        <f t="shared" si="422"/>
        <v>137260.6</v>
      </c>
      <c r="AM270" s="38">
        <f t="shared" si="422"/>
        <v>125435.42000000001</v>
      </c>
      <c r="AN270" s="38">
        <f t="shared" si="422"/>
        <v>339.89458276133234</v>
      </c>
      <c r="AO270" s="38">
        <f t="shared" si="422"/>
        <v>252661.8</v>
      </c>
      <c r="AP270" s="38">
        <f t="shared" ref="AP270" si="423">AP271+AP272+AP273+AP274</f>
        <v>243577.70933000004</v>
      </c>
      <c r="AQ270" s="38">
        <f t="shared" ref="AQ270" si="424">AQ271+AQ272+AQ273+AQ274</f>
        <v>402.4885561345418</v>
      </c>
      <c r="AR270" s="34"/>
      <c r="AS270" s="34"/>
      <c r="AT270" s="100">
        <f t="shared" si="298"/>
        <v>0.97005586059447024</v>
      </c>
      <c r="AU270" s="84">
        <f t="shared" si="360"/>
        <v>314527.7</v>
      </c>
      <c r="AV270" s="84">
        <f t="shared" si="361"/>
        <v>565100</v>
      </c>
      <c r="AW270" s="84">
        <f t="shared" si="362"/>
        <v>303955.39999999997</v>
      </c>
      <c r="AX270" s="84">
        <f t="shared" si="363"/>
        <v>555036.60000000009</v>
      </c>
    </row>
    <row r="271" spans="1:50" x14ac:dyDescent="0.3">
      <c r="A271" s="128"/>
      <c r="B271" s="129"/>
      <c r="C271" s="130"/>
      <c r="D271" s="37" t="s">
        <v>21</v>
      </c>
      <c r="E271" s="38">
        <f t="shared" si="420"/>
        <v>39852.9</v>
      </c>
      <c r="F271" s="38">
        <f t="shared" si="420"/>
        <v>38451</v>
      </c>
      <c r="G271" s="38">
        <f>F271/E271*100</f>
        <v>96.482313708663597</v>
      </c>
      <c r="H271" s="38">
        <f>H30+H78+H150+H186+H222+H244+H266</f>
        <v>0</v>
      </c>
      <c r="I271" s="38"/>
      <c r="J271" s="38"/>
      <c r="K271" s="38">
        <f t="shared" ref="K271:L274" si="425">K30+K78+K150+K186+K222+K244+K266</f>
        <v>5818.8</v>
      </c>
      <c r="L271" s="38">
        <f t="shared" si="425"/>
        <v>5818.8</v>
      </c>
      <c r="M271" s="38">
        <f>L271/K271*100</f>
        <v>100</v>
      </c>
      <c r="N271" s="38">
        <f t="shared" ref="N271:O274" si="426">N30+N78+N150+N186+N222+N244+N266</f>
        <v>3184.1</v>
      </c>
      <c r="O271" s="38">
        <f t="shared" si="426"/>
        <v>3184.1</v>
      </c>
      <c r="P271" s="38">
        <f>O271/N271*100</f>
        <v>100</v>
      </c>
      <c r="Q271" s="38">
        <f t="shared" ref="Q271:R274" si="427">Q30+Q78+Q150+Q186+Q222+Q244+Q266</f>
        <v>3363.4</v>
      </c>
      <c r="R271" s="38">
        <f t="shared" si="427"/>
        <v>3363.4</v>
      </c>
      <c r="S271" s="38">
        <f t="shared" si="421"/>
        <v>199.10300779830661</v>
      </c>
      <c r="T271" s="38">
        <f t="shared" ref="T271:U274" si="428">T30+T78+T150+T186+T222+T244+T266</f>
        <v>5295.6</v>
      </c>
      <c r="U271" s="38">
        <f t="shared" si="428"/>
        <v>5305.4000000000005</v>
      </c>
      <c r="V271" s="38">
        <f t="shared" si="421"/>
        <v>194.09843888253647</v>
      </c>
      <c r="W271" s="38">
        <f t="shared" ref="W271:X274" si="429">W30+W78+W150+W186+W222+W244+W266</f>
        <v>6800.1</v>
      </c>
      <c r="X271" s="38">
        <f t="shared" si="429"/>
        <v>6790.3</v>
      </c>
      <c r="Y271" s="38">
        <f t="shared" si="421"/>
        <v>206.26347492225699</v>
      </c>
      <c r="Z271" s="38">
        <f t="shared" ref="Z271:AA274" si="430">Z30+Z78+Z150+Z186+Z222+Z244+Z266</f>
        <v>0</v>
      </c>
      <c r="AA271" s="38">
        <f t="shared" si="430"/>
        <v>0</v>
      </c>
      <c r="AB271" s="38"/>
      <c r="AC271" s="38">
        <f t="shared" ref="AC271:AD274" si="431">AC30+AC78+AC150+AC186+AC222+AC244+AC266</f>
        <v>546.70000000000005</v>
      </c>
      <c r="AD271" s="38">
        <f t="shared" si="431"/>
        <v>546.70000000000005</v>
      </c>
      <c r="AE271" s="38">
        <f>AD271/AC271*100</f>
        <v>100</v>
      </c>
      <c r="AF271" s="38">
        <f t="shared" ref="AF271:AG274" si="432">AF30+AF78+AF150+AF186+AF222+AF244+AF266</f>
        <v>2615</v>
      </c>
      <c r="AG271" s="38">
        <f t="shared" si="432"/>
        <v>2615</v>
      </c>
      <c r="AH271" s="38">
        <f t="shared" si="421"/>
        <v>192.96324821305205</v>
      </c>
      <c r="AI271" s="38">
        <f t="shared" ref="AI271:AJ274" si="433">AI30+AI78+AI150+AI186+AI222+AI244+AI266</f>
        <v>4020.6</v>
      </c>
      <c r="AJ271" s="38">
        <f t="shared" si="433"/>
        <v>3555.3</v>
      </c>
      <c r="AK271" s="38">
        <f t="shared" si="422"/>
        <v>154.11346213941044</v>
      </c>
      <c r="AL271" s="38">
        <f t="shared" ref="AL271:AM274" si="434">AL30+AL78+AL150+AL186+AL222+AL244+AL266</f>
        <v>3731.1000000000004</v>
      </c>
      <c r="AM271" s="38">
        <f t="shared" si="434"/>
        <v>3346.4</v>
      </c>
      <c r="AN271" s="38">
        <f t="shared" si="422"/>
        <v>169.94729138066617</v>
      </c>
      <c r="AO271" s="38">
        <f t="shared" ref="AO271:AP274" si="435">AO30+AO78+AO150+AO186+AO222+AO244+AO266</f>
        <v>4477.5</v>
      </c>
      <c r="AP271" s="38">
        <f t="shared" si="435"/>
        <v>3925.6</v>
      </c>
      <c r="AQ271" s="38">
        <f t="shared" ref="AQ271" si="436">AQ272+AQ273+AQ274+AQ275</f>
        <v>201.2442780672709</v>
      </c>
      <c r="AR271" s="34"/>
      <c r="AS271" s="34"/>
      <c r="AT271" s="100">
        <f t="shared" si="298"/>
        <v>0.96482313708663603</v>
      </c>
      <c r="AU271" s="84">
        <f t="shared" si="360"/>
        <v>9002.9</v>
      </c>
      <c r="AV271" s="84">
        <f t="shared" si="361"/>
        <v>15459.1</v>
      </c>
      <c r="AW271" s="84">
        <f t="shared" si="362"/>
        <v>3161.7</v>
      </c>
      <c r="AX271" s="84">
        <f t="shared" si="363"/>
        <v>12229.2</v>
      </c>
    </row>
    <row r="272" spans="1:50" ht="24.75" customHeight="1" x14ac:dyDescent="0.3">
      <c r="A272" s="128"/>
      <c r="B272" s="129"/>
      <c r="C272" s="130"/>
      <c r="D272" s="37" t="s">
        <v>4</v>
      </c>
      <c r="E272" s="38">
        <f t="shared" si="420"/>
        <v>1344503.8</v>
      </c>
      <c r="F272" s="38">
        <f t="shared" si="420"/>
        <v>1325961.5</v>
      </c>
      <c r="G272" s="38">
        <f>F272/E272*100</f>
        <v>98.620881547527048</v>
      </c>
      <c r="H272" s="38">
        <f>H31+H79+H151+H187+H223+H245+H267</f>
        <v>27456</v>
      </c>
      <c r="I272" s="38">
        <f>I31+I79+I151+I187+I223+I245+I267</f>
        <v>27424.6</v>
      </c>
      <c r="J272" s="38">
        <f>I272/H272*100</f>
        <v>99.885635198135191</v>
      </c>
      <c r="K272" s="38">
        <f t="shared" si="425"/>
        <v>101913.7</v>
      </c>
      <c r="L272" s="38">
        <f t="shared" si="425"/>
        <v>101732.40000000001</v>
      </c>
      <c r="M272" s="38">
        <f>L272/K272*100</f>
        <v>99.822104388320724</v>
      </c>
      <c r="N272" s="38">
        <f t="shared" si="426"/>
        <v>103852.3</v>
      </c>
      <c r="O272" s="38">
        <f t="shared" si="426"/>
        <v>102825.9</v>
      </c>
      <c r="P272" s="38">
        <f>O272/N272*100</f>
        <v>99.011673309113036</v>
      </c>
      <c r="Q272" s="38">
        <f t="shared" si="427"/>
        <v>164018.30000000002</v>
      </c>
      <c r="R272" s="38">
        <f t="shared" si="427"/>
        <v>164117.00000000003</v>
      </c>
      <c r="S272" s="38">
        <f>R272/Q272*100</f>
        <v>100.06017621204464</v>
      </c>
      <c r="T272" s="38">
        <f t="shared" si="428"/>
        <v>117135</v>
      </c>
      <c r="U272" s="38">
        <f t="shared" si="428"/>
        <v>117055</v>
      </c>
      <c r="V272" s="38">
        <f>U272/T272*100</f>
        <v>99.931702736159139</v>
      </c>
      <c r="W272" s="38">
        <f t="shared" si="429"/>
        <v>186270.1</v>
      </c>
      <c r="X272" s="38">
        <f t="shared" si="429"/>
        <v>186994.80000000002</v>
      </c>
      <c r="Y272" s="38">
        <f>X272/W272*100</f>
        <v>100.38905868413663</v>
      </c>
      <c r="Z272" s="38">
        <f t="shared" si="430"/>
        <v>109675.9</v>
      </c>
      <c r="AA272" s="38">
        <f t="shared" si="430"/>
        <v>109870.7</v>
      </c>
      <c r="AB272" s="38">
        <f>AA272/Z272*100</f>
        <v>100.17761422518529</v>
      </c>
      <c r="AC272" s="38">
        <f t="shared" si="431"/>
        <v>59105.1</v>
      </c>
      <c r="AD272" s="38">
        <f t="shared" si="431"/>
        <v>61314.599999999991</v>
      </c>
      <c r="AE272" s="38">
        <f>AD272/AC272*100</f>
        <v>103.73825608957601</v>
      </c>
      <c r="AF272" s="38">
        <f t="shared" si="432"/>
        <v>66137.299999999988</v>
      </c>
      <c r="AG272" s="38">
        <f t="shared" si="432"/>
        <v>64030.9</v>
      </c>
      <c r="AH272" s="38">
        <f>AG272/AF272*100</f>
        <v>96.8151103840042</v>
      </c>
      <c r="AI272" s="38">
        <f t="shared" si="433"/>
        <v>105183.6</v>
      </c>
      <c r="AJ272" s="38">
        <f t="shared" si="433"/>
        <v>101021.1</v>
      </c>
      <c r="AK272" s="38">
        <f>AJ272/AI272*100</f>
        <v>96.042634022794431</v>
      </c>
      <c r="AL272" s="38">
        <f t="shared" si="434"/>
        <v>101004.9</v>
      </c>
      <c r="AM272" s="38">
        <f t="shared" si="434"/>
        <v>98547.700000000012</v>
      </c>
      <c r="AN272" s="38">
        <f>AM272/AL272*100</f>
        <v>97.567246737534532</v>
      </c>
      <c r="AO272" s="38">
        <f t="shared" si="435"/>
        <v>202751.6</v>
      </c>
      <c r="AP272" s="38">
        <f t="shared" si="435"/>
        <v>191026.80000000002</v>
      </c>
      <c r="AQ272" s="38">
        <f>AP272/AO272*100</f>
        <v>94.217160308475982</v>
      </c>
      <c r="AR272" s="34"/>
      <c r="AS272" s="34"/>
      <c r="AT272" s="100">
        <f t="shared" si="298"/>
        <v>0.98620881547527051</v>
      </c>
      <c r="AU272" s="84">
        <f>H272+K272+N272</f>
        <v>233222</v>
      </c>
      <c r="AV272" s="84">
        <f t="shared" si="361"/>
        <v>467423.4</v>
      </c>
      <c r="AW272" s="84">
        <f t="shared" si="362"/>
        <v>234918.3</v>
      </c>
      <c r="AX272" s="84">
        <f t="shared" si="363"/>
        <v>408940.1</v>
      </c>
    </row>
    <row r="273" spans="1:50" ht="15.75" customHeight="1" x14ac:dyDescent="0.3">
      <c r="A273" s="128"/>
      <c r="B273" s="129"/>
      <c r="C273" s="130"/>
      <c r="D273" s="37" t="s">
        <v>44</v>
      </c>
      <c r="E273" s="38">
        <f t="shared" si="420"/>
        <v>354263</v>
      </c>
      <c r="F273" s="38">
        <f t="shared" si="420"/>
        <v>322145.72933</v>
      </c>
      <c r="G273" s="38">
        <f t="shared" ref="G273" si="437">F273/E273*100</f>
        <v>90.934060099417664</v>
      </c>
      <c r="H273" s="38">
        <f>H32+H80+H152+H188+H224+H246+H268</f>
        <v>6390.5</v>
      </c>
      <c r="I273" s="38">
        <f>I32+I80+I152+I188+I224+I246+I268</f>
        <v>7331.2999999999993</v>
      </c>
      <c r="J273" s="38">
        <f t="shared" ref="J273" si="438">I273/H273*100</f>
        <v>114.72185275017604</v>
      </c>
      <c r="K273" s="38">
        <f t="shared" si="425"/>
        <v>39370.200000000004</v>
      </c>
      <c r="L273" s="38">
        <f t="shared" si="425"/>
        <v>40357.800000000003</v>
      </c>
      <c r="M273" s="38">
        <f t="shared" ref="M273" si="439">L273/K273*100</f>
        <v>102.50849627383147</v>
      </c>
      <c r="N273" s="38">
        <f t="shared" si="426"/>
        <v>26542.100000000002</v>
      </c>
      <c r="O273" s="38">
        <f t="shared" si="426"/>
        <v>23951.8</v>
      </c>
      <c r="P273" s="38">
        <f t="shared" ref="P273" si="440">O273/N273*100</f>
        <v>90.240787277570348</v>
      </c>
      <c r="Q273" s="38">
        <f t="shared" si="427"/>
        <v>33818.499999999993</v>
      </c>
      <c r="R273" s="38">
        <f t="shared" si="427"/>
        <v>33494.799999999996</v>
      </c>
      <c r="S273" s="38">
        <f t="shared" ref="S273" si="441">R273/Q273*100</f>
        <v>99.042831586261968</v>
      </c>
      <c r="T273" s="38">
        <f t="shared" si="428"/>
        <v>26386.600000000002</v>
      </c>
      <c r="U273" s="38">
        <f t="shared" si="428"/>
        <v>24847.4</v>
      </c>
      <c r="V273" s="38">
        <f t="shared" ref="V273" si="442">U273/T273*100</f>
        <v>94.166736146377332</v>
      </c>
      <c r="W273" s="38">
        <f t="shared" si="429"/>
        <v>22012.399999999998</v>
      </c>
      <c r="X273" s="38">
        <f t="shared" si="429"/>
        <v>23305.5</v>
      </c>
      <c r="Y273" s="38">
        <f t="shared" ref="Y273" si="443">X273/W273*100</f>
        <v>105.87441623812035</v>
      </c>
      <c r="Z273" s="38">
        <f t="shared" si="430"/>
        <v>27428.6</v>
      </c>
      <c r="AA273" s="38">
        <f t="shared" si="430"/>
        <v>26828.899999999998</v>
      </c>
      <c r="AB273" s="38">
        <f t="shared" ref="AB273" si="444">AA273/Z273*100</f>
        <v>97.813596027504133</v>
      </c>
      <c r="AC273" s="38">
        <f t="shared" si="431"/>
        <v>19783.099999999999</v>
      </c>
      <c r="AD273" s="38">
        <f t="shared" si="431"/>
        <v>19449.400000000001</v>
      </c>
      <c r="AE273" s="38">
        <f t="shared" ref="AE273" si="445">AD273/AC273*100</f>
        <v>98.313206726953823</v>
      </c>
      <c r="AF273" s="38">
        <f t="shared" si="432"/>
        <v>18663.699999999997</v>
      </c>
      <c r="AG273" s="38">
        <f t="shared" si="432"/>
        <v>17944.8</v>
      </c>
      <c r="AH273" s="38">
        <f t="shared" ref="AH273" si="446">AG273/AF273*100</f>
        <v>96.14813782904784</v>
      </c>
      <c r="AI273" s="38">
        <f t="shared" si="433"/>
        <v>55909.999999999993</v>
      </c>
      <c r="AJ273" s="38">
        <f t="shared" si="433"/>
        <v>32467.4</v>
      </c>
      <c r="AK273" s="38">
        <f t="shared" ref="AK273" si="447">AJ273/AI273*100</f>
        <v>58.070828116615999</v>
      </c>
      <c r="AL273" s="38">
        <f t="shared" si="434"/>
        <v>32524.6</v>
      </c>
      <c r="AM273" s="38">
        <f t="shared" si="434"/>
        <v>23541.32</v>
      </c>
      <c r="AN273" s="38">
        <f t="shared" ref="AN273" si="448">AM273/AL273*100</f>
        <v>72.380044643131654</v>
      </c>
      <c r="AO273" s="38">
        <f t="shared" si="435"/>
        <v>45432.7</v>
      </c>
      <c r="AP273" s="38">
        <f t="shared" si="435"/>
        <v>48625.309330000011</v>
      </c>
      <c r="AQ273" s="38">
        <f t="shared" ref="AQ273" si="449">AP273/AO273*100</f>
        <v>107.0271177587949</v>
      </c>
      <c r="AR273" s="34"/>
      <c r="AS273" s="34"/>
      <c r="AT273" s="100">
        <f t="shared" si="298"/>
        <v>0.90934060099417668</v>
      </c>
      <c r="AU273" s="84">
        <f t="shared" si="360"/>
        <v>72302.8</v>
      </c>
      <c r="AV273" s="84">
        <f t="shared" si="361"/>
        <v>82217.499999999985</v>
      </c>
      <c r="AW273" s="84">
        <f t="shared" si="362"/>
        <v>65875.399999999994</v>
      </c>
      <c r="AX273" s="84">
        <f t="shared" si="363"/>
        <v>133867.29999999999</v>
      </c>
    </row>
    <row r="274" spans="1:50" ht="14.25" customHeight="1" x14ac:dyDescent="0.3">
      <c r="A274" s="128"/>
      <c r="B274" s="129"/>
      <c r="C274" s="130"/>
      <c r="D274" s="37" t="s">
        <v>22</v>
      </c>
      <c r="E274" s="38">
        <f t="shared" si="420"/>
        <v>0</v>
      </c>
      <c r="F274" s="38">
        <f t="shared" si="420"/>
        <v>0</v>
      </c>
      <c r="G274" s="38"/>
      <c r="H274" s="38">
        <f>H33+H81+H153+H189+H225+H247+H269</f>
        <v>0</v>
      </c>
      <c r="I274" s="38"/>
      <c r="J274" s="38"/>
      <c r="K274" s="38">
        <f t="shared" si="425"/>
        <v>0</v>
      </c>
      <c r="L274" s="38">
        <f t="shared" si="425"/>
        <v>0</v>
      </c>
      <c r="M274" s="38"/>
      <c r="N274" s="38">
        <f t="shared" si="426"/>
        <v>0</v>
      </c>
      <c r="O274" s="38">
        <f t="shared" si="426"/>
        <v>0</v>
      </c>
      <c r="P274" s="38"/>
      <c r="Q274" s="38">
        <f t="shared" si="427"/>
        <v>0</v>
      </c>
      <c r="R274" s="38">
        <f t="shared" si="427"/>
        <v>0</v>
      </c>
      <c r="S274" s="38"/>
      <c r="T274" s="38">
        <f t="shared" si="428"/>
        <v>0</v>
      </c>
      <c r="U274" s="38">
        <f t="shared" si="428"/>
        <v>0</v>
      </c>
      <c r="V274" s="38"/>
      <c r="W274" s="38">
        <f t="shared" si="429"/>
        <v>0</v>
      </c>
      <c r="X274" s="38">
        <f t="shared" si="429"/>
        <v>0</v>
      </c>
      <c r="Y274" s="38"/>
      <c r="Z274" s="38">
        <f t="shared" si="430"/>
        <v>0</v>
      </c>
      <c r="AA274" s="38">
        <f t="shared" si="430"/>
        <v>0</v>
      </c>
      <c r="AB274" s="38"/>
      <c r="AC274" s="38">
        <f t="shared" si="431"/>
        <v>0</v>
      </c>
      <c r="AD274" s="38">
        <f t="shared" si="431"/>
        <v>0</v>
      </c>
      <c r="AE274" s="38"/>
      <c r="AF274" s="38">
        <f t="shared" si="432"/>
        <v>0</v>
      </c>
      <c r="AG274" s="38">
        <f t="shared" si="432"/>
        <v>0</v>
      </c>
      <c r="AH274" s="38"/>
      <c r="AI274" s="38">
        <f t="shared" si="433"/>
        <v>0</v>
      </c>
      <c r="AJ274" s="38">
        <f t="shared" si="433"/>
        <v>0</v>
      </c>
      <c r="AK274" s="38"/>
      <c r="AL274" s="38">
        <f t="shared" si="434"/>
        <v>0</v>
      </c>
      <c r="AM274" s="38">
        <f t="shared" si="434"/>
        <v>0</v>
      </c>
      <c r="AN274" s="38"/>
      <c r="AO274" s="38">
        <f t="shared" si="435"/>
        <v>0</v>
      </c>
      <c r="AP274" s="38">
        <f t="shared" si="435"/>
        <v>0</v>
      </c>
      <c r="AQ274" s="26"/>
      <c r="AR274" s="34"/>
      <c r="AS274" s="34"/>
      <c r="AT274" s="100"/>
      <c r="AU274" s="83">
        <f t="shared" si="360"/>
        <v>0</v>
      </c>
      <c r="AV274" s="83">
        <f t="shared" si="361"/>
        <v>0</v>
      </c>
      <c r="AW274" s="83">
        <f t="shared" si="362"/>
        <v>0</v>
      </c>
      <c r="AX274" s="83">
        <f t="shared" si="363"/>
        <v>0</v>
      </c>
    </row>
    <row r="275" spans="1:50" ht="14.25" customHeight="1" x14ac:dyDescent="0.3">
      <c r="A275" s="131"/>
      <c r="B275" s="132"/>
      <c r="C275" s="133"/>
      <c r="D275" s="37" t="s">
        <v>128</v>
      </c>
      <c r="E275" s="38"/>
      <c r="F275" s="38">
        <f t="shared" si="420"/>
        <v>549.4</v>
      </c>
      <c r="G275" s="38"/>
      <c r="H275" s="38"/>
      <c r="I275" s="38"/>
      <c r="J275" s="38"/>
      <c r="K275" s="38"/>
      <c r="L275" s="38"/>
      <c r="M275" s="38"/>
      <c r="N275" s="38"/>
      <c r="O275" s="38">
        <f>O45+O242+O71</f>
        <v>358</v>
      </c>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f t="shared" ref="AP275:AQ275" si="450">AP45+AP242+AP71</f>
        <v>191.4</v>
      </c>
      <c r="AQ275" s="38">
        <f t="shared" si="450"/>
        <v>0</v>
      </c>
      <c r="AR275" s="34"/>
      <c r="AS275" s="34"/>
      <c r="AT275" s="100"/>
      <c r="AU275" s="83"/>
      <c r="AV275" s="83"/>
      <c r="AW275" s="83"/>
      <c r="AX275" s="83"/>
    </row>
    <row r="276" spans="1:50" ht="14.25" customHeight="1" x14ac:dyDescent="0.3">
      <c r="A276" s="125" t="s">
        <v>117</v>
      </c>
      <c r="B276" s="126"/>
      <c r="C276" s="127"/>
      <c r="D276" s="37" t="s">
        <v>3</v>
      </c>
      <c r="E276" s="38">
        <f>H276+K276+N276+Q276+T276+W276+Z276+AC276+AF276+AI276+AL276+AO276</f>
        <v>25090.399999999998</v>
      </c>
      <c r="F276" s="38">
        <f t="shared" si="420"/>
        <v>832.6</v>
      </c>
      <c r="G276" s="38">
        <f>F276/E276*100</f>
        <v>3.3184006632018628</v>
      </c>
      <c r="H276" s="38">
        <f>H277+H278+H279+H280</f>
        <v>0</v>
      </c>
      <c r="I276" s="38">
        <f>I277+I278+I279+I280</f>
        <v>0</v>
      </c>
      <c r="J276" s="38"/>
      <c r="K276" s="38">
        <f>K277+K278+K279+K280</f>
        <v>0</v>
      </c>
      <c r="L276" s="38">
        <f>L277+L278+L279+L280</f>
        <v>0</v>
      </c>
      <c r="M276" s="38"/>
      <c r="N276" s="38">
        <f>N277+N278+N279+N280</f>
        <v>0</v>
      </c>
      <c r="O276" s="38">
        <f>O277+O278+O279+O280</f>
        <v>0</v>
      </c>
      <c r="P276" s="38"/>
      <c r="Q276" s="38">
        <f>Q277+Q278+Q279+Q280</f>
        <v>0</v>
      </c>
      <c r="R276" s="38">
        <f>R277+R278+R279+R280</f>
        <v>0</v>
      </c>
      <c r="S276" s="38"/>
      <c r="T276" s="38">
        <f>T277+T278+T279+T280</f>
        <v>0</v>
      </c>
      <c r="U276" s="38">
        <f>U277+U278+U279+U280</f>
        <v>0</v>
      </c>
      <c r="V276" s="38"/>
      <c r="W276" s="38">
        <f>W277+W278+W279+W280</f>
        <v>0</v>
      </c>
      <c r="X276" s="38">
        <f>X277+X278+X279+X280</f>
        <v>0</v>
      </c>
      <c r="Y276" s="38"/>
      <c r="Z276" s="38">
        <f>Z277+Z278+Z279+Z280</f>
        <v>0</v>
      </c>
      <c r="AA276" s="38">
        <f>AA277+AA278+AA279+AA280</f>
        <v>0</v>
      </c>
      <c r="AB276" s="38"/>
      <c r="AC276" s="38">
        <f>AC277+AC278+AC279+AC280</f>
        <v>0</v>
      </c>
      <c r="AD276" s="38">
        <f>AD277+AD278+AD279+AD280</f>
        <v>0</v>
      </c>
      <c r="AE276" s="38"/>
      <c r="AF276" s="38">
        <f>AF277+AF278+AF279+AF280</f>
        <v>542.1</v>
      </c>
      <c r="AG276" s="38">
        <f>AG277+AG278+AG279+AG280</f>
        <v>0</v>
      </c>
      <c r="AH276" s="38"/>
      <c r="AI276" s="38">
        <f>AI277+AI278+AI279+AI280</f>
        <v>18548.3</v>
      </c>
      <c r="AJ276" s="38">
        <f>AJ277+AJ278+AJ279+AJ280</f>
        <v>0</v>
      </c>
      <c r="AK276" s="38"/>
      <c r="AL276" s="38">
        <f>AL277+AL278+AL279+AL280</f>
        <v>6000</v>
      </c>
      <c r="AM276" s="38">
        <f>AM277+AM278+AM279+AM280</f>
        <v>0</v>
      </c>
      <c r="AN276" s="38"/>
      <c r="AO276" s="38">
        <f>AO277+AO278+AO279+AO280</f>
        <v>0</v>
      </c>
      <c r="AP276" s="48">
        <f>AP277+AP278+AP279+AP280</f>
        <v>832.6</v>
      </c>
      <c r="AQ276" s="23"/>
      <c r="AR276" s="34"/>
      <c r="AS276" s="34"/>
      <c r="AT276" s="100">
        <f t="shared" ref="AT276:AT304" si="451">(I276+L276+O276+R276+U276+X276+AA276+AD276+AG276+AJ276+AM276+AP276)/(H276+K276+N276+Q276+T276+W276+Z276+AC276+AF276+AI276+AL276+AO276)</f>
        <v>3.3184006632018627E-2</v>
      </c>
      <c r="AU276" s="83">
        <f t="shared" si="360"/>
        <v>0</v>
      </c>
      <c r="AV276" s="83">
        <f t="shared" si="361"/>
        <v>0</v>
      </c>
      <c r="AW276" s="83">
        <f t="shared" si="362"/>
        <v>542.1</v>
      </c>
      <c r="AX276" s="83">
        <f t="shared" si="363"/>
        <v>24548.3</v>
      </c>
    </row>
    <row r="277" spans="1:50" ht="14.25" customHeight="1" x14ac:dyDescent="0.3">
      <c r="A277" s="128"/>
      <c r="B277" s="129"/>
      <c r="C277" s="130"/>
      <c r="D277" s="37" t="s">
        <v>21</v>
      </c>
      <c r="E277" s="38">
        <f t="shared" ref="E277:E280" si="452">H277+K277+N277+Q277+T277+W277+Z277+AC277+AF277+AI277+AL277+AO277</f>
        <v>0</v>
      </c>
      <c r="F277" s="38">
        <f t="shared" si="420"/>
        <v>0</v>
      </c>
      <c r="G277" s="38"/>
      <c r="H277" s="38">
        <f t="shared" ref="H277:I280" si="453">H41+H47</f>
        <v>0</v>
      </c>
      <c r="I277" s="38">
        <f t="shared" si="453"/>
        <v>0</v>
      </c>
      <c r="J277" s="38"/>
      <c r="K277" s="38">
        <f t="shared" ref="K277:L280" si="454">K41+K47</f>
        <v>0</v>
      </c>
      <c r="L277" s="38">
        <f t="shared" si="454"/>
        <v>0</v>
      </c>
      <c r="M277" s="38"/>
      <c r="N277" s="38">
        <f t="shared" ref="N277:O280" si="455">N41+N47</f>
        <v>0</v>
      </c>
      <c r="O277" s="38">
        <f t="shared" si="455"/>
        <v>0</v>
      </c>
      <c r="P277" s="38"/>
      <c r="Q277" s="38">
        <f t="shared" ref="Q277:R280" si="456">Q41+Q47</f>
        <v>0</v>
      </c>
      <c r="R277" s="38">
        <f t="shared" si="456"/>
        <v>0</v>
      </c>
      <c r="S277" s="38"/>
      <c r="T277" s="38">
        <f t="shared" ref="T277:U280" si="457">T41+T47</f>
        <v>0</v>
      </c>
      <c r="U277" s="38">
        <f t="shared" si="457"/>
        <v>0</v>
      </c>
      <c r="V277" s="38"/>
      <c r="W277" s="38">
        <f t="shared" ref="W277:X280" si="458">W41+W47</f>
        <v>0</v>
      </c>
      <c r="X277" s="38">
        <f t="shared" si="458"/>
        <v>0</v>
      </c>
      <c r="Y277" s="38"/>
      <c r="Z277" s="38">
        <f t="shared" ref="Z277:AA280" si="459">Z41+Z47</f>
        <v>0</v>
      </c>
      <c r="AA277" s="38">
        <f t="shared" si="459"/>
        <v>0</v>
      </c>
      <c r="AB277" s="38"/>
      <c r="AC277" s="38">
        <f t="shared" ref="AC277:AD280" si="460">AC41+AC47</f>
        <v>0</v>
      </c>
      <c r="AD277" s="38">
        <f t="shared" si="460"/>
        <v>0</v>
      </c>
      <c r="AE277" s="38"/>
      <c r="AF277" s="38">
        <f t="shared" ref="AF277:AG280" si="461">AF41+AF47</f>
        <v>0</v>
      </c>
      <c r="AG277" s="38">
        <f t="shared" si="461"/>
        <v>0</v>
      </c>
      <c r="AH277" s="38"/>
      <c r="AI277" s="38">
        <f t="shared" ref="AI277:AJ280" si="462">AI41+AI47</f>
        <v>0</v>
      </c>
      <c r="AJ277" s="38">
        <f t="shared" si="462"/>
        <v>0</v>
      </c>
      <c r="AK277" s="38"/>
      <c r="AL277" s="38">
        <f t="shared" ref="AL277:AM280" si="463">AL41+AL47</f>
        <v>0</v>
      </c>
      <c r="AM277" s="38">
        <f t="shared" si="463"/>
        <v>0</v>
      </c>
      <c r="AN277" s="38"/>
      <c r="AO277" s="38">
        <f t="shared" ref="AO277:AP280" si="464">AO41+AO47</f>
        <v>0</v>
      </c>
      <c r="AP277" s="48">
        <f t="shared" si="464"/>
        <v>0</v>
      </c>
      <c r="AQ277" s="23"/>
      <c r="AR277" s="34"/>
      <c r="AS277" s="34"/>
      <c r="AT277" s="100"/>
      <c r="AU277" s="83">
        <f t="shared" si="360"/>
        <v>0</v>
      </c>
      <c r="AV277" s="83">
        <f t="shared" si="361"/>
        <v>0</v>
      </c>
      <c r="AW277" s="83">
        <f t="shared" si="362"/>
        <v>0</v>
      </c>
      <c r="AX277" s="83">
        <f t="shared" si="363"/>
        <v>0</v>
      </c>
    </row>
    <row r="278" spans="1:50" ht="24" customHeight="1" x14ac:dyDescent="0.3">
      <c r="A278" s="128"/>
      <c r="B278" s="129"/>
      <c r="C278" s="130"/>
      <c r="D278" s="37" t="s">
        <v>4</v>
      </c>
      <c r="E278" s="38">
        <f t="shared" si="452"/>
        <v>0</v>
      </c>
      <c r="F278" s="38">
        <f t="shared" si="420"/>
        <v>0</v>
      </c>
      <c r="G278" s="38"/>
      <c r="H278" s="38">
        <f t="shared" si="453"/>
        <v>0</v>
      </c>
      <c r="I278" s="38">
        <f t="shared" si="453"/>
        <v>0</v>
      </c>
      <c r="J278" s="38"/>
      <c r="K278" s="38">
        <f t="shared" si="454"/>
        <v>0</v>
      </c>
      <c r="L278" s="38">
        <f t="shared" si="454"/>
        <v>0</v>
      </c>
      <c r="M278" s="38"/>
      <c r="N278" s="38">
        <f t="shared" si="455"/>
        <v>0</v>
      </c>
      <c r="O278" s="38">
        <f t="shared" si="455"/>
        <v>0</v>
      </c>
      <c r="P278" s="38"/>
      <c r="Q278" s="38">
        <f t="shared" si="456"/>
        <v>0</v>
      </c>
      <c r="R278" s="38">
        <f t="shared" si="456"/>
        <v>0</v>
      </c>
      <c r="S278" s="38"/>
      <c r="T278" s="38">
        <f t="shared" si="457"/>
        <v>0</v>
      </c>
      <c r="U278" s="38">
        <f t="shared" si="457"/>
        <v>0</v>
      </c>
      <c r="V278" s="38"/>
      <c r="W278" s="38">
        <f t="shared" si="458"/>
        <v>0</v>
      </c>
      <c r="X278" s="38">
        <f t="shared" si="458"/>
        <v>0</v>
      </c>
      <c r="Y278" s="38"/>
      <c r="Z278" s="38">
        <f t="shared" si="459"/>
        <v>0</v>
      </c>
      <c r="AA278" s="38">
        <f t="shared" si="459"/>
        <v>0</v>
      </c>
      <c r="AB278" s="38"/>
      <c r="AC278" s="38">
        <f t="shared" si="460"/>
        <v>0</v>
      </c>
      <c r="AD278" s="38">
        <f t="shared" si="460"/>
        <v>0</v>
      </c>
      <c r="AE278" s="38"/>
      <c r="AF278" s="38">
        <f t="shared" si="461"/>
        <v>0</v>
      </c>
      <c r="AG278" s="38">
        <f t="shared" si="461"/>
        <v>0</v>
      </c>
      <c r="AH278" s="38"/>
      <c r="AI278" s="38">
        <f t="shared" si="462"/>
        <v>0</v>
      </c>
      <c r="AJ278" s="38">
        <f t="shared" si="462"/>
        <v>0</v>
      </c>
      <c r="AK278" s="38"/>
      <c r="AL278" s="38">
        <f t="shared" si="463"/>
        <v>0</v>
      </c>
      <c r="AM278" s="38">
        <f t="shared" si="463"/>
        <v>0</v>
      </c>
      <c r="AN278" s="38"/>
      <c r="AO278" s="38">
        <f t="shared" si="464"/>
        <v>0</v>
      </c>
      <c r="AP278" s="48">
        <f t="shared" si="464"/>
        <v>0</v>
      </c>
      <c r="AQ278" s="23"/>
      <c r="AR278" s="34"/>
      <c r="AS278" s="34"/>
      <c r="AT278" s="100"/>
      <c r="AU278" s="83">
        <f t="shared" si="360"/>
        <v>0</v>
      </c>
      <c r="AV278" s="83">
        <f t="shared" si="361"/>
        <v>0</v>
      </c>
      <c r="AW278" s="83">
        <f t="shared" si="362"/>
        <v>0</v>
      </c>
      <c r="AX278" s="83">
        <f t="shared" si="363"/>
        <v>0</v>
      </c>
    </row>
    <row r="279" spans="1:50" ht="13.5" customHeight="1" x14ac:dyDescent="0.3">
      <c r="A279" s="128"/>
      <c r="B279" s="129"/>
      <c r="C279" s="130"/>
      <c r="D279" s="37" t="s">
        <v>44</v>
      </c>
      <c r="E279" s="38">
        <f t="shared" si="452"/>
        <v>25090.399999999998</v>
      </c>
      <c r="F279" s="38">
        <f t="shared" si="420"/>
        <v>832.6</v>
      </c>
      <c r="G279" s="38">
        <f t="shared" ref="G279" si="465">F279/E279*100</f>
        <v>3.3184006632018628</v>
      </c>
      <c r="H279" s="38">
        <f t="shared" si="453"/>
        <v>0</v>
      </c>
      <c r="I279" s="38">
        <f t="shared" si="453"/>
        <v>0</v>
      </c>
      <c r="J279" s="38"/>
      <c r="K279" s="38">
        <f t="shared" si="454"/>
        <v>0</v>
      </c>
      <c r="L279" s="38">
        <f t="shared" si="454"/>
        <v>0</v>
      </c>
      <c r="M279" s="38"/>
      <c r="N279" s="38">
        <f t="shared" si="455"/>
        <v>0</v>
      </c>
      <c r="O279" s="38">
        <f t="shared" si="455"/>
        <v>0</v>
      </c>
      <c r="P279" s="38"/>
      <c r="Q279" s="38">
        <f t="shared" si="456"/>
        <v>0</v>
      </c>
      <c r="R279" s="38">
        <f t="shared" si="456"/>
        <v>0</v>
      </c>
      <c r="S279" s="38"/>
      <c r="T279" s="38">
        <f t="shared" si="457"/>
        <v>0</v>
      </c>
      <c r="U279" s="38">
        <f t="shared" si="457"/>
        <v>0</v>
      </c>
      <c r="V279" s="38"/>
      <c r="W279" s="38">
        <f t="shared" si="458"/>
        <v>0</v>
      </c>
      <c r="X279" s="38">
        <f t="shared" si="458"/>
        <v>0</v>
      </c>
      <c r="Y279" s="38"/>
      <c r="Z279" s="38">
        <f t="shared" si="459"/>
        <v>0</v>
      </c>
      <c r="AA279" s="38">
        <f t="shared" si="459"/>
        <v>0</v>
      </c>
      <c r="AB279" s="38"/>
      <c r="AC279" s="38">
        <f t="shared" si="460"/>
        <v>0</v>
      </c>
      <c r="AD279" s="38">
        <f t="shared" si="460"/>
        <v>0</v>
      </c>
      <c r="AE279" s="38"/>
      <c r="AF279" s="38">
        <f t="shared" si="461"/>
        <v>542.1</v>
      </c>
      <c r="AG279" s="38">
        <f t="shared" si="461"/>
        <v>0</v>
      </c>
      <c r="AH279" s="38"/>
      <c r="AI279" s="38">
        <f t="shared" si="462"/>
        <v>18548.3</v>
      </c>
      <c r="AJ279" s="38">
        <f t="shared" si="462"/>
        <v>0</v>
      </c>
      <c r="AK279" s="38"/>
      <c r="AL279" s="38">
        <f t="shared" si="463"/>
        <v>6000</v>
      </c>
      <c r="AM279" s="38">
        <f t="shared" si="463"/>
        <v>0</v>
      </c>
      <c r="AN279" s="38"/>
      <c r="AO279" s="38">
        <f t="shared" si="464"/>
        <v>0</v>
      </c>
      <c r="AP279" s="48">
        <f t="shared" si="464"/>
        <v>832.6</v>
      </c>
      <c r="AQ279" s="23"/>
      <c r="AR279" s="34"/>
      <c r="AS279" s="34"/>
      <c r="AT279" s="100">
        <f t="shared" si="451"/>
        <v>3.3184006632018627E-2</v>
      </c>
      <c r="AU279" s="83">
        <f t="shared" si="360"/>
        <v>0</v>
      </c>
      <c r="AV279" s="83">
        <f t="shared" si="361"/>
        <v>0</v>
      </c>
      <c r="AW279" s="83">
        <f t="shared" si="362"/>
        <v>542.1</v>
      </c>
      <c r="AX279" s="83">
        <f t="shared" si="363"/>
        <v>24548.3</v>
      </c>
    </row>
    <row r="280" spans="1:50" x14ac:dyDescent="0.3">
      <c r="A280" s="128"/>
      <c r="B280" s="129"/>
      <c r="C280" s="130"/>
      <c r="D280" s="37" t="s">
        <v>22</v>
      </c>
      <c r="E280" s="38">
        <f t="shared" si="452"/>
        <v>0</v>
      </c>
      <c r="F280" s="38">
        <f t="shared" si="420"/>
        <v>0</v>
      </c>
      <c r="G280" s="38"/>
      <c r="H280" s="38">
        <f t="shared" si="453"/>
        <v>0</v>
      </c>
      <c r="I280" s="38">
        <f t="shared" si="453"/>
        <v>0</v>
      </c>
      <c r="J280" s="38"/>
      <c r="K280" s="38">
        <f t="shared" si="454"/>
        <v>0</v>
      </c>
      <c r="L280" s="38">
        <f t="shared" si="454"/>
        <v>0</v>
      </c>
      <c r="M280" s="38"/>
      <c r="N280" s="38">
        <f t="shared" si="455"/>
        <v>0</v>
      </c>
      <c r="O280" s="38">
        <f t="shared" si="455"/>
        <v>0</v>
      </c>
      <c r="P280" s="38"/>
      <c r="Q280" s="38">
        <f t="shared" si="456"/>
        <v>0</v>
      </c>
      <c r="R280" s="38">
        <f t="shared" si="456"/>
        <v>0</v>
      </c>
      <c r="S280" s="38"/>
      <c r="T280" s="38">
        <f t="shared" si="457"/>
        <v>0</v>
      </c>
      <c r="U280" s="38">
        <f t="shared" si="457"/>
        <v>0</v>
      </c>
      <c r="V280" s="38"/>
      <c r="W280" s="38">
        <f t="shared" si="458"/>
        <v>0</v>
      </c>
      <c r="X280" s="38">
        <f t="shared" si="458"/>
        <v>0</v>
      </c>
      <c r="Y280" s="38"/>
      <c r="Z280" s="38">
        <f t="shared" si="459"/>
        <v>0</v>
      </c>
      <c r="AA280" s="38">
        <f t="shared" si="459"/>
        <v>0</v>
      </c>
      <c r="AB280" s="38"/>
      <c r="AC280" s="38">
        <f t="shared" si="460"/>
        <v>0</v>
      </c>
      <c r="AD280" s="38">
        <f t="shared" si="460"/>
        <v>0</v>
      </c>
      <c r="AE280" s="38"/>
      <c r="AF280" s="38">
        <f t="shared" si="461"/>
        <v>0</v>
      </c>
      <c r="AG280" s="38">
        <f t="shared" si="461"/>
        <v>0</v>
      </c>
      <c r="AH280" s="38"/>
      <c r="AI280" s="38">
        <f t="shared" si="462"/>
        <v>0</v>
      </c>
      <c r="AJ280" s="38">
        <f t="shared" si="462"/>
        <v>0</v>
      </c>
      <c r="AK280" s="38"/>
      <c r="AL280" s="38">
        <f t="shared" si="463"/>
        <v>0</v>
      </c>
      <c r="AM280" s="38">
        <f t="shared" si="463"/>
        <v>0</v>
      </c>
      <c r="AN280" s="38"/>
      <c r="AO280" s="38">
        <f t="shared" si="464"/>
        <v>0</v>
      </c>
      <c r="AP280" s="48">
        <f t="shared" si="464"/>
        <v>0</v>
      </c>
      <c r="AQ280" s="26"/>
      <c r="AR280" s="34"/>
      <c r="AS280" s="34"/>
      <c r="AT280" s="100"/>
      <c r="AU280" s="83">
        <f t="shared" si="360"/>
        <v>0</v>
      </c>
      <c r="AV280" s="83">
        <f t="shared" si="361"/>
        <v>0</v>
      </c>
      <c r="AW280" s="83">
        <f t="shared" si="362"/>
        <v>0</v>
      </c>
      <c r="AX280" s="83">
        <f t="shared" si="363"/>
        <v>0</v>
      </c>
    </row>
    <row r="281" spans="1:50" ht="14.25" customHeight="1" x14ac:dyDescent="0.3">
      <c r="A281" s="131"/>
      <c r="B281" s="132"/>
      <c r="C281" s="133"/>
      <c r="D281" s="37" t="s">
        <v>128</v>
      </c>
      <c r="E281" s="38"/>
      <c r="F281" s="38">
        <f t="shared" si="420"/>
        <v>191.4</v>
      </c>
      <c r="G281" s="38"/>
      <c r="H281" s="38"/>
      <c r="I281" s="38"/>
      <c r="J281" s="38"/>
      <c r="K281" s="38"/>
      <c r="L281" s="38"/>
      <c r="M281" s="38"/>
      <c r="N281" s="38"/>
      <c r="O281" s="38">
        <f>O45</f>
        <v>0</v>
      </c>
      <c r="P281" s="38"/>
      <c r="Q281" s="38"/>
      <c r="R281" s="38">
        <f>R45</f>
        <v>0</v>
      </c>
      <c r="S281" s="38"/>
      <c r="T281" s="38"/>
      <c r="U281" s="38"/>
      <c r="V281" s="38"/>
      <c r="W281" s="38"/>
      <c r="X281" s="38"/>
      <c r="Y281" s="38"/>
      <c r="Z281" s="38"/>
      <c r="AA281" s="38"/>
      <c r="AB281" s="38"/>
      <c r="AC281" s="38"/>
      <c r="AD281" s="38"/>
      <c r="AE281" s="38"/>
      <c r="AF281" s="38"/>
      <c r="AG281" s="38">
        <f>AG45</f>
        <v>0</v>
      </c>
      <c r="AH281" s="38"/>
      <c r="AI281" s="38"/>
      <c r="AJ281" s="38"/>
      <c r="AK281" s="38"/>
      <c r="AL281" s="38"/>
      <c r="AM281" s="38"/>
      <c r="AN281" s="38"/>
      <c r="AO281" s="38"/>
      <c r="AP281" s="48">
        <f>AP45</f>
        <v>191.4</v>
      </c>
      <c r="AQ281" s="26"/>
      <c r="AR281" s="34"/>
      <c r="AS281" s="34"/>
      <c r="AT281" s="100"/>
      <c r="AU281" s="83"/>
      <c r="AV281" s="83"/>
      <c r="AW281" s="83"/>
      <c r="AX281" s="83"/>
    </row>
    <row r="282" spans="1:50" ht="12.6" customHeight="1" x14ac:dyDescent="0.3">
      <c r="A282" s="125" t="s">
        <v>118</v>
      </c>
      <c r="B282" s="126"/>
      <c r="C282" s="127"/>
      <c r="D282" s="37" t="s">
        <v>3</v>
      </c>
      <c r="E282" s="38">
        <f>H282+K282+N282+Q282+T282+W282+Z282+AC282+AF282+AI282+AL282+AO282</f>
        <v>1713529.3</v>
      </c>
      <c r="F282" s="38">
        <f t="shared" si="420"/>
        <v>1685725.6293299999</v>
      </c>
      <c r="G282" s="38">
        <f>F282/E282*100</f>
        <v>98.377403253623967</v>
      </c>
      <c r="H282" s="38">
        <f>H283+H284+H285+H286</f>
        <v>33846.5</v>
      </c>
      <c r="I282" s="38">
        <f>I283+I284+I285+I286</f>
        <v>34755.899999999994</v>
      </c>
      <c r="J282" s="38">
        <f>I282/H282*100</f>
        <v>102.68683615735748</v>
      </c>
      <c r="K282" s="38">
        <f>K283+K284+K285+K286</f>
        <v>147102.70000000001</v>
      </c>
      <c r="L282" s="38">
        <f>L283+L284+L285+L286</f>
        <v>147909</v>
      </c>
      <c r="M282" s="38">
        <f>L282/K282*100</f>
        <v>100.54812046277873</v>
      </c>
      <c r="N282" s="38">
        <f>N283+N284+N285+N286</f>
        <v>133578.5</v>
      </c>
      <c r="O282" s="38">
        <f>O283+O284+O285+O286</f>
        <v>129961.8</v>
      </c>
      <c r="P282" s="38">
        <f>O282/N282*100</f>
        <v>97.292453501124811</v>
      </c>
      <c r="Q282" s="38">
        <f>Q283+Q284+Q285+Q286</f>
        <v>201200.2</v>
      </c>
      <c r="R282" s="38">
        <f>R283+R284+R285+R286</f>
        <v>200975.2</v>
      </c>
      <c r="S282" s="38">
        <f>R282/Q282*100</f>
        <v>99.888171085317012</v>
      </c>
      <c r="T282" s="38">
        <f>T283+T284+T285+T286</f>
        <v>148817.20000000001</v>
      </c>
      <c r="U282" s="38">
        <f>U283+U284+U285+U286</f>
        <v>147207.79999999999</v>
      </c>
      <c r="V282" s="38">
        <f>U282/T282*100</f>
        <v>98.918538986084926</v>
      </c>
      <c r="W282" s="38">
        <f>W283+W284+W285+W286</f>
        <v>215082.6</v>
      </c>
      <c r="X282" s="38">
        <f>X283+X284+X285+X286</f>
        <v>217090.6</v>
      </c>
      <c r="Y282" s="38">
        <f>X282/W282*100</f>
        <v>100.93359481427136</v>
      </c>
      <c r="Z282" s="38">
        <f>Z283+Z284+Z285+Z286</f>
        <v>137104.5</v>
      </c>
      <c r="AA282" s="38">
        <f>AA283+AA284+AA285+AA286</f>
        <v>136699.6</v>
      </c>
      <c r="AB282" s="38">
        <f>AA282/Z282*100</f>
        <v>99.704677818744102</v>
      </c>
      <c r="AC282" s="38">
        <f>AC283+AC284+AC285+AC286</f>
        <v>79434.899999999994</v>
      </c>
      <c r="AD282" s="38">
        <f>AD283+AD284+AD285+AD286</f>
        <v>81310.699999999983</v>
      </c>
      <c r="AE282" s="38">
        <f>AD282/AC282*100</f>
        <v>102.36143055508347</v>
      </c>
      <c r="AF282" s="38">
        <f>AF283+AF284+AF285+AF286</f>
        <v>86873.9</v>
      </c>
      <c r="AG282" s="38">
        <f>AG283+AG284+AG285+AG286</f>
        <v>84590.7</v>
      </c>
      <c r="AH282" s="38">
        <f>AG282/AF282*100</f>
        <v>97.371822837469026</v>
      </c>
      <c r="AI282" s="38">
        <f>AI283+AI284+AI285+AI286</f>
        <v>146565.90000000002</v>
      </c>
      <c r="AJ282" s="38">
        <f>AJ283+AJ284+AJ285+AJ286</f>
        <v>137043.80000000002</v>
      </c>
      <c r="AK282" s="38">
        <f>AJ282/AI282*100</f>
        <v>93.503195490902044</v>
      </c>
      <c r="AL282" s="38">
        <f>AL283+AL284+AL285+AL286</f>
        <v>131260.6</v>
      </c>
      <c r="AM282" s="38">
        <f>AM283+AM284+AM285+AM286</f>
        <v>125435.42000000001</v>
      </c>
      <c r="AN282" s="38">
        <f>AM282/AL282*100</f>
        <v>95.562126030202521</v>
      </c>
      <c r="AO282" s="38">
        <f>AO283+AO284+AO285+AO286</f>
        <v>252661.8</v>
      </c>
      <c r="AP282" s="38">
        <f>AP283+AP284+AP285+AP286</f>
        <v>242745.10933000004</v>
      </c>
      <c r="AQ282" s="38">
        <f>AP282/AO282*100</f>
        <v>96.075112791090717</v>
      </c>
      <c r="AR282" s="34"/>
      <c r="AS282" s="34"/>
      <c r="AT282" s="100">
        <f t="shared" si="451"/>
        <v>0.98377403253623963</v>
      </c>
      <c r="AU282" s="83">
        <f t="shared" si="360"/>
        <v>314527.7</v>
      </c>
      <c r="AV282" s="83">
        <f t="shared" si="361"/>
        <v>565100</v>
      </c>
      <c r="AW282" s="83">
        <f t="shared" si="362"/>
        <v>303413.3</v>
      </c>
      <c r="AX282" s="83">
        <f t="shared" si="363"/>
        <v>530488.30000000005</v>
      </c>
    </row>
    <row r="283" spans="1:50" x14ac:dyDescent="0.3">
      <c r="A283" s="128"/>
      <c r="B283" s="129"/>
      <c r="C283" s="130"/>
      <c r="D283" s="37" t="s">
        <v>21</v>
      </c>
      <c r="E283" s="38">
        <f t="shared" ref="E283:E286" si="466">H283+K283+N283+Q283+T283+W283+Z283+AC283+AF283+AI283+AL283+AO283</f>
        <v>39852.9</v>
      </c>
      <c r="F283" s="38">
        <f t="shared" si="420"/>
        <v>38451</v>
      </c>
      <c r="G283" s="38">
        <f>F283/E283*100</f>
        <v>96.482313708663597</v>
      </c>
      <c r="H283" s="38">
        <f t="shared" ref="H283:I287" si="467">H271-H277</f>
        <v>0</v>
      </c>
      <c r="I283" s="38">
        <f t="shared" si="467"/>
        <v>0</v>
      </c>
      <c r="J283" s="38"/>
      <c r="K283" s="38">
        <f t="shared" ref="K283:L287" si="468">K271-K277</f>
        <v>5818.8</v>
      </c>
      <c r="L283" s="38">
        <f t="shared" si="468"/>
        <v>5818.8</v>
      </c>
      <c r="M283" s="38">
        <f>L283/K283*100</f>
        <v>100</v>
      </c>
      <c r="N283" s="38">
        <f t="shared" ref="N283:O287" si="469">N271-N277</f>
        <v>3184.1</v>
      </c>
      <c r="O283" s="38">
        <f t="shared" si="469"/>
        <v>3184.1</v>
      </c>
      <c r="P283" s="38">
        <f>O283/N283*100</f>
        <v>100</v>
      </c>
      <c r="Q283" s="38">
        <f t="shared" ref="Q283:R287" si="470">Q271-Q277</f>
        <v>3363.4</v>
      </c>
      <c r="R283" s="38">
        <f t="shared" si="470"/>
        <v>3363.4</v>
      </c>
      <c r="S283" s="38">
        <f>R283/Q283*100</f>
        <v>100</v>
      </c>
      <c r="T283" s="38">
        <f t="shared" ref="T283:U287" si="471">T271-T277</f>
        <v>5295.6</v>
      </c>
      <c r="U283" s="38">
        <f t="shared" si="471"/>
        <v>5305.4000000000005</v>
      </c>
      <c r="V283" s="38">
        <f>U283/T283*100</f>
        <v>100.18505929450865</v>
      </c>
      <c r="W283" s="38">
        <f t="shared" ref="W283:X287" si="472">W271-W277</f>
        <v>6800.1</v>
      </c>
      <c r="X283" s="38">
        <f t="shared" si="472"/>
        <v>6790.3</v>
      </c>
      <c r="Y283" s="38">
        <f>X283/W283*100</f>
        <v>99.855884472287173</v>
      </c>
      <c r="Z283" s="38">
        <f t="shared" ref="Z283:AA287" si="473">Z271-Z277</f>
        <v>0</v>
      </c>
      <c r="AA283" s="38">
        <f t="shared" si="473"/>
        <v>0</v>
      </c>
      <c r="AB283" s="38"/>
      <c r="AC283" s="38">
        <f t="shared" ref="AC283:AD287" si="474">AC271-AC277</f>
        <v>546.70000000000005</v>
      </c>
      <c r="AD283" s="38">
        <f t="shared" si="474"/>
        <v>546.70000000000005</v>
      </c>
      <c r="AE283" s="38">
        <f>AD283/AC283*100</f>
        <v>100</v>
      </c>
      <c r="AF283" s="38">
        <f t="shared" ref="AF283:AG287" si="475">AF271-AF277</f>
        <v>2615</v>
      </c>
      <c r="AG283" s="38">
        <f t="shared" si="475"/>
        <v>2615</v>
      </c>
      <c r="AH283" s="38">
        <f>AG283/AF283*100</f>
        <v>100</v>
      </c>
      <c r="AI283" s="38">
        <f t="shared" ref="AI283:AJ287" si="476">AI271-AI277</f>
        <v>4020.6</v>
      </c>
      <c r="AJ283" s="38">
        <f t="shared" si="476"/>
        <v>3555.3</v>
      </c>
      <c r="AK283" s="38">
        <f>AJ283/AI283*100</f>
        <v>88.427100432771226</v>
      </c>
      <c r="AL283" s="38">
        <f t="shared" ref="AL283:AM287" si="477">AL271-AL277</f>
        <v>3731.1000000000004</v>
      </c>
      <c r="AM283" s="38">
        <f t="shared" si="477"/>
        <v>3346.4</v>
      </c>
      <c r="AN283" s="38">
        <f>AM283/AL283*100</f>
        <v>89.68936774677708</v>
      </c>
      <c r="AO283" s="38">
        <f t="shared" ref="AO283:AP287" si="478">AO271-AO277</f>
        <v>4477.5</v>
      </c>
      <c r="AP283" s="38">
        <f t="shared" ref="AP283" si="479">AP271-AP277</f>
        <v>3925.6</v>
      </c>
      <c r="AQ283" s="38">
        <f>AP283/AO283*100</f>
        <v>87.673925181462863</v>
      </c>
      <c r="AR283" s="34"/>
      <c r="AS283" s="34"/>
      <c r="AT283" s="100">
        <f t="shared" si="451"/>
        <v>0.96482313708663603</v>
      </c>
      <c r="AU283" s="83">
        <f t="shared" si="360"/>
        <v>9002.9</v>
      </c>
      <c r="AV283" s="83">
        <f t="shared" si="361"/>
        <v>15459.1</v>
      </c>
      <c r="AW283" s="83">
        <f t="shared" si="362"/>
        <v>3161.7</v>
      </c>
      <c r="AX283" s="83">
        <f t="shared" si="363"/>
        <v>12229.2</v>
      </c>
    </row>
    <row r="284" spans="1:50" ht="25.5" customHeight="1" x14ac:dyDescent="0.3">
      <c r="A284" s="128"/>
      <c r="B284" s="129"/>
      <c r="C284" s="130"/>
      <c r="D284" s="37" t="s">
        <v>4</v>
      </c>
      <c r="E284" s="38">
        <f t="shared" si="466"/>
        <v>1344503.8</v>
      </c>
      <c r="F284" s="38">
        <f t="shared" si="420"/>
        <v>1325961.5</v>
      </c>
      <c r="G284" s="38">
        <f>F284/E284*100</f>
        <v>98.620881547527048</v>
      </c>
      <c r="H284" s="38">
        <f t="shared" si="467"/>
        <v>27456</v>
      </c>
      <c r="I284" s="38">
        <f t="shared" si="467"/>
        <v>27424.6</v>
      </c>
      <c r="J284" s="38">
        <f>I284/H284*100</f>
        <v>99.885635198135191</v>
      </c>
      <c r="K284" s="38">
        <f t="shared" si="468"/>
        <v>101913.7</v>
      </c>
      <c r="L284" s="38">
        <f t="shared" si="468"/>
        <v>101732.40000000001</v>
      </c>
      <c r="M284" s="38">
        <f>L284/K284*100</f>
        <v>99.822104388320724</v>
      </c>
      <c r="N284" s="38">
        <f t="shared" si="469"/>
        <v>103852.3</v>
      </c>
      <c r="O284" s="38">
        <f t="shared" si="469"/>
        <v>102825.9</v>
      </c>
      <c r="P284" s="38">
        <f>O284/N284*100</f>
        <v>99.011673309113036</v>
      </c>
      <c r="Q284" s="38">
        <f t="shared" si="470"/>
        <v>164018.30000000002</v>
      </c>
      <c r="R284" s="38">
        <f t="shared" si="470"/>
        <v>164117.00000000003</v>
      </c>
      <c r="S284" s="38">
        <f>R284/Q284*100</f>
        <v>100.06017621204464</v>
      </c>
      <c r="T284" s="38">
        <f t="shared" si="471"/>
        <v>117135</v>
      </c>
      <c r="U284" s="38">
        <f t="shared" si="471"/>
        <v>117055</v>
      </c>
      <c r="V284" s="38">
        <f>U284/T284*100</f>
        <v>99.931702736159139</v>
      </c>
      <c r="W284" s="38">
        <f t="shared" si="472"/>
        <v>186270.1</v>
      </c>
      <c r="X284" s="38">
        <f t="shared" si="472"/>
        <v>186994.80000000002</v>
      </c>
      <c r="Y284" s="38">
        <f>X284/W284*100</f>
        <v>100.38905868413663</v>
      </c>
      <c r="Z284" s="38">
        <f t="shared" si="473"/>
        <v>109675.9</v>
      </c>
      <c r="AA284" s="38">
        <f t="shared" si="473"/>
        <v>109870.7</v>
      </c>
      <c r="AB284" s="38">
        <f>AA284/Z284*100</f>
        <v>100.17761422518529</v>
      </c>
      <c r="AC284" s="38">
        <f t="shared" si="474"/>
        <v>59105.1</v>
      </c>
      <c r="AD284" s="38">
        <f t="shared" si="474"/>
        <v>61314.599999999991</v>
      </c>
      <c r="AE284" s="38">
        <f>AD284/AC284*100</f>
        <v>103.73825608957601</v>
      </c>
      <c r="AF284" s="38">
        <f t="shared" si="475"/>
        <v>66137.299999999988</v>
      </c>
      <c r="AG284" s="38">
        <f t="shared" si="475"/>
        <v>64030.9</v>
      </c>
      <c r="AH284" s="38">
        <f>AG284/AF284*100</f>
        <v>96.8151103840042</v>
      </c>
      <c r="AI284" s="38">
        <f t="shared" si="476"/>
        <v>105183.6</v>
      </c>
      <c r="AJ284" s="38">
        <f t="shared" si="476"/>
        <v>101021.1</v>
      </c>
      <c r="AK284" s="38">
        <f>AJ284/AI284*100</f>
        <v>96.042634022794431</v>
      </c>
      <c r="AL284" s="38">
        <f t="shared" si="477"/>
        <v>101004.9</v>
      </c>
      <c r="AM284" s="38">
        <f t="shared" si="477"/>
        <v>98547.700000000012</v>
      </c>
      <c r="AN284" s="38">
        <f>AM284/AL284*100</f>
        <v>97.567246737534532</v>
      </c>
      <c r="AO284" s="38">
        <f t="shared" si="478"/>
        <v>202751.6</v>
      </c>
      <c r="AP284" s="38">
        <f t="shared" ref="AP284" si="480">AP272-AP278</f>
        <v>191026.80000000002</v>
      </c>
      <c r="AQ284" s="38">
        <f>AP284/AO284*100</f>
        <v>94.217160308475982</v>
      </c>
      <c r="AR284" s="34"/>
      <c r="AS284" s="34"/>
      <c r="AT284" s="100">
        <f t="shared" si="451"/>
        <v>0.98620881547527051</v>
      </c>
      <c r="AU284" s="83">
        <f t="shared" si="360"/>
        <v>233222</v>
      </c>
      <c r="AV284" s="83">
        <f t="shared" si="361"/>
        <v>467423.4</v>
      </c>
      <c r="AW284" s="83">
        <f t="shared" si="362"/>
        <v>234918.3</v>
      </c>
      <c r="AX284" s="83">
        <f t="shared" si="363"/>
        <v>408940.1</v>
      </c>
    </row>
    <row r="285" spans="1:50" ht="12.75" customHeight="1" x14ac:dyDescent="0.3">
      <c r="A285" s="128"/>
      <c r="B285" s="129"/>
      <c r="C285" s="130"/>
      <c r="D285" s="37" t="s">
        <v>44</v>
      </c>
      <c r="E285" s="38">
        <f t="shared" si="466"/>
        <v>329172.59999999998</v>
      </c>
      <c r="F285" s="38">
        <f t="shared" si="420"/>
        <v>321313.12933000003</v>
      </c>
      <c r="G285" s="38">
        <f t="shared" ref="G285" si="481">F285/E285*100</f>
        <v>97.612355745891378</v>
      </c>
      <c r="H285" s="38">
        <f t="shared" si="467"/>
        <v>6390.5</v>
      </c>
      <c r="I285" s="38">
        <f t="shared" si="467"/>
        <v>7331.2999999999993</v>
      </c>
      <c r="J285" s="38">
        <f t="shared" ref="J285" si="482">I285/H285*100</f>
        <v>114.72185275017604</v>
      </c>
      <c r="K285" s="38">
        <f t="shared" si="468"/>
        <v>39370.200000000004</v>
      </c>
      <c r="L285" s="38">
        <f t="shared" si="468"/>
        <v>40357.800000000003</v>
      </c>
      <c r="M285" s="38">
        <f t="shared" ref="M285" si="483">L285/K285*100</f>
        <v>102.50849627383147</v>
      </c>
      <c r="N285" s="38">
        <f t="shared" si="469"/>
        <v>26542.100000000002</v>
      </c>
      <c r="O285" s="38">
        <f t="shared" si="469"/>
        <v>23951.8</v>
      </c>
      <c r="P285" s="38">
        <f t="shared" ref="P285" si="484">O285/N285*100</f>
        <v>90.240787277570348</v>
      </c>
      <c r="Q285" s="38">
        <f t="shared" si="470"/>
        <v>33818.499999999993</v>
      </c>
      <c r="R285" s="38">
        <f t="shared" si="470"/>
        <v>33494.799999999996</v>
      </c>
      <c r="S285" s="38">
        <f t="shared" ref="S285" si="485">R285/Q285*100</f>
        <v>99.042831586261968</v>
      </c>
      <c r="T285" s="38">
        <f t="shared" si="471"/>
        <v>26386.600000000002</v>
      </c>
      <c r="U285" s="38">
        <f t="shared" si="471"/>
        <v>24847.4</v>
      </c>
      <c r="V285" s="38">
        <f t="shared" ref="V285" si="486">U285/T285*100</f>
        <v>94.166736146377332</v>
      </c>
      <c r="W285" s="38">
        <f t="shared" si="472"/>
        <v>22012.399999999998</v>
      </c>
      <c r="X285" s="38">
        <f t="shared" si="472"/>
        <v>23305.5</v>
      </c>
      <c r="Y285" s="38">
        <f t="shared" ref="Y285" si="487">X285/W285*100</f>
        <v>105.87441623812035</v>
      </c>
      <c r="Z285" s="38">
        <f t="shared" si="473"/>
        <v>27428.6</v>
      </c>
      <c r="AA285" s="38">
        <f t="shared" si="473"/>
        <v>26828.899999999998</v>
      </c>
      <c r="AB285" s="38">
        <f t="shared" ref="AB285" si="488">AA285/Z285*100</f>
        <v>97.813596027504133</v>
      </c>
      <c r="AC285" s="38">
        <f t="shared" si="474"/>
        <v>19783.099999999999</v>
      </c>
      <c r="AD285" s="38">
        <f t="shared" si="474"/>
        <v>19449.400000000001</v>
      </c>
      <c r="AE285" s="38">
        <f t="shared" ref="AE285" si="489">AD285/AC285*100</f>
        <v>98.313206726953823</v>
      </c>
      <c r="AF285" s="38">
        <f t="shared" si="475"/>
        <v>18121.599999999999</v>
      </c>
      <c r="AG285" s="38">
        <f t="shared" si="475"/>
        <v>17944.8</v>
      </c>
      <c r="AH285" s="38">
        <f t="shared" ref="AH285" si="490">AG285/AF285*100</f>
        <v>99.024368709164762</v>
      </c>
      <c r="AI285" s="38">
        <f t="shared" si="476"/>
        <v>37361.699999999997</v>
      </c>
      <c r="AJ285" s="38">
        <f t="shared" si="476"/>
        <v>32467.4</v>
      </c>
      <c r="AK285" s="38">
        <f t="shared" ref="AK285" si="491">AJ285/AI285*100</f>
        <v>86.900221349670929</v>
      </c>
      <c r="AL285" s="38">
        <f t="shared" si="477"/>
        <v>26524.6</v>
      </c>
      <c r="AM285" s="38">
        <f t="shared" si="477"/>
        <v>23541.32</v>
      </c>
      <c r="AN285" s="38">
        <f t="shared" ref="AN285" si="492">AM285/AL285*100</f>
        <v>88.752780437782292</v>
      </c>
      <c r="AO285" s="38">
        <f t="shared" si="478"/>
        <v>45432.7</v>
      </c>
      <c r="AP285" s="38">
        <f t="shared" ref="AP285" si="493">AP273-AP279</f>
        <v>47792.709330000012</v>
      </c>
      <c r="AQ285" s="38">
        <f t="shared" ref="AQ285" si="494">AP285/AO285*100</f>
        <v>105.19451701087546</v>
      </c>
      <c r="AR285" s="34"/>
      <c r="AS285" s="34"/>
      <c r="AT285" s="100">
        <f t="shared" si="451"/>
        <v>0.97612355745891377</v>
      </c>
      <c r="AU285" s="83">
        <f t="shared" si="360"/>
        <v>72302.8</v>
      </c>
      <c r="AV285" s="83">
        <f t="shared" si="361"/>
        <v>82217.499999999985</v>
      </c>
      <c r="AW285" s="83">
        <f t="shared" si="362"/>
        <v>65333.299999999996</v>
      </c>
      <c r="AX285" s="83">
        <f t="shared" si="363"/>
        <v>109319</v>
      </c>
    </row>
    <row r="286" spans="1:50" x14ac:dyDescent="0.3">
      <c r="A286" s="128"/>
      <c r="B286" s="129"/>
      <c r="C286" s="130"/>
      <c r="D286" s="37" t="s">
        <v>22</v>
      </c>
      <c r="E286" s="38">
        <f t="shared" si="466"/>
        <v>0</v>
      </c>
      <c r="F286" s="38">
        <f t="shared" si="420"/>
        <v>0</v>
      </c>
      <c r="G286" s="38"/>
      <c r="H286" s="38">
        <f t="shared" si="467"/>
        <v>0</v>
      </c>
      <c r="I286" s="38">
        <f t="shared" si="467"/>
        <v>0</v>
      </c>
      <c r="J286" s="38"/>
      <c r="K286" s="38">
        <f t="shared" si="468"/>
        <v>0</v>
      </c>
      <c r="L286" s="38">
        <f t="shared" si="468"/>
        <v>0</v>
      </c>
      <c r="M286" s="38"/>
      <c r="N286" s="38">
        <f t="shared" si="469"/>
        <v>0</v>
      </c>
      <c r="O286" s="38">
        <f t="shared" si="469"/>
        <v>0</v>
      </c>
      <c r="P286" s="38"/>
      <c r="Q286" s="38">
        <f t="shared" si="470"/>
        <v>0</v>
      </c>
      <c r="R286" s="38">
        <f t="shared" si="470"/>
        <v>0</v>
      </c>
      <c r="S286" s="38"/>
      <c r="T286" s="38">
        <f t="shared" si="471"/>
        <v>0</v>
      </c>
      <c r="U286" s="38">
        <f t="shared" si="471"/>
        <v>0</v>
      </c>
      <c r="V286" s="38"/>
      <c r="W286" s="38">
        <f t="shared" si="472"/>
        <v>0</v>
      </c>
      <c r="X286" s="38">
        <f t="shared" si="472"/>
        <v>0</v>
      </c>
      <c r="Y286" s="38"/>
      <c r="Z286" s="38">
        <f t="shared" si="473"/>
        <v>0</v>
      </c>
      <c r="AA286" s="38">
        <f t="shared" si="473"/>
        <v>0</v>
      </c>
      <c r="AB286" s="38"/>
      <c r="AC286" s="38">
        <f t="shared" si="474"/>
        <v>0</v>
      </c>
      <c r="AD286" s="38">
        <f t="shared" si="474"/>
        <v>0</v>
      </c>
      <c r="AE286" s="38"/>
      <c r="AF286" s="38">
        <f t="shared" si="475"/>
        <v>0</v>
      </c>
      <c r="AG286" s="38">
        <f t="shared" si="475"/>
        <v>0</v>
      </c>
      <c r="AH286" s="38"/>
      <c r="AI286" s="38">
        <f t="shared" si="476"/>
        <v>0</v>
      </c>
      <c r="AJ286" s="38">
        <f t="shared" si="476"/>
        <v>0</v>
      </c>
      <c r="AK286" s="38"/>
      <c r="AL286" s="38">
        <f t="shared" si="477"/>
        <v>0</v>
      </c>
      <c r="AM286" s="38">
        <f t="shared" si="477"/>
        <v>0</v>
      </c>
      <c r="AN286" s="38"/>
      <c r="AO286" s="38">
        <f t="shared" si="478"/>
        <v>0</v>
      </c>
      <c r="AP286" s="48">
        <f t="shared" si="478"/>
        <v>0</v>
      </c>
      <c r="AQ286" s="26"/>
      <c r="AR286" s="34"/>
      <c r="AS286" s="34"/>
      <c r="AT286" s="100"/>
      <c r="AU286" s="83">
        <f t="shared" si="360"/>
        <v>0</v>
      </c>
      <c r="AV286" s="83">
        <f t="shared" si="361"/>
        <v>0</v>
      </c>
      <c r="AW286" s="83">
        <f t="shared" si="362"/>
        <v>0</v>
      </c>
      <c r="AX286" s="83">
        <f t="shared" si="363"/>
        <v>0</v>
      </c>
    </row>
    <row r="287" spans="1:50" ht="11.4" customHeight="1" x14ac:dyDescent="0.3">
      <c r="A287" s="131"/>
      <c r="B287" s="132"/>
      <c r="C287" s="133"/>
      <c r="D287" s="37" t="s">
        <v>128</v>
      </c>
      <c r="E287" s="38"/>
      <c r="F287" s="38">
        <f t="shared" si="420"/>
        <v>358</v>
      </c>
      <c r="G287" s="38"/>
      <c r="H287" s="38">
        <f t="shared" si="467"/>
        <v>0</v>
      </c>
      <c r="I287" s="38">
        <f t="shared" si="467"/>
        <v>0</v>
      </c>
      <c r="J287" s="38"/>
      <c r="K287" s="38">
        <f t="shared" si="468"/>
        <v>0</v>
      </c>
      <c r="L287" s="38">
        <f t="shared" si="468"/>
        <v>0</v>
      </c>
      <c r="M287" s="38"/>
      <c r="N287" s="38">
        <f t="shared" si="469"/>
        <v>0</v>
      </c>
      <c r="O287" s="38">
        <f t="shared" si="469"/>
        <v>358</v>
      </c>
      <c r="P287" s="38"/>
      <c r="Q287" s="38">
        <f t="shared" si="470"/>
        <v>0</v>
      </c>
      <c r="R287" s="38">
        <f t="shared" si="470"/>
        <v>0</v>
      </c>
      <c r="S287" s="38"/>
      <c r="T287" s="38">
        <f t="shared" si="471"/>
        <v>0</v>
      </c>
      <c r="U287" s="38">
        <f t="shared" si="471"/>
        <v>0</v>
      </c>
      <c r="V287" s="38"/>
      <c r="W287" s="38">
        <f t="shared" si="472"/>
        <v>0</v>
      </c>
      <c r="X287" s="38">
        <f t="shared" si="472"/>
        <v>0</v>
      </c>
      <c r="Y287" s="38"/>
      <c r="Z287" s="38">
        <f t="shared" si="473"/>
        <v>0</v>
      </c>
      <c r="AA287" s="38">
        <f t="shared" si="473"/>
        <v>0</v>
      </c>
      <c r="AB287" s="38"/>
      <c r="AC287" s="38">
        <f t="shared" si="474"/>
        <v>0</v>
      </c>
      <c r="AD287" s="38">
        <f t="shared" si="474"/>
        <v>0</v>
      </c>
      <c r="AE287" s="38"/>
      <c r="AF287" s="38">
        <f t="shared" si="475"/>
        <v>0</v>
      </c>
      <c r="AG287" s="38">
        <f t="shared" si="475"/>
        <v>0</v>
      </c>
      <c r="AH287" s="38"/>
      <c r="AI287" s="38">
        <f t="shared" si="476"/>
        <v>0</v>
      </c>
      <c r="AJ287" s="38">
        <f t="shared" si="476"/>
        <v>0</v>
      </c>
      <c r="AK287" s="38"/>
      <c r="AL287" s="38">
        <f t="shared" si="477"/>
        <v>0</v>
      </c>
      <c r="AM287" s="38">
        <f t="shared" si="477"/>
        <v>0</v>
      </c>
      <c r="AN287" s="38"/>
      <c r="AO287" s="38">
        <f t="shared" si="478"/>
        <v>0</v>
      </c>
      <c r="AP287" s="48">
        <f t="shared" si="478"/>
        <v>0</v>
      </c>
      <c r="AQ287" s="26"/>
      <c r="AR287" s="34"/>
      <c r="AS287" s="34"/>
      <c r="AT287" s="100"/>
      <c r="AU287" s="83"/>
      <c r="AV287" s="83"/>
      <c r="AW287" s="83"/>
      <c r="AX287" s="83"/>
    </row>
    <row r="288" spans="1:50" ht="15.75" customHeight="1" x14ac:dyDescent="0.3">
      <c r="A288" s="134" t="s">
        <v>119</v>
      </c>
      <c r="B288" s="135"/>
      <c r="C288" s="136"/>
      <c r="D288" s="37"/>
      <c r="E288" s="38"/>
      <c r="F288" s="38"/>
      <c r="G288" s="38"/>
      <c r="H288" s="38"/>
      <c r="I288" s="38"/>
      <c r="J288" s="38"/>
      <c r="K288" s="38"/>
      <c r="L288" s="38"/>
      <c r="M288" s="38"/>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43"/>
      <c r="AQ288" s="26"/>
      <c r="AR288" s="34"/>
      <c r="AS288" s="34"/>
      <c r="AT288" s="100"/>
      <c r="AU288" s="83">
        <f t="shared" si="360"/>
        <v>0</v>
      </c>
      <c r="AV288" s="83">
        <f t="shared" si="361"/>
        <v>0</v>
      </c>
      <c r="AW288" s="83">
        <f t="shared" si="362"/>
        <v>0</v>
      </c>
      <c r="AX288" s="83">
        <f t="shared" si="363"/>
        <v>0</v>
      </c>
    </row>
    <row r="289" spans="1:50" x14ac:dyDescent="0.3">
      <c r="A289" s="125" t="s">
        <v>121</v>
      </c>
      <c r="B289" s="126"/>
      <c r="C289" s="127"/>
      <c r="D289" s="37" t="s">
        <v>3</v>
      </c>
      <c r="E289" s="38">
        <f>H289+K289+N289+Q289+T289+W289+Z289+AC289+AF289+AI289+AL289+AO289</f>
        <v>1710541.9000000001</v>
      </c>
      <c r="F289" s="38">
        <f t="shared" ref="F289:F305" si="495">I289+L289+O289+R289+U289+X289+AA289+AD289+AG289+AJ289+AM289+AP289</f>
        <v>1682738.2293300002</v>
      </c>
      <c r="G289" s="38">
        <f>F289/E289*100</f>
        <v>98.374569446676517</v>
      </c>
      <c r="H289" s="38">
        <f>H290+H291+H292+H293</f>
        <v>33846.5</v>
      </c>
      <c r="I289" s="38">
        <f>I290+I291+I292+I293</f>
        <v>34755.899999999994</v>
      </c>
      <c r="J289" s="38">
        <f>I289/H289*100</f>
        <v>102.68683615735748</v>
      </c>
      <c r="K289" s="38">
        <f>K290+K291+K292+K293</f>
        <v>147102.70000000001</v>
      </c>
      <c r="L289" s="38">
        <f>L290+L291+L292+L293</f>
        <v>147909</v>
      </c>
      <c r="M289" s="38">
        <f>L289/K289*100</f>
        <v>100.54812046277873</v>
      </c>
      <c r="N289" s="38">
        <f>N290+N291+N292+N293</f>
        <v>133207.6</v>
      </c>
      <c r="O289" s="38">
        <f>O290+O291+O292+O293</f>
        <v>129763.7</v>
      </c>
      <c r="P289" s="38">
        <f>O289/N289*100</f>
        <v>97.414637002693539</v>
      </c>
      <c r="Q289" s="38">
        <f>Q290+Q291+Q292+Q293</f>
        <v>201200.2</v>
      </c>
      <c r="R289" s="38">
        <f>R290+R291+R292+R293</f>
        <v>200886.80000000002</v>
      </c>
      <c r="S289" s="38">
        <f>R289/Q289*100</f>
        <v>99.844234747281575</v>
      </c>
      <c r="T289" s="38">
        <f>T290+T291+T292+T293</f>
        <v>148817.20000000001</v>
      </c>
      <c r="U289" s="38">
        <f>U290+U291+U292+U293</f>
        <v>147207.79999999999</v>
      </c>
      <c r="V289" s="38">
        <f>U289/T289*100</f>
        <v>98.918538986084926</v>
      </c>
      <c r="W289" s="38">
        <f>W290+W291+W292+W293</f>
        <v>212826.2</v>
      </c>
      <c r="X289" s="38">
        <f>X290+X291+X292+X293</f>
        <v>214877.30000000002</v>
      </c>
      <c r="Y289" s="38">
        <f>X289/W289*100</f>
        <v>100.96374412548832</v>
      </c>
      <c r="Z289" s="38">
        <f>Z290+Z291+Z292+Z293</f>
        <v>136935.1</v>
      </c>
      <c r="AA289" s="38">
        <f>AA290+AA291+AA292+AA293</f>
        <v>136255.6</v>
      </c>
      <c r="AB289" s="38">
        <f>AA289/Z289*100</f>
        <v>99.50377952767407</v>
      </c>
      <c r="AC289" s="38">
        <f>AC290+AC291+AC292+AC293</f>
        <v>79434.899999999994</v>
      </c>
      <c r="AD289" s="38">
        <f>AD290+AD291+AD292+AD293</f>
        <v>81310.699999999983</v>
      </c>
      <c r="AE289" s="38">
        <f>AD289/AC289*100</f>
        <v>102.36143055508347</v>
      </c>
      <c r="AF289" s="38">
        <f>AF290+AF291+AF292+AF293</f>
        <v>86873.9</v>
      </c>
      <c r="AG289" s="38">
        <f>AG290+AG291+AG292+AG293</f>
        <v>84590.7</v>
      </c>
      <c r="AH289" s="38">
        <f>AG289/AF289*100</f>
        <v>97.371822837469026</v>
      </c>
      <c r="AI289" s="38">
        <f>AI290+AI291+AI292+AI293</f>
        <v>146565.90000000002</v>
      </c>
      <c r="AJ289" s="38">
        <f>AJ290+AJ291+AJ292+AJ293</f>
        <v>137043.80000000002</v>
      </c>
      <c r="AK289" s="38">
        <f>AJ289/AI289*100</f>
        <v>93.503195490902044</v>
      </c>
      <c r="AL289" s="38">
        <f>AL290+AL291+AL292+AL293</f>
        <v>131069.9</v>
      </c>
      <c r="AM289" s="38">
        <f>AM290+AM291+AM292+AM293</f>
        <v>125390.32</v>
      </c>
      <c r="AN289" s="38">
        <f>AM289/AL289*100</f>
        <v>95.666754914743976</v>
      </c>
      <c r="AO289" s="38">
        <f>AO290+AO291+AO292+AO293</f>
        <v>252661.8</v>
      </c>
      <c r="AP289" s="38">
        <f>AP290+AP291+AP292+AP293</f>
        <v>242746.60933000004</v>
      </c>
      <c r="AQ289" s="38">
        <f>AP289/AO289*100</f>
        <v>96.075706470071864</v>
      </c>
      <c r="AR289" s="34"/>
      <c r="AS289" s="34"/>
      <c r="AT289" s="100">
        <f t="shared" si="451"/>
        <v>0.98374569446676519</v>
      </c>
      <c r="AU289" s="83">
        <f t="shared" si="360"/>
        <v>314156.80000000005</v>
      </c>
      <c r="AV289" s="83">
        <f t="shared" si="361"/>
        <v>562843.60000000009</v>
      </c>
      <c r="AW289" s="83">
        <f t="shared" si="362"/>
        <v>303243.90000000002</v>
      </c>
      <c r="AX289" s="83">
        <f t="shared" si="363"/>
        <v>530297.60000000009</v>
      </c>
    </row>
    <row r="290" spans="1:50" x14ac:dyDescent="0.3">
      <c r="A290" s="128"/>
      <c r="B290" s="129"/>
      <c r="C290" s="130"/>
      <c r="D290" s="37" t="s">
        <v>21</v>
      </c>
      <c r="E290" s="38">
        <f t="shared" ref="E290:E293" si="496">H290+K290+N290+Q290+T290+W290+Z290+AC290+AF290+AI290+AL290+AO290</f>
        <v>39852.9</v>
      </c>
      <c r="F290" s="38">
        <f>I290+L290+O290+R290+U290+X290+AA290+AD290+AG290+AJ290+AM290+AP290</f>
        <v>38451</v>
      </c>
      <c r="G290" s="38">
        <f>F290/E290*100</f>
        <v>96.482313708663597</v>
      </c>
      <c r="H290" s="38">
        <f t="shared" ref="H290:AO293" si="497">H271-H296-H302</f>
        <v>0</v>
      </c>
      <c r="I290" s="38">
        <f t="shared" si="497"/>
        <v>0</v>
      </c>
      <c r="J290" s="38">
        <f t="shared" si="497"/>
        <v>0</v>
      </c>
      <c r="K290" s="38">
        <f t="shared" si="497"/>
        <v>5818.8</v>
      </c>
      <c r="L290" s="38">
        <f t="shared" si="497"/>
        <v>5818.8</v>
      </c>
      <c r="M290" s="38">
        <f t="shared" si="497"/>
        <v>100</v>
      </c>
      <c r="N290" s="38">
        <f t="shared" si="497"/>
        <v>3184.1</v>
      </c>
      <c r="O290" s="38">
        <f t="shared" si="497"/>
        <v>3184.1</v>
      </c>
      <c r="P290" s="38">
        <f t="shared" si="497"/>
        <v>100</v>
      </c>
      <c r="Q290" s="38">
        <f t="shared" si="497"/>
        <v>3363.4</v>
      </c>
      <c r="R290" s="38">
        <f t="shared" si="497"/>
        <v>3363.4</v>
      </c>
      <c r="S290" s="38">
        <f t="shared" si="497"/>
        <v>199.10300779830661</v>
      </c>
      <c r="T290" s="38">
        <f t="shared" si="497"/>
        <v>5295.6</v>
      </c>
      <c r="U290" s="38">
        <f t="shared" si="497"/>
        <v>5305.4000000000005</v>
      </c>
      <c r="V290" s="38">
        <f t="shared" si="497"/>
        <v>194.09843888253647</v>
      </c>
      <c r="W290" s="38">
        <f t="shared" si="497"/>
        <v>6800.1</v>
      </c>
      <c r="X290" s="38">
        <f t="shared" si="497"/>
        <v>6790.3</v>
      </c>
      <c r="Y290" s="38">
        <f t="shared" si="497"/>
        <v>206.26347492225699</v>
      </c>
      <c r="Z290" s="38">
        <f t="shared" si="497"/>
        <v>0</v>
      </c>
      <c r="AA290" s="38">
        <f t="shared" si="497"/>
        <v>0</v>
      </c>
      <c r="AB290" s="38">
        <f t="shared" si="497"/>
        <v>0</v>
      </c>
      <c r="AC290" s="38">
        <f t="shared" si="497"/>
        <v>546.70000000000005</v>
      </c>
      <c r="AD290" s="38">
        <f t="shared" si="497"/>
        <v>546.70000000000005</v>
      </c>
      <c r="AE290" s="38">
        <f>AD290/AC290*100</f>
        <v>100</v>
      </c>
      <c r="AF290" s="38">
        <f t="shared" si="497"/>
        <v>2615</v>
      </c>
      <c r="AG290" s="38">
        <f t="shared" si="497"/>
        <v>2615</v>
      </c>
      <c r="AH290" s="38">
        <f t="shared" si="497"/>
        <v>192.96324821305205</v>
      </c>
      <c r="AI290" s="38">
        <f t="shared" si="497"/>
        <v>4020.6</v>
      </c>
      <c r="AJ290" s="38">
        <f t="shared" si="497"/>
        <v>3555.3</v>
      </c>
      <c r="AK290" s="38">
        <f t="shared" si="497"/>
        <v>154.11346213941044</v>
      </c>
      <c r="AL290" s="38">
        <f t="shared" si="497"/>
        <v>3731.1000000000004</v>
      </c>
      <c r="AM290" s="38">
        <f t="shared" si="497"/>
        <v>3346.4</v>
      </c>
      <c r="AN290" s="38">
        <f t="shared" si="497"/>
        <v>169.94729138066617</v>
      </c>
      <c r="AO290" s="38">
        <f t="shared" si="497"/>
        <v>4477.5</v>
      </c>
      <c r="AP290" s="38">
        <f t="shared" ref="AP290" si="498">AP271-AP296-AP302</f>
        <v>3925.6</v>
      </c>
      <c r="AQ290" s="38">
        <f t="shared" ref="AQ290" si="499">AQ271-AQ296-AQ302</f>
        <v>201.2442780672709</v>
      </c>
      <c r="AR290" s="34"/>
      <c r="AS290" s="34"/>
      <c r="AT290" s="100">
        <f t="shared" si="451"/>
        <v>0.96482313708663603</v>
      </c>
      <c r="AU290" s="83">
        <f t="shared" si="360"/>
        <v>9002.9</v>
      </c>
      <c r="AV290" s="83">
        <f t="shared" si="361"/>
        <v>15459.1</v>
      </c>
      <c r="AW290" s="83">
        <f t="shared" si="362"/>
        <v>3161.7</v>
      </c>
      <c r="AX290" s="83">
        <f t="shared" si="363"/>
        <v>12229.2</v>
      </c>
    </row>
    <row r="291" spans="1:50" ht="12" customHeight="1" x14ac:dyDescent="0.3">
      <c r="A291" s="128"/>
      <c r="B291" s="129"/>
      <c r="C291" s="130"/>
      <c r="D291" s="37" t="s">
        <v>4</v>
      </c>
      <c r="E291" s="38">
        <f t="shared" si="496"/>
        <v>1343078.9000000001</v>
      </c>
      <c r="F291" s="38">
        <f t="shared" si="495"/>
        <v>1324536.6000000001</v>
      </c>
      <c r="G291" s="38">
        <f>F291/E291*100</f>
        <v>98.619418412425347</v>
      </c>
      <c r="H291" s="38">
        <f t="shared" si="497"/>
        <v>27456</v>
      </c>
      <c r="I291" s="38">
        <f t="shared" si="497"/>
        <v>27424.6</v>
      </c>
      <c r="J291" s="38">
        <f t="shared" si="497"/>
        <v>99.885635198135191</v>
      </c>
      <c r="K291" s="38">
        <f t="shared" si="497"/>
        <v>101913.7</v>
      </c>
      <c r="L291" s="38">
        <f t="shared" si="497"/>
        <v>101732.40000000001</v>
      </c>
      <c r="M291" s="38">
        <f t="shared" si="497"/>
        <v>99.822104388320724</v>
      </c>
      <c r="N291" s="38">
        <f t="shared" si="497"/>
        <v>103646.7</v>
      </c>
      <c r="O291" s="38">
        <f t="shared" si="497"/>
        <v>102791.2</v>
      </c>
      <c r="P291" s="38">
        <f t="shared" si="497"/>
        <v>82.134241402498247</v>
      </c>
      <c r="Q291" s="38">
        <f t="shared" si="497"/>
        <v>164018.30000000002</v>
      </c>
      <c r="R291" s="38">
        <f t="shared" si="497"/>
        <v>164022.50000000003</v>
      </c>
      <c r="S291" s="38">
        <f t="shared" si="497"/>
        <v>100.06017621204464</v>
      </c>
      <c r="T291" s="38">
        <f t="shared" si="497"/>
        <v>117135</v>
      </c>
      <c r="U291" s="38">
        <f t="shared" si="497"/>
        <v>117055</v>
      </c>
      <c r="V291" s="38">
        <f t="shared" si="497"/>
        <v>99.931702736159139</v>
      </c>
      <c r="W291" s="38">
        <f t="shared" si="497"/>
        <v>185247.7</v>
      </c>
      <c r="X291" s="38">
        <f t="shared" si="497"/>
        <v>186011.00000000003</v>
      </c>
      <c r="Y291" s="38">
        <f t="shared" si="497"/>
        <v>4.1644890440740312</v>
      </c>
      <c r="Z291" s="38">
        <f t="shared" si="497"/>
        <v>109608.2</v>
      </c>
      <c r="AA291" s="38">
        <f t="shared" si="497"/>
        <v>109688</v>
      </c>
      <c r="AB291" s="38">
        <f t="shared" si="497"/>
        <v>-169.68944633611457</v>
      </c>
      <c r="AC291" s="38">
        <f t="shared" si="497"/>
        <v>59105.1</v>
      </c>
      <c r="AD291" s="38">
        <f t="shared" si="497"/>
        <v>61314.599999999991</v>
      </c>
      <c r="AE291" s="38">
        <f>AD291/AC291*100</f>
        <v>103.73825608957601</v>
      </c>
      <c r="AF291" s="38">
        <f t="shared" si="497"/>
        <v>66137.299999999988</v>
      </c>
      <c r="AG291" s="38">
        <f t="shared" si="497"/>
        <v>64030.9</v>
      </c>
      <c r="AH291" s="38">
        <f t="shared" si="497"/>
        <v>96.8151103840042</v>
      </c>
      <c r="AI291" s="38">
        <f t="shared" si="497"/>
        <v>105183.6</v>
      </c>
      <c r="AJ291" s="38">
        <f t="shared" si="497"/>
        <v>101021.1</v>
      </c>
      <c r="AK291" s="38">
        <f t="shared" si="497"/>
        <v>96.042634022794431</v>
      </c>
      <c r="AL291" s="38">
        <f t="shared" si="497"/>
        <v>100875.7</v>
      </c>
      <c r="AM291" s="38">
        <f t="shared" si="497"/>
        <v>98418.500000000015</v>
      </c>
      <c r="AN291" s="38">
        <f t="shared" si="497"/>
        <v>-2.432753262465468</v>
      </c>
      <c r="AO291" s="38">
        <f t="shared" si="497"/>
        <v>202751.6</v>
      </c>
      <c r="AP291" s="38">
        <f t="shared" ref="AP291" si="500">AP272-AP297-AP303</f>
        <v>191026.80000000002</v>
      </c>
      <c r="AQ291" s="38">
        <f t="shared" ref="AQ291" si="501">AQ272-AQ297-AQ303</f>
        <v>94.217160308475982</v>
      </c>
      <c r="AR291" s="34"/>
      <c r="AS291" s="34"/>
      <c r="AT291" s="100">
        <f t="shared" si="451"/>
        <v>0.98619418412425353</v>
      </c>
      <c r="AU291" s="83">
        <f t="shared" si="360"/>
        <v>233016.4</v>
      </c>
      <c r="AV291" s="83">
        <f t="shared" si="361"/>
        <v>466401.00000000006</v>
      </c>
      <c r="AW291" s="83">
        <f t="shared" si="362"/>
        <v>234850.59999999998</v>
      </c>
      <c r="AX291" s="83">
        <f t="shared" si="363"/>
        <v>408810.9</v>
      </c>
    </row>
    <row r="292" spans="1:50" ht="12.75" customHeight="1" x14ac:dyDescent="0.3">
      <c r="A292" s="128"/>
      <c r="B292" s="129"/>
      <c r="C292" s="130"/>
      <c r="D292" s="37" t="s">
        <v>44</v>
      </c>
      <c r="E292" s="38">
        <f t="shared" si="496"/>
        <v>327610.09999999998</v>
      </c>
      <c r="F292" s="38">
        <f t="shared" si="495"/>
        <v>319750.62933000003</v>
      </c>
      <c r="G292" s="38">
        <f t="shared" ref="G292" si="502">F292/E292*100</f>
        <v>97.600968141702609</v>
      </c>
      <c r="H292" s="38">
        <f t="shared" si="497"/>
        <v>6390.5</v>
      </c>
      <c r="I292" s="38">
        <f t="shared" si="497"/>
        <v>7331.2999999999993</v>
      </c>
      <c r="J292" s="38">
        <f t="shared" si="497"/>
        <v>114.72185275017604</v>
      </c>
      <c r="K292" s="38">
        <f t="shared" si="497"/>
        <v>39370.200000000004</v>
      </c>
      <c r="L292" s="38">
        <f t="shared" si="497"/>
        <v>40357.800000000003</v>
      </c>
      <c r="M292" s="38">
        <f t="shared" si="497"/>
        <v>102.50849627383147</v>
      </c>
      <c r="N292" s="38">
        <f t="shared" si="497"/>
        <v>26376.800000000003</v>
      </c>
      <c r="O292" s="38">
        <f t="shared" si="497"/>
        <v>23788.399999999998</v>
      </c>
      <c r="P292" s="38">
        <f t="shared" si="497"/>
        <v>-8.6097874350733292</v>
      </c>
      <c r="Q292" s="38">
        <f t="shared" si="497"/>
        <v>33818.499999999993</v>
      </c>
      <c r="R292" s="38">
        <f t="shared" si="497"/>
        <v>33500.899999999994</v>
      </c>
      <c r="S292" s="38">
        <f t="shared" si="497"/>
        <v>99.042831586261968</v>
      </c>
      <c r="T292" s="38">
        <f t="shared" si="497"/>
        <v>26386.600000000002</v>
      </c>
      <c r="U292" s="38">
        <f t="shared" si="497"/>
        <v>24847.4</v>
      </c>
      <c r="V292" s="38">
        <f t="shared" si="497"/>
        <v>94.166736146377332</v>
      </c>
      <c r="W292" s="38">
        <f t="shared" si="497"/>
        <v>20778.399999999998</v>
      </c>
      <c r="X292" s="38">
        <f t="shared" si="497"/>
        <v>22076</v>
      </c>
      <c r="Y292" s="38">
        <f t="shared" si="497"/>
        <v>6.2390839852840401</v>
      </c>
      <c r="Z292" s="38">
        <f t="shared" si="497"/>
        <v>27326.899999999998</v>
      </c>
      <c r="AA292" s="38">
        <f t="shared" si="497"/>
        <v>26567.599999999999</v>
      </c>
      <c r="AB292" s="38">
        <f t="shared" si="497"/>
        <v>-159.11855736482622</v>
      </c>
      <c r="AC292" s="38">
        <f t="shared" si="497"/>
        <v>19783.099999999999</v>
      </c>
      <c r="AD292" s="38">
        <f t="shared" si="497"/>
        <v>19449.400000000001</v>
      </c>
      <c r="AE292" s="38">
        <f t="shared" ref="AE292" si="503">AD292/AC292*100</f>
        <v>98.313206726953823</v>
      </c>
      <c r="AF292" s="38">
        <f t="shared" si="497"/>
        <v>18121.599999999999</v>
      </c>
      <c r="AG292" s="38">
        <f t="shared" si="497"/>
        <v>17944.8</v>
      </c>
      <c r="AH292" s="38">
        <f t="shared" si="497"/>
        <v>96.14813782904784</v>
      </c>
      <c r="AI292" s="38">
        <f t="shared" si="497"/>
        <v>37361.699999999997</v>
      </c>
      <c r="AJ292" s="38">
        <f t="shared" si="497"/>
        <v>32467.4</v>
      </c>
      <c r="AK292" s="38">
        <f t="shared" si="497"/>
        <v>58.070828116615999</v>
      </c>
      <c r="AL292" s="38">
        <f t="shared" si="497"/>
        <v>26463.1</v>
      </c>
      <c r="AM292" s="38">
        <f t="shared" si="497"/>
        <v>23625.42</v>
      </c>
      <c r="AN292" s="38">
        <f t="shared" si="497"/>
        <v>209.12801212280652</v>
      </c>
      <c r="AO292" s="38">
        <f t="shared" si="497"/>
        <v>45432.7</v>
      </c>
      <c r="AP292" s="38">
        <f t="shared" ref="AP292" si="504">AP273-AP298-AP304</f>
        <v>47794.209330000012</v>
      </c>
      <c r="AQ292" s="38">
        <f t="shared" ref="AQ292" si="505">AQ273-AQ298-AQ304</f>
        <v>107.0271177587949</v>
      </c>
      <c r="AR292" s="34"/>
      <c r="AS292" s="34"/>
      <c r="AT292" s="100">
        <f t="shared" si="451"/>
        <v>0.97600968141702604</v>
      </c>
      <c r="AU292" s="83">
        <f t="shared" si="360"/>
        <v>72137.5</v>
      </c>
      <c r="AV292" s="83">
        <f t="shared" si="361"/>
        <v>80983.499999999985</v>
      </c>
      <c r="AW292" s="83">
        <f t="shared" si="362"/>
        <v>65231.6</v>
      </c>
      <c r="AX292" s="83">
        <f t="shared" si="363"/>
        <v>109257.5</v>
      </c>
    </row>
    <row r="293" spans="1:50" x14ac:dyDescent="0.3">
      <c r="A293" s="128"/>
      <c r="B293" s="129"/>
      <c r="C293" s="130"/>
      <c r="D293" s="37" t="s">
        <v>22</v>
      </c>
      <c r="E293" s="38">
        <f t="shared" si="496"/>
        <v>0</v>
      </c>
      <c r="F293" s="38">
        <f t="shared" si="495"/>
        <v>0</v>
      </c>
      <c r="G293" s="38"/>
      <c r="H293" s="38">
        <f t="shared" si="497"/>
        <v>0</v>
      </c>
      <c r="I293" s="38">
        <f t="shared" si="497"/>
        <v>0</v>
      </c>
      <c r="J293" s="38">
        <f t="shared" si="497"/>
        <v>0</v>
      </c>
      <c r="K293" s="38">
        <f t="shared" si="497"/>
        <v>0</v>
      </c>
      <c r="L293" s="38">
        <f t="shared" si="497"/>
        <v>0</v>
      </c>
      <c r="M293" s="38">
        <f t="shared" si="497"/>
        <v>0</v>
      </c>
      <c r="N293" s="38">
        <f t="shared" si="497"/>
        <v>0</v>
      </c>
      <c r="O293" s="38">
        <f t="shared" si="497"/>
        <v>0</v>
      </c>
      <c r="P293" s="38">
        <f t="shared" si="497"/>
        <v>0</v>
      </c>
      <c r="Q293" s="38">
        <f t="shared" si="497"/>
        <v>0</v>
      </c>
      <c r="R293" s="38">
        <f t="shared" si="497"/>
        <v>0</v>
      </c>
      <c r="S293" s="38">
        <f t="shared" si="497"/>
        <v>0</v>
      </c>
      <c r="T293" s="38">
        <f t="shared" si="497"/>
        <v>0</v>
      </c>
      <c r="U293" s="38">
        <f t="shared" si="497"/>
        <v>0</v>
      </c>
      <c r="V293" s="38">
        <f t="shared" si="497"/>
        <v>0</v>
      </c>
      <c r="W293" s="38">
        <f t="shared" si="497"/>
        <v>0</v>
      </c>
      <c r="X293" s="38">
        <f t="shared" si="497"/>
        <v>0</v>
      </c>
      <c r="Y293" s="38">
        <f t="shared" si="497"/>
        <v>0</v>
      </c>
      <c r="Z293" s="38">
        <f t="shared" si="497"/>
        <v>0</v>
      </c>
      <c r="AA293" s="38">
        <f t="shared" si="497"/>
        <v>0</v>
      </c>
      <c r="AB293" s="38">
        <f t="shared" si="497"/>
        <v>0</v>
      </c>
      <c r="AC293" s="38">
        <f t="shared" si="497"/>
        <v>0</v>
      </c>
      <c r="AD293" s="38">
        <f t="shared" si="497"/>
        <v>0</v>
      </c>
      <c r="AE293" s="38">
        <f t="shared" si="497"/>
        <v>0</v>
      </c>
      <c r="AF293" s="38">
        <f t="shared" si="497"/>
        <v>0</v>
      </c>
      <c r="AG293" s="38">
        <f t="shared" si="497"/>
        <v>0</v>
      </c>
      <c r="AH293" s="38">
        <f t="shared" si="497"/>
        <v>0</v>
      </c>
      <c r="AI293" s="38">
        <f t="shared" si="497"/>
        <v>0</v>
      </c>
      <c r="AJ293" s="38">
        <f t="shared" si="497"/>
        <v>0</v>
      </c>
      <c r="AK293" s="38">
        <f t="shared" si="497"/>
        <v>0</v>
      </c>
      <c r="AL293" s="38">
        <f t="shared" si="497"/>
        <v>0</v>
      </c>
      <c r="AM293" s="38">
        <f t="shared" si="497"/>
        <v>0</v>
      </c>
      <c r="AN293" s="38">
        <f t="shared" si="497"/>
        <v>0</v>
      </c>
      <c r="AO293" s="38">
        <f t="shared" si="497"/>
        <v>0</v>
      </c>
      <c r="AP293" s="48"/>
      <c r="AQ293" s="26"/>
      <c r="AR293" s="34"/>
      <c r="AS293" s="34"/>
      <c r="AT293" s="100"/>
      <c r="AU293" s="83">
        <f t="shared" si="360"/>
        <v>0</v>
      </c>
      <c r="AV293" s="83">
        <f t="shared" si="361"/>
        <v>0</v>
      </c>
      <c r="AW293" s="83">
        <f t="shared" si="362"/>
        <v>0</v>
      </c>
      <c r="AX293" s="83">
        <f t="shared" si="363"/>
        <v>0</v>
      </c>
    </row>
    <row r="294" spans="1:50" x14ac:dyDescent="0.3">
      <c r="A294" s="131"/>
      <c r="B294" s="132"/>
      <c r="C294" s="133"/>
      <c r="D294" s="37" t="s">
        <v>128</v>
      </c>
      <c r="E294" s="38"/>
      <c r="F294" s="38">
        <f t="shared" si="495"/>
        <v>358</v>
      </c>
      <c r="G294" s="38"/>
      <c r="H294" s="38"/>
      <c r="I294" s="38"/>
      <c r="J294" s="38"/>
      <c r="K294" s="38"/>
      <c r="L294" s="38"/>
      <c r="M294" s="38"/>
      <c r="N294" s="38"/>
      <c r="O294" s="38">
        <f>O71</f>
        <v>358</v>
      </c>
      <c r="P294" s="38"/>
      <c r="Q294" s="38"/>
      <c r="R294" s="38"/>
      <c r="S294" s="38"/>
      <c r="T294" s="38"/>
      <c r="U294" s="38"/>
      <c r="V294" s="38"/>
      <c r="W294" s="38"/>
      <c r="X294" s="38"/>
      <c r="Y294" s="38"/>
      <c r="Z294" s="38"/>
      <c r="AA294" s="38"/>
      <c r="AB294" s="38"/>
      <c r="AC294" s="38"/>
      <c r="AD294" s="38"/>
      <c r="AE294" s="38"/>
      <c r="AF294" s="38"/>
      <c r="AG294" s="38"/>
      <c r="AH294" s="38"/>
      <c r="AI294" s="38"/>
      <c r="AJ294" s="38">
        <f>AJ82</f>
        <v>0</v>
      </c>
      <c r="AK294" s="38"/>
      <c r="AL294" s="38"/>
      <c r="AM294" s="38"/>
      <c r="AN294" s="38"/>
      <c r="AO294" s="38"/>
      <c r="AP294" s="48"/>
      <c r="AQ294" s="26"/>
      <c r="AR294" s="34"/>
      <c r="AS294" s="34"/>
      <c r="AT294" s="100"/>
      <c r="AU294" s="83"/>
      <c r="AV294" s="83"/>
      <c r="AW294" s="83"/>
      <c r="AX294" s="83"/>
    </row>
    <row r="295" spans="1:50" ht="15.75" customHeight="1" x14ac:dyDescent="0.3">
      <c r="A295" s="125" t="s">
        <v>120</v>
      </c>
      <c r="B295" s="126"/>
      <c r="C295" s="127"/>
      <c r="D295" s="37" t="s">
        <v>3</v>
      </c>
      <c r="E295" s="38">
        <f>H295+K295+N295+Q295+T295+W295+Z295+AC295+AF295+AI295+AL295+AO295</f>
        <v>25090.399999999998</v>
      </c>
      <c r="F295" s="38">
        <f t="shared" si="495"/>
        <v>832.6</v>
      </c>
      <c r="G295" s="38">
        <f>F295/E295*100</f>
        <v>3.3184006632018628</v>
      </c>
      <c r="H295" s="38">
        <f>H296+H297+H298+H299</f>
        <v>0</v>
      </c>
      <c r="I295" s="38">
        <f>I296+I297+I298+I299</f>
        <v>0</v>
      </c>
      <c r="J295" s="38"/>
      <c r="K295" s="38">
        <f>K296+K297+K298+K299</f>
        <v>0</v>
      </c>
      <c r="L295" s="38">
        <f>L296+L297+L298+L299</f>
        <v>0</v>
      </c>
      <c r="M295" s="38"/>
      <c r="N295" s="38">
        <f>N296+N297+N298+N299</f>
        <v>0</v>
      </c>
      <c r="O295" s="38">
        <f>O296+O297+O298+O299</f>
        <v>0</v>
      </c>
      <c r="P295" s="38"/>
      <c r="Q295" s="38">
        <f>Q296+Q297+Q298+Q299</f>
        <v>0</v>
      </c>
      <c r="R295" s="38">
        <f>R296+R297+R298+R299</f>
        <v>0</v>
      </c>
      <c r="S295" s="38"/>
      <c r="T295" s="38">
        <f>T296+T297+T298+T299</f>
        <v>0</v>
      </c>
      <c r="U295" s="38">
        <f>U296+U297+U298+U299</f>
        <v>0</v>
      </c>
      <c r="V295" s="38"/>
      <c r="W295" s="38">
        <f>W296+W297+W298+W299</f>
        <v>0</v>
      </c>
      <c r="X295" s="38">
        <f>X296+X297+X298+X299</f>
        <v>0</v>
      </c>
      <c r="Y295" s="38"/>
      <c r="Z295" s="38">
        <f>Z296+Z297+Z298+Z299</f>
        <v>0</v>
      </c>
      <c r="AA295" s="38">
        <f>AA296+AA297+AA298+AA299</f>
        <v>0</v>
      </c>
      <c r="AB295" s="38"/>
      <c r="AC295" s="38">
        <f>AC296+AC297+AC298+AC299</f>
        <v>0</v>
      </c>
      <c r="AD295" s="38">
        <f>AD296+AD297+AD298+AD299</f>
        <v>0</v>
      </c>
      <c r="AE295" s="38"/>
      <c r="AF295" s="38">
        <f>AF296+AF297+AF298+AF299</f>
        <v>542.1</v>
      </c>
      <c r="AG295" s="38">
        <f>AG296+AG297+AG298+AG299</f>
        <v>0</v>
      </c>
      <c r="AH295" s="38"/>
      <c r="AI295" s="38">
        <f>AI296+AI297+AI298+AI299</f>
        <v>18548.3</v>
      </c>
      <c r="AJ295" s="38">
        <f>AJ296+AJ297+AJ298+AJ299</f>
        <v>0</v>
      </c>
      <c r="AK295" s="38"/>
      <c r="AL295" s="38">
        <f>AL296+AL297+AL298+AL299</f>
        <v>6000</v>
      </c>
      <c r="AM295" s="38">
        <f>AM296+AM297+AM298+AM299</f>
        <v>0</v>
      </c>
      <c r="AN295" s="38"/>
      <c r="AO295" s="38">
        <f>AO296+AO297+AO298+AO299</f>
        <v>0</v>
      </c>
      <c r="AP295" s="38">
        <f>AP296+AP297+AP298+AP299</f>
        <v>832.6</v>
      </c>
      <c r="AQ295" s="23"/>
      <c r="AR295" s="34"/>
      <c r="AS295" s="34"/>
      <c r="AT295" s="100">
        <f t="shared" si="451"/>
        <v>3.3184006632018627E-2</v>
      </c>
      <c r="AU295" s="83">
        <f t="shared" si="360"/>
        <v>0</v>
      </c>
      <c r="AV295" s="83">
        <f t="shared" si="361"/>
        <v>0</v>
      </c>
      <c r="AW295" s="83">
        <f t="shared" si="362"/>
        <v>542.1</v>
      </c>
      <c r="AX295" s="83">
        <f t="shared" si="363"/>
        <v>24548.3</v>
      </c>
    </row>
    <row r="296" spans="1:50" ht="14.25" customHeight="1" x14ac:dyDescent="0.3">
      <c r="A296" s="128"/>
      <c r="B296" s="129"/>
      <c r="C296" s="130"/>
      <c r="D296" s="37" t="s">
        <v>21</v>
      </c>
      <c r="E296" s="38">
        <f t="shared" ref="E296:E299" si="506">H296+K296+N296+Q296+T296+W296+Z296+AC296+AF296+AI296+AL296+AO296</f>
        <v>0</v>
      </c>
      <c r="F296" s="38">
        <f t="shared" si="495"/>
        <v>0</v>
      </c>
      <c r="G296" s="38"/>
      <c r="H296" s="38"/>
      <c r="I296" s="38"/>
      <c r="J296" s="38"/>
      <c r="K296" s="38"/>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43"/>
      <c r="AQ296" s="23"/>
      <c r="AR296" s="34"/>
      <c r="AS296" s="34"/>
      <c r="AT296" s="100"/>
      <c r="AU296" s="83">
        <f t="shared" si="360"/>
        <v>0</v>
      </c>
      <c r="AV296" s="83">
        <f t="shared" si="361"/>
        <v>0</v>
      </c>
      <c r="AW296" s="83">
        <f t="shared" si="362"/>
        <v>0</v>
      </c>
      <c r="AX296" s="83">
        <f t="shared" si="363"/>
        <v>0</v>
      </c>
    </row>
    <row r="297" spans="1:50" ht="23.25" customHeight="1" x14ac:dyDescent="0.3">
      <c r="A297" s="128"/>
      <c r="B297" s="129"/>
      <c r="C297" s="130"/>
      <c r="D297" s="37" t="s">
        <v>4</v>
      </c>
      <c r="E297" s="38">
        <f t="shared" si="506"/>
        <v>0</v>
      </c>
      <c r="F297" s="38">
        <f t="shared" si="495"/>
        <v>0</v>
      </c>
      <c r="G297" s="38"/>
      <c r="H297" s="38"/>
      <c r="I297" s="38"/>
      <c r="J297" s="38"/>
      <c r="K297" s="38"/>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43"/>
      <c r="AQ297" s="23"/>
      <c r="AR297" s="34"/>
      <c r="AS297" s="34"/>
      <c r="AT297" s="100"/>
      <c r="AU297" s="83">
        <f t="shared" si="360"/>
        <v>0</v>
      </c>
      <c r="AV297" s="83">
        <f t="shared" si="361"/>
        <v>0</v>
      </c>
      <c r="AW297" s="83">
        <f t="shared" si="362"/>
        <v>0</v>
      </c>
      <c r="AX297" s="83">
        <f t="shared" si="363"/>
        <v>0</v>
      </c>
    </row>
    <row r="298" spans="1:50" ht="14.25" customHeight="1" x14ac:dyDescent="0.3">
      <c r="A298" s="128"/>
      <c r="B298" s="129"/>
      <c r="C298" s="130"/>
      <c r="D298" s="37" t="s">
        <v>44</v>
      </c>
      <c r="E298" s="38">
        <f t="shared" si="506"/>
        <v>25090.399999999998</v>
      </c>
      <c r="F298" s="38">
        <f t="shared" si="495"/>
        <v>832.6</v>
      </c>
      <c r="G298" s="38">
        <f>F298/E298*100</f>
        <v>3.3184006632018628</v>
      </c>
      <c r="H298" s="38"/>
      <c r="I298" s="38"/>
      <c r="J298" s="38"/>
      <c r="K298" s="38"/>
      <c r="L298" s="38"/>
      <c r="M298" s="38"/>
      <c r="N298" s="38">
        <f>N43+N64</f>
        <v>0</v>
      </c>
      <c r="O298" s="38">
        <f>O43+O64</f>
        <v>0</v>
      </c>
      <c r="P298" s="38"/>
      <c r="Q298" s="38">
        <f>Q43+Q64</f>
        <v>0</v>
      </c>
      <c r="R298" s="38">
        <f>R43+R64</f>
        <v>0</v>
      </c>
      <c r="S298" s="38"/>
      <c r="T298" s="38">
        <f>T43+T64</f>
        <v>0</v>
      </c>
      <c r="U298" s="38">
        <f>U43+U64</f>
        <v>0</v>
      </c>
      <c r="V298" s="38"/>
      <c r="W298" s="38">
        <f>W43+W64</f>
        <v>0</v>
      </c>
      <c r="X298" s="38">
        <f>X43+X64</f>
        <v>0</v>
      </c>
      <c r="Y298" s="38"/>
      <c r="Z298" s="38">
        <f>Z43+Z64</f>
        <v>0</v>
      </c>
      <c r="AA298" s="38">
        <f>AA43+AA64</f>
        <v>0</v>
      </c>
      <c r="AB298" s="38"/>
      <c r="AC298" s="38">
        <f>AC43+AC64</f>
        <v>0</v>
      </c>
      <c r="AD298" s="38">
        <f>AD43+AD64</f>
        <v>0</v>
      </c>
      <c r="AE298" s="38"/>
      <c r="AF298" s="38">
        <f>AF43+AF64</f>
        <v>542.1</v>
      </c>
      <c r="AG298" s="38">
        <f>AG43+AG64</f>
        <v>0</v>
      </c>
      <c r="AH298" s="38"/>
      <c r="AI298" s="38">
        <f>AI43+AI64</f>
        <v>18548.3</v>
      </c>
      <c r="AJ298" s="38">
        <f>AJ43+AJ64</f>
        <v>0</v>
      </c>
      <c r="AK298" s="38"/>
      <c r="AL298" s="38">
        <f>AL43+AL64</f>
        <v>6000</v>
      </c>
      <c r="AM298" s="38">
        <f>AM43+AM64</f>
        <v>0</v>
      </c>
      <c r="AN298" s="38"/>
      <c r="AO298" s="38">
        <f>AO43+AO64</f>
        <v>0</v>
      </c>
      <c r="AP298" s="43">
        <f>AP43+AP64</f>
        <v>832.6</v>
      </c>
      <c r="AQ298" s="23"/>
      <c r="AR298" s="34"/>
      <c r="AS298" s="34"/>
      <c r="AT298" s="100">
        <f t="shared" si="451"/>
        <v>3.3184006632018627E-2</v>
      </c>
      <c r="AU298" s="83">
        <f t="shared" si="360"/>
        <v>0</v>
      </c>
      <c r="AV298" s="83">
        <f t="shared" si="361"/>
        <v>0</v>
      </c>
      <c r="AW298" s="83">
        <f t="shared" si="362"/>
        <v>542.1</v>
      </c>
      <c r="AX298" s="83">
        <f t="shared" si="363"/>
        <v>24548.3</v>
      </c>
    </row>
    <row r="299" spans="1:50" ht="14.25" customHeight="1" x14ac:dyDescent="0.3">
      <c r="A299" s="128"/>
      <c r="B299" s="129"/>
      <c r="C299" s="130"/>
      <c r="D299" s="37" t="s">
        <v>22</v>
      </c>
      <c r="E299" s="38">
        <f t="shared" si="506"/>
        <v>0</v>
      </c>
      <c r="F299" s="38">
        <f t="shared" si="495"/>
        <v>0</v>
      </c>
      <c r="G299" s="38"/>
      <c r="H299" s="38"/>
      <c r="I299" s="38"/>
      <c r="J299" s="38"/>
      <c r="K299" s="38"/>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43"/>
      <c r="AQ299" s="26"/>
      <c r="AR299" s="34"/>
      <c r="AS299" s="34"/>
      <c r="AT299" s="100"/>
      <c r="AU299" s="83">
        <f t="shared" si="360"/>
        <v>0</v>
      </c>
      <c r="AV299" s="83">
        <f t="shared" si="361"/>
        <v>0</v>
      </c>
      <c r="AW299" s="83">
        <f t="shared" si="362"/>
        <v>0</v>
      </c>
      <c r="AX299" s="83">
        <f t="shared" si="363"/>
        <v>0</v>
      </c>
    </row>
    <row r="300" spans="1:50" ht="14.25" customHeight="1" x14ac:dyDescent="0.3">
      <c r="A300" s="131"/>
      <c r="B300" s="132"/>
      <c r="C300" s="133"/>
      <c r="D300" s="37" t="s">
        <v>128</v>
      </c>
      <c r="E300" s="38"/>
      <c r="F300" s="38">
        <f t="shared" si="495"/>
        <v>191.4</v>
      </c>
      <c r="G300" s="38"/>
      <c r="H300" s="38"/>
      <c r="I300" s="38"/>
      <c r="J300" s="38"/>
      <c r="K300" s="38"/>
      <c r="L300" s="38"/>
      <c r="M300" s="38"/>
      <c r="N300" s="38"/>
      <c r="O300" s="38">
        <f>O45</f>
        <v>0</v>
      </c>
      <c r="P300" s="38"/>
      <c r="Q300" s="38"/>
      <c r="R300" s="38">
        <f>R45</f>
        <v>0</v>
      </c>
      <c r="S300" s="38"/>
      <c r="T300" s="38"/>
      <c r="U300" s="38"/>
      <c r="V300" s="38"/>
      <c r="W300" s="38"/>
      <c r="X300" s="38"/>
      <c r="Y300" s="38"/>
      <c r="Z300" s="38"/>
      <c r="AA300" s="38"/>
      <c r="AB300" s="38"/>
      <c r="AC300" s="38"/>
      <c r="AD300" s="38"/>
      <c r="AE300" s="38"/>
      <c r="AF300" s="38"/>
      <c r="AG300" s="38">
        <f>AG45</f>
        <v>0</v>
      </c>
      <c r="AH300" s="38"/>
      <c r="AI300" s="38"/>
      <c r="AJ300" s="38"/>
      <c r="AK300" s="38"/>
      <c r="AL300" s="38"/>
      <c r="AM300" s="38"/>
      <c r="AN300" s="38"/>
      <c r="AO300" s="38"/>
      <c r="AP300" s="38">
        <f t="shared" ref="AP300:AQ300" si="507">AP45</f>
        <v>191.4</v>
      </c>
      <c r="AQ300" s="38">
        <f t="shared" si="507"/>
        <v>0</v>
      </c>
      <c r="AR300" s="34"/>
      <c r="AS300" s="34"/>
      <c r="AT300" s="100"/>
      <c r="AU300" s="83"/>
      <c r="AV300" s="83"/>
      <c r="AW300" s="83"/>
      <c r="AX300" s="83"/>
    </row>
    <row r="301" spans="1:50" ht="14.25" customHeight="1" x14ac:dyDescent="0.3">
      <c r="A301" s="137" t="s">
        <v>125</v>
      </c>
      <c r="B301" s="137"/>
      <c r="C301" s="137"/>
      <c r="D301" s="37" t="s">
        <v>3</v>
      </c>
      <c r="E301" s="38">
        <f>H301+K301+N301+Q301+T301+W301+Z301+AC301+AF301+AI301+AL301+AO301</f>
        <v>2987.4</v>
      </c>
      <c r="F301" s="38">
        <f t="shared" si="495"/>
        <v>2987.4</v>
      </c>
      <c r="G301" s="38">
        <f>F301/E301*100</f>
        <v>100</v>
      </c>
      <c r="H301" s="38">
        <f>H302+H303+H304+H305</f>
        <v>0</v>
      </c>
      <c r="I301" s="38">
        <f>I302+I303+I304+I305</f>
        <v>0</v>
      </c>
      <c r="J301" s="38"/>
      <c r="K301" s="38">
        <f>K302+K303+K304+K305</f>
        <v>0</v>
      </c>
      <c r="L301" s="38">
        <f>L302+L303+L304+L305</f>
        <v>0</v>
      </c>
      <c r="M301" s="38"/>
      <c r="N301" s="38">
        <f>N302+N303+N304+N305</f>
        <v>370.9</v>
      </c>
      <c r="O301" s="38">
        <f>O302+O303+O304+O305</f>
        <v>198.10000000000002</v>
      </c>
      <c r="P301" s="38">
        <f>O301/N301*100</f>
        <v>53.410622809382588</v>
      </c>
      <c r="Q301" s="38">
        <f>Q302+Q303+Q304+Q305</f>
        <v>0</v>
      </c>
      <c r="R301" s="38">
        <f>R302+R303+R304+R305</f>
        <v>88.4</v>
      </c>
      <c r="S301" s="38"/>
      <c r="T301" s="38">
        <f>T302+T303+T304+T305</f>
        <v>0</v>
      </c>
      <c r="U301" s="38">
        <f>U302+U303+U304+U305</f>
        <v>0</v>
      </c>
      <c r="V301" s="38"/>
      <c r="W301" s="38">
        <f>W302+W303+W304+W305</f>
        <v>2256.4</v>
      </c>
      <c r="X301" s="38">
        <f>X302+X303+X304+X305</f>
        <v>2213.3000000000002</v>
      </c>
      <c r="Y301" s="38">
        <f>X301/W301*100</f>
        <v>98.089877681262195</v>
      </c>
      <c r="Z301" s="38">
        <f>Z302+Z303+Z304+Z305</f>
        <v>169.39999999999998</v>
      </c>
      <c r="AA301" s="38">
        <f>AA302+AA303+AA304+AA305</f>
        <v>444</v>
      </c>
      <c r="AB301" s="38">
        <f>AA301/Z301*100</f>
        <v>262.10153482880759</v>
      </c>
      <c r="AC301" s="38">
        <f>AC302+AC303+AC304+AC305</f>
        <v>0</v>
      </c>
      <c r="AD301" s="38">
        <f>AD302+AD303+AD304+AD305</f>
        <v>0</v>
      </c>
      <c r="AE301" s="38"/>
      <c r="AF301" s="38">
        <f>AF302+AF303+AF304+AF305</f>
        <v>0</v>
      </c>
      <c r="AG301" s="38">
        <f>AG302+AG303+AG304+AG305</f>
        <v>0</v>
      </c>
      <c r="AH301" s="38"/>
      <c r="AI301" s="38">
        <f>AI302+AI303+AI304+AI305</f>
        <v>0</v>
      </c>
      <c r="AJ301" s="38">
        <f>AJ302+AJ303+AJ304+AJ305</f>
        <v>0</v>
      </c>
      <c r="AK301" s="38"/>
      <c r="AL301" s="38">
        <f>AL302+AL303+AL304+AL305</f>
        <v>190.69999999999996</v>
      </c>
      <c r="AM301" s="38">
        <f>AM302+AM303+AM304+AM305</f>
        <v>45.099999999999994</v>
      </c>
      <c r="AN301" s="38">
        <f>AM301/AL301*100</f>
        <v>23.649711588883065</v>
      </c>
      <c r="AO301" s="38">
        <f>AO302+AO303+AO304+AO305</f>
        <v>0</v>
      </c>
      <c r="AP301" s="38">
        <f>AP302+AP303+AP304+AP305</f>
        <v>-1.5</v>
      </c>
      <c r="AQ301" s="23"/>
      <c r="AR301" s="34"/>
      <c r="AS301" s="34"/>
      <c r="AT301" s="100">
        <f t="shared" si="451"/>
        <v>1</v>
      </c>
      <c r="AU301" s="83">
        <f t="shared" si="360"/>
        <v>370.9</v>
      </c>
      <c r="AV301" s="83">
        <f t="shared" si="361"/>
        <v>2256.4</v>
      </c>
      <c r="AW301" s="83">
        <f t="shared" si="362"/>
        <v>169.39999999999998</v>
      </c>
      <c r="AX301" s="83">
        <f t="shared" si="363"/>
        <v>190.69999999999996</v>
      </c>
    </row>
    <row r="302" spans="1:50" ht="14.25" customHeight="1" x14ac:dyDescent="0.3">
      <c r="A302" s="137"/>
      <c r="B302" s="137"/>
      <c r="C302" s="137"/>
      <c r="D302" s="37" t="s">
        <v>21</v>
      </c>
      <c r="E302" s="38">
        <f t="shared" ref="E302:E305" si="508">H302+K302+N302+Q302+T302+W302+Z302+AC302+AF302+AI302+AL302+AO302</f>
        <v>0</v>
      </c>
      <c r="F302" s="38">
        <f t="shared" si="495"/>
        <v>0</v>
      </c>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43"/>
      <c r="AQ302" s="23"/>
      <c r="AR302" s="34"/>
      <c r="AS302" s="34"/>
      <c r="AT302" s="100"/>
      <c r="AU302" s="83">
        <f t="shared" si="360"/>
        <v>0</v>
      </c>
      <c r="AV302" s="83">
        <f t="shared" si="361"/>
        <v>0</v>
      </c>
      <c r="AW302" s="83">
        <f t="shared" si="362"/>
        <v>0</v>
      </c>
      <c r="AX302" s="83">
        <f t="shared" si="363"/>
        <v>0</v>
      </c>
    </row>
    <row r="303" spans="1:50" ht="25.8" customHeight="1" x14ac:dyDescent="0.3">
      <c r="A303" s="137"/>
      <c r="B303" s="137"/>
      <c r="C303" s="137"/>
      <c r="D303" s="37" t="s">
        <v>4</v>
      </c>
      <c r="E303" s="38">
        <f t="shared" si="508"/>
        <v>1424.9</v>
      </c>
      <c r="F303" s="38">
        <f t="shared" si="495"/>
        <v>1424.9</v>
      </c>
      <c r="G303" s="38">
        <f>F303/E303*100</f>
        <v>100</v>
      </c>
      <c r="H303" s="38"/>
      <c r="I303" s="38"/>
      <c r="J303" s="38"/>
      <c r="K303" s="38"/>
      <c r="L303" s="38"/>
      <c r="M303" s="38"/>
      <c r="N303" s="38">
        <v>205.6</v>
      </c>
      <c r="O303" s="38">
        <v>34.700000000000003</v>
      </c>
      <c r="P303" s="38">
        <f t="shared" ref="P303:P304" si="509">O303/N303*100</f>
        <v>16.877431906614788</v>
      </c>
      <c r="Q303" s="38"/>
      <c r="R303" s="38">
        <v>94.5</v>
      </c>
      <c r="S303" s="38"/>
      <c r="T303" s="38"/>
      <c r="U303" s="38"/>
      <c r="V303" s="38"/>
      <c r="W303" s="38">
        <f>1136.2-192.2+78.4</f>
        <v>1022.4</v>
      </c>
      <c r="X303" s="38">
        <v>983.8</v>
      </c>
      <c r="Y303" s="38">
        <f>X303/W303*100</f>
        <v>96.224569640062597</v>
      </c>
      <c r="Z303" s="38">
        <f>146.1-78.4</f>
        <v>67.699999999999989</v>
      </c>
      <c r="AA303" s="38">
        <v>182.7</v>
      </c>
      <c r="AB303" s="38">
        <f>AA303/Z303*100</f>
        <v>269.86706056129987</v>
      </c>
      <c r="AC303" s="38"/>
      <c r="AD303" s="38"/>
      <c r="AE303" s="38"/>
      <c r="AF303" s="38"/>
      <c r="AG303" s="38"/>
      <c r="AH303" s="38"/>
      <c r="AI303" s="38"/>
      <c r="AJ303" s="38"/>
      <c r="AK303" s="38"/>
      <c r="AL303" s="38">
        <f>205.6-76.4</f>
        <v>129.19999999999999</v>
      </c>
      <c r="AM303" s="38">
        <f>40.8+88.4</f>
        <v>129.19999999999999</v>
      </c>
      <c r="AN303" s="38">
        <f>AM303/AL303*100</f>
        <v>100</v>
      </c>
      <c r="AO303" s="38"/>
      <c r="AP303" s="43"/>
      <c r="AQ303" s="23"/>
      <c r="AR303" s="123" t="s">
        <v>193</v>
      </c>
      <c r="AS303" s="123"/>
      <c r="AT303" s="100">
        <f t="shared" si="451"/>
        <v>1</v>
      </c>
      <c r="AU303" s="83">
        <f t="shared" si="360"/>
        <v>205.6</v>
      </c>
      <c r="AV303" s="83">
        <f t="shared" si="361"/>
        <v>1022.4</v>
      </c>
      <c r="AW303" s="83">
        <f t="shared" si="362"/>
        <v>67.699999999999989</v>
      </c>
      <c r="AX303" s="83">
        <f t="shared" si="363"/>
        <v>129.19999999999999</v>
      </c>
    </row>
    <row r="304" spans="1:50" ht="22.2" customHeight="1" x14ac:dyDescent="0.3">
      <c r="A304" s="137"/>
      <c r="B304" s="137"/>
      <c r="C304" s="137"/>
      <c r="D304" s="37" t="s">
        <v>44</v>
      </c>
      <c r="E304" s="38">
        <f t="shared" si="508"/>
        <v>1562.5</v>
      </c>
      <c r="F304" s="38">
        <f t="shared" si="495"/>
        <v>1562.5</v>
      </c>
      <c r="G304" s="38">
        <f t="shared" ref="G304" si="510">F304/E304*100</f>
        <v>100</v>
      </c>
      <c r="H304" s="38"/>
      <c r="I304" s="38"/>
      <c r="J304" s="38"/>
      <c r="K304" s="38"/>
      <c r="L304" s="38"/>
      <c r="M304" s="38"/>
      <c r="N304" s="38">
        <f>294.6-129.3</f>
        <v>165.3</v>
      </c>
      <c r="O304" s="38">
        <v>163.4</v>
      </c>
      <c r="P304" s="38">
        <f t="shared" si="509"/>
        <v>98.850574712643677</v>
      </c>
      <c r="Q304" s="38"/>
      <c r="R304" s="38">
        <v>-6.1</v>
      </c>
      <c r="S304" s="38"/>
      <c r="T304" s="38"/>
      <c r="U304" s="38"/>
      <c r="V304" s="38"/>
      <c r="W304" s="38">
        <f>1522.3-66.8-631.9+410.4</f>
        <v>1234</v>
      </c>
      <c r="X304" s="38">
        <v>1229.5</v>
      </c>
      <c r="Y304" s="38">
        <f t="shared" ref="Y304" si="511">X304/W304*100</f>
        <v>99.635332252836307</v>
      </c>
      <c r="Z304" s="38">
        <f>186.4-84.7</f>
        <v>101.7</v>
      </c>
      <c r="AA304" s="38">
        <v>261.3</v>
      </c>
      <c r="AB304" s="38">
        <f t="shared" ref="AB304" si="512">AA304/Z304*100</f>
        <v>256.93215339233035</v>
      </c>
      <c r="AC304" s="38"/>
      <c r="AD304" s="38"/>
      <c r="AE304" s="38"/>
      <c r="AF304" s="38"/>
      <c r="AG304" s="38"/>
      <c r="AH304" s="38"/>
      <c r="AI304" s="38"/>
      <c r="AJ304" s="38"/>
      <c r="AK304" s="38"/>
      <c r="AL304" s="38">
        <f>259.4-197.9</f>
        <v>61.499999999999972</v>
      </c>
      <c r="AM304" s="38">
        <v>-84.1</v>
      </c>
      <c r="AN304" s="38">
        <f t="shared" ref="AN304" si="513">AM304/AL304*100</f>
        <v>-136.74796747967486</v>
      </c>
      <c r="AO304" s="38"/>
      <c r="AP304" s="43">
        <v>-1.5</v>
      </c>
      <c r="AQ304" s="23"/>
      <c r="AR304" s="124"/>
      <c r="AS304" s="124"/>
      <c r="AT304" s="100">
        <f t="shared" si="451"/>
        <v>1</v>
      </c>
      <c r="AU304" s="83">
        <f t="shared" si="360"/>
        <v>165.3</v>
      </c>
      <c r="AV304" s="83">
        <f t="shared" si="361"/>
        <v>1234</v>
      </c>
      <c r="AW304" s="83">
        <f t="shared" si="362"/>
        <v>101.7</v>
      </c>
      <c r="AX304" s="83">
        <f t="shared" si="363"/>
        <v>61.499999999999972</v>
      </c>
    </row>
    <row r="305" spans="1:73" ht="14.25" customHeight="1" x14ac:dyDescent="0.3">
      <c r="A305" s="137"/>
      <c r="B305" s="137"/>
      <c r="C305" s="137"/>
      <c r="D305" s="37" t="s">
        <v>22</v>
      </c>
      <c r="E305" s="38">
        <f t="shared" si="508"/>
        <v>0</v>
      </c>
      <c r="F305" s="38">
        <f t="shared" si="495"/>
        <v>0</v>
      </c>
      <c r="G305" s="38"/>
      <c r="H305" s="38"/>
      <c r="I305" s="38"/>
      <c r="J305" s="38"/>
      <c r="K305" s="38"/>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43"/>
      <c r="AQ305" s="26"/>
      <c r="AR305" s="34"/>
      <c r="AS305" s="34"/>
      <c r="AT305" s="100"/>
      <c r="AU305" s="83">
        <f t="shared" si="360"/>
        <v>0</v>
      </c>
      <c r="AV305" s="83">
        <f t="shared" si="361"/>
        <v>0</v>
      </c>
      <c r="AW305" s="83">
        <f t="shared" si="362"/>
        <v>0</v>
      </c>
      <c r="AX305" s="83">
        <f t="shared" si="363"/>
        <v>0</v>
      </c>
    </row>
    <row r="306" spans="1:73" ht="15.6" x14ac:dyDescent="0.3">
      <c r="A306" s="49"/>
    </row>
    <row r="307" spans="1:73" ht="15.6" x14ac:dyDescent="0.3">
      <c r="A307" s="49"/>
      <c r="D307" s="63"/>
      <c r="E307" s="63"/>
      <c r="F307" s="104">
        <f>E304-F304</f>
        <v>0</v>
      </c>
      <c r="G307" s="63"/>
      <c r="H307" s="63"/>
      <c r="N307" s="59"/>
      <c r="AM307" s="105">
        <f>AL303-AM303</f>
        <v>0</v>
      </c>
    </row>
    <row r="308" spans="1:73" s="8" customFormat="1" ht="68.25" customHeight="1" x14ac:dyDescent="0.3">
      <c r="A308" s="1"/>
      <c r="B308" s="2" t="s">
        <v>127</v>
      </c>
      <c r="C308" s="2"/>
      <c r="D308" s="76"/>
      <c r="E308" s="77"/>
      <c r="F308" s="77"/>
      <c r="G308" s="77"/>
      <c r="H308" s="78"/>
      <c r="I308" s="21"/>
      <c r="J308" s="21"/>
      <c r="K308" s="3" t="s">
        <v>176</v>
      </c>
      <c r="L308" s="3"/>
      <c r="M308" s="3"/>
      <c r="Q308" s="4"/>
      <c r="R308" s="4"/>
      <c r="S308" s="4"/>
      <c r="T308" s="4"/>
      <c r="U308" s="4"/>
      <c r="V308" s="4"/>
      <c r="W308" s="4"/>
      <c r="X308" s="4"/>
      <c r="Y308" s="4"/>
      <c r="Z308" s="4"/>
      <c r="AA308" s="4"/>
      <c r="AB308" s="4"/>
      <c r="AC308" s="4"/>
      <c r="AD308" s="4"/>
      <c r="AE308" s="4"/>
      <c r="AF308" s="2"/>
      <c r="AG308" s="2"/>
      <c r="AH308" s="2"/>
      <c r="AI308" s="2"/>
      <c r="AJ308" s="2"/>
      <c r="AK308" s="2"/>
      <c r="AL308" s="5"/>
      <c r="AM308" s="5"/>
      <c r="AN308" s="5"/>
      <c r="AO308" s="5" t="s">
        <v>38</v>
      </c>
      <c r="AP308" s="5"/>
      <c r="AQ308" s="5"/>
      <c r="AR308" s="12"/>
      <c r="AS308" s="12"/>
      <c r="AT308" s="12"/>
      <c r="AU308" s="6"/>
      <c r="AV308" s="6"/>
      <c r="AW308" s="6"/>
      <c r="AX308" s="2"/>
      <c r="AY308" s="6"/>
      <c r="AZ308" s="6"/>
      <c r="BA308" s="6"/>
      <c r="BB308" s="6"/>
      <c r="BC308" s="6"/>
      <c r="BD308" s="6"/>
      <c r="BE308" s="6"/>
      <c r="BF308" s="6"/>
      <c r="BG308" s="6"/>
      <c r="BH308" s="6"/>
      <c r="BI308" s="6"/>
      <c r="BJ308" s="6"/>
      <c r="BK308" s="6"/>
      <c r="BL308" s="6"/>
      <c r="BM308" s="6"/>
      <c r="BN308" s="6"/>
      <c r="BO308" s="6"/>
      <c r="BP308" s="6"/>
      <c r="BQ308" s="6"/>
      <c r="BR308" s="7"/>
      <c r="BS308" s="7"/>
      <c r="BT308" s="7"/>
      <c r="BU308" s="7"/>
    </row>
    <row r="309" spans="1:73" s="8" customFormat="1" ht="83.25" customHeight="1" x14ac:dyDescent="0.3">
      <c r="A309" s="1"/>
      <c r="B309" s="87" t="s">
        <v>143</v>
      </c>
      <c r="C309" s="64"/>
      <c r="D309" s="65"/>
      <c r="E309" s="66"/>
      <c r="F309" s="66"/>
      <c r="G309" s="66"/>
      <c r="H309" s="67"/>
      <c r="I309" s="68"/>
      <c r="J309" s="68"/>
      <c r="K309" s="69" t="s">
        <v>144</v>
      </c>
      <c r="L309" s="70"/>
      <c r="M309" s="70"/>
      <c r="N309" s="71"/>
      <c r="O309" s="71"/>
      <c r="P309" s="71"/>
      <c r="Q309" s="71"/>
      <c r="R309" s="71"/>
      <c r="S309" s="71"/>
      <c r="T309" s="72"/>
      <c r="U309" s="72"/>
      <c r="V309" s="72"/>
      <c r="W309" s="72"/>
      <c r="X309" s="72"/>
      <c r="Y309" s="72"/>
      <c r="Z309" s="72"/>
      <c r="AA309" s="72"/>
      <c r="AB309" s="72"/>
      <c r="AC309" s="72"/>
      <c r="AD309" s="72"/>
      <c r="AE309" s="72"/>
      <c r="AF309" s="64"/>
      <c r="AG309" s="64"/>
      <c r="AH309" s="64"/>
      <c r="AI309" s="64"/>
      <c r="AJ309" s="64"/>
      <c r="AK309" s="64"/>
      <c r="AL309" s="71"/>
      <c r="AM309" s="71"/>
      <c r="AN309" s="71"/>
      <c r="AO309" s="73" t="s">
        <v>39</v>
      </c>
      <c r="AR309" s="12"/>
      <c r="AS309" s="12"/>
      <c r="AT309" s="12"/>
      <c r="AU309" s="6"/>
      <c r="AV309" s="6"/>
      <c r="AW309" s="6"/>
      <c r="AX309" s="2"/>
      <c r="AY309" s="5"/>
      <c r="AZ309" s="6"/>
      <c r="BA309" s="6"/>
      <c r="BB309" s="6"/>
      <c r="BC309" s="6"/>
      <c r="BD309" s="6"/>
      <c r="BE309" s="6"/>
      <c r="BF309" s="6"/>
      <c r="BG309" s="6"/>
      <c r="BH309" s="9"/>
      <c r="BI309" s="9"/>
      <c r="BJ309" s="9"/>
      <c r="BK309" s="9"/>
      <c r="BL309" s="9"/>
      <c r="BM309" s="9"/>
      <c r="BN309" s="9"/>
      <c r="BO309" s="10"/>
      <c r="BP309" s="10"/>
      <c r="BQ309" s="10"/>
      <c r="BR309" s="7"/>
      <c r="BS309" s="7"/>
      <c r="BT309" s="7"/>
      <c r="BU309" s="7"/>
    </row>
    <row r="310" spans="1:73" ht="46.5" customHeight="1" x14ac:dyDescent="0.3">
      <c r="Z310" s="80"/>
      <c r="AA310" s="80"/>
      <c r="AB310" s="80"/>
      <c r="AC310" s="80"/>
      <c r="AD310" s="80"/>
      <c r="AE310" s="80"/>
      <c r="AF310" s="80"/>
      <c r="AG310" s="80"/>
      <c r="AH310" s="80"/>
      <c r="AI310" s="80"/>
      <c r="AJ310" s="74"/>
      <c r="AK310" s="74"/>
      <c r="AL310" s="74"/>
      <c r="AM310" s="74"/>
      <c r="AN310" s="74"/>
      <c r="AO310" s="75" t="s">
        <v>196</v>
      </c>
    </row>
    <row r="311" spans="1:73" ht="15.75" customHeight="1" x14ac:dyDescent="0.3"/>
    <row r="312" spans="1:73" s="13" customFormat="1" ht="14.25" customHeight="1" x14ac:dyDescent="0.25">
      <c r="A312" s="15" t="s">
        <v>40</v>
      </c>
      <c r="B312" s="15"/>
      <c r="C312" s="93"/>
      <c r="D312" s="14"/>
      <c r="E312" s="16"/>
      <c r="F312" s="16"/>
      <c r="G312" s="16"/>
      <c r="H312" s="18"/>
      <c r="I312" s="18"/>
      <c r="J312" s="18"/>
      <c r="K312" s="18"/>
      <c r="L312" s="18"/>
      <c r="M312" s="18"/>
      <c r="N312" s="18"/>
      <c r="O312" s="18"/>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c r="AR312" s="12"/>
      <c r="AS312" s="12"/>
      <c r="AT312" s="12"/>
      <c r="AU312" s="6"/>
      <c r="AV312" s="6"/>
      <c r="AW312" s="6"/>
      <c r="AX312" s="6"/>
      <c r="AY312" s="11"/>
      <c r="AZ312" s="6"/>
      <c r="BA312" s="6"/>
      <c r="BB312" s="6"/>
      <c r="BC312" s="6"/>
      <c r="BD312" s="6"/>
      <c r="BE312" s="6"/>
      <c r="BF312" s="6"/>
      <c r="BG312" s="6"/>
      <c r="BH312" s="12"/>
      <c r="BI312" s="12"/>
      <c r="BJ312" s="12"/>
      <c r="BK312" s="6"/>
      <c r="BL312" s="6"/>
      <c r="BM312" s="6"/>
      <c r="BN312" s="10"/>
      <c r="BO312" s="10"/>
      <c r="BP312" s="10"/>
      <c r="BQ312" s="10"/>
      <c r="BR312" s="7"/>
      <c r="BS312" s="7"/>
      <c r="BT312" s="7"/>
      <c r="BU312" s="17"/>
    </row>
    <row r="313" spans="1:73" s="13" customFormat="1" ht="13.8" x14ac:dyDescent="0.3">
      <c r="A313" s="138" t="s">
        <v>126</v>
      </c>
      <c r="B313" s="138"/>
      <c r="C313" s="138"/>
      <c r="D313" s="138"/>
      <c r="E313" s="138"/>
      <c r="F313" s="138"/>
      <c r="G313" s="138"/>
      <c r="H313" s="138"/>
      <c r="I313" s="138"/>
      <c r="J313" s="138"/>
      <c r="K313" s="138"/>
      <c r="L313" s="93"/>
      <c r="M313" s="93"/>
      <c r="N313" s="19"/>
      <c r="O313" s="19"/>
      <c r="P313" s="19"/>
      <c r="Q313" s="12"/>
      <c r="R313" s="12"/>
      <c r="S313" s="12"/>
      <c r="T313" s="12"/>
      <c r="U313" s="12"/>
      <c r="V313" s="12"/>
      <c r="W313" s="20"/>
      <c r="X313" s="20"/>
      <c r="Y313" s="20"/>
      <c r="Z313" s="12"/>
      <c r="AA313" s="12"/>
      <c r="AB313" s="12"/>
      <c r="AC313" s="12"/>
      <c r="AD313" s="12"/>
      <c r="AE313" s="12"/>
      <c r="AF313" s="19"/>
      <c r="AG313" s="19"/>
      <c r="AH313" s="19"/>
      <c r="AI313" s="12"/>
      <c r="AJ313" s="12"/>
      <c r="AK313" s="12"/>
      <c r="AL313" s="12"/>
      <c r="AM313" s="12"/>
      <c r="AN313" s="12"/>
      <c r="AO313" s="19"/>
      <c r="AP313" s="19"/>
      <c r="AQ313" s="19"/>
      <c r="AR313" s="12"/>
      <c r="AS313" s="12"/>
      <c r="AT313" s="12"/>
      <c r="AU313" s="6"/>
      <c r="AV313" s="6"/>
      <c r="AW313" s="6"/>
      <c r="AX313" s="6"/>
      <c r="AY313" s="6"/>
      <c r="AZ313" s="6"/>
      <c r="BA313" s="6"/>
      <c r="BB313" s="6"/>
      <c r="BC313" s="6"/>
      <c r="BD313" s="6"/>
      <c r="BE313" s="6"/>
      <c r="BF313" s="6"/>
      <c r="BG313" s="6"/>
      <c r="BH313" s="12"/>
      <c r="BI313" s="12"/>
      <c r="BJ313" s="12"/>
      <c r="BK313" s="6"/>
      <c r="BL313" s="6"/>
      <c r="BM313" s="6"/>
      <c r="BN313" s="10"/>
      <c r="BO313" s="10"/>
      <c r="BP313" s="10"/>
      <c r="BQ313" s="10"/>
      <c r="BR313" s="7"/>
      <c r="BS313" s="7"/>
      <c r="BT313" s="7"/>
    </row>
  </sheetData>
  <mergeCells count="175">
    <mergeCell ref="AS303:AS304"/>
    <mergeCell ref="AR303:AR304"/>
    <mergeCell ref="A1:AS1"/>
    <mergeCell ref="A3:AS3"/>
    <mergeCell ref="A5:A7"/>
    <mergeCell ref="B5:B7"/>
    <mergeCell ref="C5:C7"/>
    <mergeCell ref="D5:D7"/>
    <mergeCell ref="E5:G6"/>
    <mergeCell ref="H5:AQ5"/>
    <mergeCell ref="AR5:AR7"/>
    <mergeCell ref="AS5:AS7"/>
    <mergeCell ref="Z6:AB6"/>
    <mergeCell ref="AC6:AE6"/>
    <mergeCell ref="AF6:AH6"/>
    <mergeCell ref="AI6:AK6"/>
    <mergeCell ref="AL6:AN6"/>
    <mergeCell ref="AO6:AQ6"/>
    <mergeCell ref="H6:J6"/>
    <mergeCell ref="K6:M6"/>
    <mergeCell ref="N6:P6"/>
    <mergeCell ref="Q6:S6"/>
    <mergeCell ref="T6:V6"/>
    <mergeCell ref="W6:Y6"/>
    <mergeCell ref="A19:A23"/>
    <mergeCell ref="B19:B23"/>
    <mergeCell ref="C19:C23"/>
    <mergeCell ref="A24:A28"/>
    <mergeCell ref="B24:B28"/>
    <mergeCell ref="C24:C28"/>
    <mergeCell ref="A9:A13"/>
    <mergeCell ref="B9:B13"/>
    <mergeCell ref="C9:C13"/>
    <mergeCell ref="A14:A18"/>
    <mergeCell ref="B14:B18"/>
    <mergeCell ref="C14:C18"/>
    <mergeCell ref="A46:A50"/>
    <mergeCell ref="B46:B50"/>
    <mergeCell ref="C46:C50"/>
    <mergeCell ref="A51:A55"/>
    <mergeCell ref="B51:B55"/>
    <mergeCell ref="C51:C55"/>
    <mergeCell ref="A29:C33"/>
    <mergeCell ref="A35:A39"/>
    <mergeCell ref="B35:B39"/>
    <mergeCell ref="C35:C39"/>
    <mergeCell ref="A40:A45"/>
    <mergeCell ref="B40:B45"/>
    <mergeCell ref="C40:C45"/>
    <mergeCell ref="A66:A71"/>
    <mergeCell ref="B66:B71"/>
    <mergeCell ref="A72:A76"/>
    <mergeCell ref="B72:B76"/>
    <mergeCell ref="C72:C76"/>
    <mergeCell ref="A56:A60"/>
    <mergeCell ref="B56:B60"/>
    <mergeCell ref="C56:C60"/>
    <mergeCell ref="A61:A65"/>
    <mergeCell ref="B61:B65"/>
    <mergeCell ref="C61:C65"/>
    <mergeCell ref="C66:C71"/>
    <mergeCell ref="A94:A98"/>
    <mergeCell ref="B94:B98"/>
    <mergeCell ref="C94:C98"/>
    <mergeCell ref="A99:A103"/>
    <mergeCell ref="B99:B103"/>
    <mergeCell ref="C99:C103"/>
    <mergeCell ref="A77:C82"/>
    <mergeCell ref="A84:A88"/>
    <mergeCell ref="B84:B88"/>
    <mergeCell ref="C84:C88"/>
    <mergeCell ref="A89:A93"/>
    <mergeCell ref="B89:B93"/>
    <mergeCell ref="C89:C93"/>
    <mergeCell ref="A114:A118"/>
    <mergeCell ref="B114:B118"/>
    <mergeCell ref="C114:C118"/>
    <mergeCell ref="A124:A128"/>
    <mergeCell ref="B124:B128"/>
    <mergeCell ref="C124:C128"/>
    <mergeCell ref="A104:A108"/>
    <mergeCell ref="B104:B108"/>
    <mergeCell ref="C104:C108"/>
    <mergeCell ref="A109:A113"/>
    <mergeCell ref="B109:B113"/>
    <mergeCell ref="C109:C113"/>
    <mergeCell ref="A119:A123"/>
    <mergeCell ref="B119:B123"/>
    <mergeCell ref="C119:C123"/>
    <mergeCell ref="A139:A143"/>
    <mergeCell ref="B139:B143"/>
    <mergeCell ref="C139:C143"/>
    <mergeCell ref="A144:A148"/>
    <mergeCell ref="B144:B148"/>
    <mergeCell ref="C144:C148"/>
    <mergeCell ref="A129:A133"/>
    <mergeCell ref="B129:B133"/>
    <mergeCell ref="C129:C133"/>
    <mergeCell ref="A134:A138"/>
    <mergeCell ref="B134:B138"/>
    <mergeCell ref="C134:C138"/>
    <mergeCell ref="A165:A169"/>
    <mergeCell ref="B165:B169"/>
    <mergeCell ref="C165:C169"/>
    <mergeCell ref="A170:A174"/>
    <mergeCell ref="B170:B174"/>
    <mergeCell ref="C170:C174"/>
    <mergeCell ref="A149:C153"/>
    <mergeCell ref="A155:A159"/>
    <mergeCell ref="B155:B159"/>
    <mergeCell ref="C155:C159"/>
    <mergeCell ref="A160:A164"/>
    <mergeCell ref="B160:B164"/>
    <mergeCell ref="C160:C164"/>
    <mergeCell ref="A185:C189"/>
    <mergeCell ref="A191:A195"/>
    <mergeCell ref="B191:B195"/>
    <mergeCell ref="C191:C195"/>
    <mergeCell ref="A196:A200"/>
    <mergeCell ref="B196:B200"/>
    <mergeCell ref="C196:C200"/>
    <mergeCell ref="A175:A179"/>
    <mergeCell ref="B175:B179"/>
    <mergeCell ref="C175:C179"/>
    <mergeCell ref="A180:A184"/>
    <mergeCell ref="B180:B184"/>
    <mergeCell ref="C180:C184"/>
    <mergeCell ref="AR212:AR214"/>
    <mergeCell ref="AS212:AS214"/>
    <mergeCell ref="A221:C225"/>
    <mergeCell ref="A201:A205"/>
    <mergeCell ref="B201:B205"/>
    <mergeCell ref="C201:C205"/>
    <mergeCell ref="A206:A210"/>
    <mergeCell ref="B206:B210"/>
    <mergeCell ref="C206:C210"/>
    <mergeCell ref="A216:A220"/>
    <mergeCell ref="B216:B220"/>
    <mergeCell ref="C216:C220"/>
    <mergeCell ref="AR217:AR219"/>
    <mergeCell ref="AS217:AS219"/>
    <mergeCell ref="C250:C254"/>
    <mergeCell ref="A227:A231"/>
    <mergeCell ref="B227:B231"/>
    <mergeCell ref="C227:C231"/>
    <mergeCell ref="A232:A236"/>
    <mergeCell ref="B232:B236"/>
    <mergeCell ref="C232:C236"/>
    <mergeCell ref="A211:A215"/>
    <mergeCell ref="B211:B215"/>
    <mergeCell ref="C211:C215"/>
    <mergeCell ref="AS229:AS230"/>
    <mergeCell ref="A282:C287"/>
    <mergeCell ref="A288:C288"/>
    <mergeCell ref="A289:C294"/>
    <mergeCell ref="A295:C300"/>
    <mergeCell ref="A301:C305"/>
    <mergeCell ref="A313:K313"/>
    <mergeCell ref="A260:A264"/>
    <mergeCell ref="B260:B264"/>
    <mergeCell ref="C260:C264"/>
    <mergeCell ref="A265:C269"/>
    <mergeCell ref="A270:C275"/>
    <mergeCell ref="A276:C281"/>
    <mergeCell ref="AS252:AS253"/>
    <mergeCell ref="A255:A259"/>
    <mergeCell ref="B255:B259"/>
    <mergeCell ref="C255:C259"/>
    <mergeCell ref="AS257:AS258"/>
    <mergeCell ref="A237:A242"/>
    <mergeCell ref="B237:B242"/>
    <mergeCell ref="C237:C242"/>
    <mergeCell ref="A243:C248"/>
    <mergeCell ref="A250:A254"/>
    <mergeCell ref="B250:B254"/>
  </mergeCells>
  <pageMargins left="0.70866141732283472" right="0.70866141732283472" top="0.74803149606299213" bottom="0.74803149606299213" header="0.31496062992125984" footer="0.31496062992125984"/>
  <pageSetup paperSize="9" scale="29" fitToHeight="7"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zoomScale="90" zoomScaleNormal="90" workbookViewId="0">
      <selection activeCell="G10" sqref="G10"/>
    </sheetView>
  </sheetViews>
  <sheetFormatPr defaultRowHeight="14.4" x14ac:dyDescent="0.3"/>
  <cols>
    <col min="1" max="1" width="4.6640625" style="27" customWidth="1"/>
    <col min="2" max="2" width="65.5546875" style="27" customWidth="1"/>
    <col min="3" max="3" width="9.33203125" style="27" customWidth="1"/>
    <col min="4" max="5" width="10.44140625" style="27" customWidth="1"/>
    <col min="6" max="6" width="12.77734375" style="27" customWidth="1"/>
    <col min="7" max="7" width="64.21875" style="27" customWidth="1"/>
    <col min="8" max="16384" width="8.88671875" style="27"/>
  </cols>
  <sheetData>
    <row r="1" spans="1:7" ht="15.6" x14ac:dyDescent="0.3">
      <c r="A1" s="170" t="s">
        <v>203</v>
      </c>
      <c r="B1" s="170"/>
      <c r="C1" s="170"/>
      <c r="D1" s="170"/>
      <c r="E1" s="170"/>
      <c r="F1" s="170"/>
      <c r="G1" s="170"/>
    </row>
    <row r="2" spans="1:7" ht="15.6" x14ac:dyDescent="0.3">
      <c r="A2" s="171" t="s">
        <v>204</v>
      </c>
      <c r="B2" s="171"/>
      <c r="C2" s="171"/>
      <c r="D2" s="171"/>
      <c r="E2" s="171"/>
      <c r="F2" s="171"/>
      <c r="G2" s="171"/>
    </row>
    <row r="3" spans="1:7" ht="15.6" x14ac:dyDescent="0.3">
      <c r="A3" s="171" t="s">
        <v>245</v>
      </c>
      <c r="B3" s="171"/>
      <c r="C3" s="171"/>
      <c r="D3" s="171"/>
      <c r="E3" s="171"/>
      <c r="F3" s="171"/>
      <c r="G3" s="171"/>
    </row>
    <row r="4" spans="1:7" ht="15.6" x14ac:dyDescent="0.3">
      <c r="A4" s="112"/>
    </row>
    <row r="5" spans="1:7" ht="62.25" customHeight="1" x14ac:dyDescent="0.3">
      <c r="A5" s="172" t="s">
        <v>205</v>
      </c>
      <c r="B5" s="174" t="s">
        <v>206</v>
      </c>
      <c r="C5" s="174" t="s">
        <v>207</v>
      </c>
      <c r="D5" s="174" t="s">
        <v>208</v>
      </c>
      <c r="E5" s="174"/>
      <c r="F5" s="174" t="s">
        <v>209</v>
      </c>
      <c r="G5" s="172" t="s">
        <v>210</v>
      </c>
    </row>
    <row r="6" spans="1:7" ht="46.8" x14ac:dyDescent="0.3">
      <c r="A6" s="173"/>
      <c r="B6" s="174"/>
      <c r="C6" s="174"/>
      <c r="D6" s="108" t="s">
        <v>211</v>
      </c>
      <c r="E6" s="108" t="s">
        <v>212</v>
      </c>
      <c r="F6" s="174"/>
      <c r="G6" s="173"/>
    </row>
    <row r="7" spans="1:7" x14ac:dyDescent="0.3">
      <c r="A7" s="113">
        <v>1</v>
      </c>
      <c r="B7" s="113">
        <v>2</v>
      </c>
      <c r="C7" s="113">
        <v>3</v>
      </c>
      <c r="D7" s="113">
        <v>4</v>
      </c>
      <c r="E7" s="113">
        <v>5</v>
      </c>
      <c r="F7" s="113">
        <v>6</v>
      </c>
      <c r="G7" s="113">
        <v>7</v>
      </c>
    </row>
    <row r="8" spans="1:7" ht="63.6" customHeight="1" x14ac:dyDescent="0.3">
      <c r="A8" s="114" t="s">
        <v>278</v>
      </c>
      <c r="B8" s="111" t="s">
        <v>213</v>
      </c>
      <c r="C8" s="108" t="s">
        <v>214</v>
      </c>
      <c r="D8" s="108">
        <v>413</v>
      </c>
      <c r="E8" s="108">
        <v>430</v>
      </c>
      <c r="F8" s="107">
        <f>E8/D8*100</f>
        <v>104.11622276029055</v>
      </c>
      <c r="G8" s="109" t="s">
        <v>259</v>
      </c>
    </row>
    <row r="9" spans="1:7" ht="63.6" customHeight="1" x14ac:dyDescent="0.3">
      <c r="A9" s="114" t="s">
        <v>279</v>
      </c>
      <c r="B9" s="115" t="s">
        <v>215</v>
      </c>
      <c r="C9" s="116" t="s">
        <v>216</v>
      </c>
      <c r="D9" s="116">
        <v>20.3</v>
      </c>
      <c r="E9" s="116">
        <v>0</v>
      </c>
      <c r="F9" s="121">
        <v>100</v>
      </c>
      <c r="G9" s="115" t="s">
        <v>260</v>
      </c>
    </row>
    <row r="10" spans="1:7" ht="64.5" customHeight="1" x14ac:dyDescent="0.3">
      <c r="A10" s="110" t="s">
        <v>280</v>
      </c>
      <c r="B10" s="109" t="s">
        <v>217</v>
      </c>
      <c r="C10" s="108" t="s">
        <v>216</v>
      </c>
      <c r="D10" s="108">
        <v>66.3</v>
      </c>
      <c r="E10" s="108">
        <v>73.099999999999994</v>
      </c>
      <c r="F10" s="107">
        <f>E10/D10*100</f>
        <v>110.25641025641025</v>
      </c>
      <c r="G10" s="109" t="s">
        <v>298</v>
      </c>
    </row>
    <row r="11" spans="1:7" ht="48.75" customHeight="1" x14ac:dyDescent="0.3">
      <c r="A11" s="110" t="s">
        <v>281</v>
      </c>
      <c r="B11" s="111" t="s">
        <v>218</v>
      </c>
      <c r="C11" s="108" t="s">
        <v>216</v>
      </c>
      <c r="D11" s="108">
        <v>16.8</v>
      </c>
      <c r="E11" s="108">
        <v>0</v>
      </c>
      <c r="F11" s="107">
        <v>100</v>
      </c>
      <c r="G11" s="111" t="s">
        <v>260</v>
      </c>
    </row>
    <row r="12" spans="1:7" ht="30.75" customHeight="1" x14ac:dyDescent="0.3">
      <c r="A12" s="110" t="s">
        <v>282</v>
      </c>
      <c r="B12" s="111" t="s">
        <v>219</v>
      </c>
      <c r="C12" s="108" t="s">
        <v>216</v>
      </c>
      <c r="D12" s="108">
        <v>100</v>
      </c>
      <c r="E12" s="108">
        <v>100</v>
      </c>
      <c r="F12" s="107">
        <f>E12/D12*100</f>
        <v>100</v>
      </c>
      <c r="G12" s="109" t="s">
        <v>262</v>
      </c>
    </row>
    <row r="13" spans="1:7" ht="48.75" customHeight="1" x14ac:dyDescent="0.3">
      <c r="A13" s="110" t="s">
        <v>283</v>
      </c>
      <c r="B13" s="111" t="s">
        <v>220</v>
      </c>
      <c r="C13" s="108" t="s">
        <v>216</v>
      </c>
      <c r="D13" s="108">
        <v>94.8</v>
      </c>
      <c r="E13" s="108">
        <v>96.9</v>
      </c>
      <c r="F13" s="107">
        <f>E13/D13*100</f>
        <v>102.21518987341773</v>
      </c>
      <c r="G13" s="109" t="s">
        <v>259</v>
      </c>
    </row>
    <row r="14" spans="1:7" ht="65.25" customHeight="1" x14ac:dyDescent="0.3">
      <c r="A14" s="110" t="s">
        <v>284</v>
      </c>
      <c r="B14" s="111" t="s">
        <v>221</v>
      </c>
      <c r="C14" s="108" t="s">
        <v>216</v>
      </c>
      <c r="D14" s="108">
        <v>20</v>
      </c>
      <c r="E14" s="108">
        <v>29.4</v>
      </c>
      <c r="F14" s="107">
        <f>(100-(E14/D14*100))+100</f>
        <v>53</v>
      </c>
      <c r="G14" s="109" t="s">
        <v>261</v>
      </c>
    </row>
    <row r="15" spans="1:7" ht="62.4" x14ac:dyDescent="0.3">
      <c r="A15" s="110" t="s">
        <v>285</v>
      </c>
      <c r="B15" s="111" t="s">
        <v>222</v>
      </c>
      <c r="C15" s="108" t="s">
        <v>216</v>
      </c>
      <c r="D15" s="108">
        <v>100</v>
      </c>
      <c r="E15" s="108">
        <v>100</v>
      </c>
      <c r="F15" s="107">
        <f>E15/D15*100</f>
        <v>100</v>
      </c>
      <c r="G15" s="109" t="s">
        <v>262</v>
      </c>
    </row>
    <row r="16" spans="1:7" ht="62.4" x14ac:dyDescent="0.3">
      <c r="A16" s="110" t="s">
        <v>286</v>
      </c>
      <c r="B16" s="109" t="s">
        <v>223</v>
      </c>
      <c r="C16" s="108" t="s">
        <v>216</v>
      </c>
      <c r="D16" s="108">
        <v>16.7</v>
      </c>
      <c r="E16" s="108">
        <v>0</v>
      </c>
      <c r="F16" s="107">
        <f>(100-(E16/D16*100))+100</f>
        <v>200</v>
      </c>
      <c r="G16" s="109" t="s">
        <v>262</v>
      </c>
    </row>
    <row r="17" spans="1:7" ht="64.5" customHeight="1" x14ac:dyDescent="0.3">
      <c r="A17" s="110" t="s">
        <v>287</v>
      </c>
      <c r="B17" s="109" t="s">
        <v>224</v>
      </c>
      <c r="C17" s="108" t="s">
        <v>216</v>
      </c>
      <c r="D17" s="108">
        <v>12.5</v>
      </c>
      <c r="E17" s="108">
        <v>12.5</v>
      </c>
      <c r="F17" s="107">
        <v>100</v>
      </c>
      <c r="G17" s="109" t="s">
        <v>263</v>
      </c>
    </row>
    <row r="18" spans="1:7" ht="62.4" x14ac:dyDescent="0.3">
      <c r="A18" s="110" t="s">
        <v>272</v>
      </c>
      <c r="B18" s="111" t="s">
        <v>271</v>
      </c>
      <c r="C18" s="108" t="s">
        <v>216</v>
      </c>
      <c r="D18" s="108">
        <v>3.2</v>
      </c>
      <c r="E18" s="108">
        <v>3.3</v>
      </c>
      <c r="F18" s="107">
        <f t="shared" ref="F18:F22" si="0">E18/D18*100</f>
        <v>103.12499999999997</v>
      </c>
      <c r="G18" s="109" t="s">
        <v>303</v>
      </c>
    </row>
    <row r="19" spans="1:7" ht="46.8" x14ac:dyDescent="0.3">
      <c r="A19" s="110" t="s">
        <v>288</v>
      </c>
      <c r="B19" s="111" t="s">
        <v>225</v>
      </c>
      <c r="C19" s="108" t="s">
        <v>216</v>
      </c>
      <c r="D19" s="108">
        <v>20</v>
      </c>
      <c r="E19" s="108">
        <v>21.7</v>
      </c>
      <c r="F19" s="107">
        <f t="shared" si="0"/>
        <v>108.5</v>
      </c>
      <c r="G19" s="109" t="s">
        <v>299</v>
      </c>
    </row>
    <row r="20" spans="1:7" ht="46.5" customHeight="1" x14ac:dyDescent="0.3">
      <c r="A20" s="110" t="s">
        <v>289</v>
      </c>
      <c r="B20" s="111" t="s">
        <v>226</v>
      </c>
      <c r="C20" s="108" t="s">
        <v>216</v>
      </c>
      <c r="D20" s="108">
        <v>75.8</v>
      </c>
      <c r="E20" s="108">
        <v>46.9</v>
      </c>
      <c r="F20" s="107">
        <f t="shared" si="0"/>
        <v>61.873350923482853</v>
      </c>
      <c r="G20" s="109" t="s">
        <v>264</v>
      </c>
    </row>
    <row r="21" spans="1:7" ht="49.5" customHeight="1" x14ac:dyDescent="0.3">
      <c r="A21" s="110" t="s">
        <v>290</v>
      </c>
      <c r="B21" s="111" t="s">
        <v>227</v>
      </c>
      <c r="C21" s="108" t="s">
        <v>216</v>
      </c>
      <c r="D21" s="108">
        <v>28.6</v>
      </c>
      <c r="E21" s="108">
        <v>28.6</v>
      </c>
      <c r="F21" s="107">
        <f t="shared" si="0"/>
        <v>100</v>
      </c>
      <c r="G21" s="109" t="s">
        <v>265</v>
      </c>
    </row>
    <row r="22" spans="1:7" ht="78.75" customHeight="1" x14ac:dyDescent="0.3">
      <c r="A22" s="110" t="s">
        <v>291</v>
      </c>
      <c r="B22" s="111" t="s">
        <v>228</v>
      </c>
      <c r="C22" s="108" t="s">
        <v>216</v>
      </c>
      <c r="D22" s="108">
        <v>100</v>
      </c>
      <c r="E22" s="108">
        <v>100</v>
      </c>
      <c r="F22" s="107">
        <f t="shared" si="0"/>
        <v>100</v>
      </c>
      <c r="G22" s="109" t="s">
        <v>262</v>
      </c>
    </row>
    <row r="23" spans="1:7" ht="62.4" x14ac:dyDescent="0.3">
      <c r="A23" s="110" t="s">
        <v>292</v>
      </c>
      <c r="B23" s="111" t="s">
        <v>229</v>
      </c>
      <c r="C23" s="108" t="s">
        <v>216</v>
      </c>
      <c r="D23" s="108">
        <v>58.1</v>
      </c>
      <c r="E23" s="108">
        <v>60.7</v>
      </c>
      <c r="F23" s="107">
        <f>E23/D23*100</f>
        <v>104.47504302925989</v>
      </c>
      <c r="G23" s="109" t="s">
        <v>266</v>
      </c>
    </row>
    <row r="24" spans="1:7" ht="31.2" x14ac:dyDescent="0.3">
      <c r="A24" s="110" t="s">
        <v>293</v>
      </c>
      <c r="B24" s="109" t="s">
        <v>247</v>
      </c>
      <c r="C24" s="108" t="s">
        <v>216</v>
      </c>
      <c r="D24" s="108">
        <v>80</v>
      </c>
      <c r="E24" s="108">
        <v>82.5</v>
      </c>
      <c r="F24" s="107">
        <f>E24/D24*100</f>
        <v>103.125</v>
      </c>
      <c r="G24" s="109" t="s">
        <v>277</v>
      </c>
    </row>
    <row r="25" spans="1:7" ht="171.6" x14ac:dyDescent="0.3">
      <c r="A25" s="110" t="s">
        <v>275</v>
      </c>
      <c r="B25" s="109" t="s">
        <v>230</v>
      </c>
      <c r="C25" s="108" t="s">
        <v>231</v>
      </c>
      <c r="D25" s="107">
        <v>155.30000000000001</v>
      </c>
      <c r="E25" s="108">
        <v>151.5</v>
      </c>
      <c r="F25" s="107">
        <f>E25/D25*100</f>
        <v>97.553122987765605</v>
      </c>
      <c r="G25" s="109" t="s">
        <v>276</v>
      </c>
    </row>
    <row r="26" spans="1:7" ht="50.25" customHeight="1" x14ac:dyDescent="0.3">
      <c r="A26" s="110" t="s">
        <v>294</v>
      </c>
      <c r="B26" s="111" t="s">
        <v>232</v>
      </c>
      <c r="C26" s="108" t="s">
        <v>257</v>
      </c>
      <c r="D26" s="108">
        <v>7.6579999999999999E-3</v>
      </c>
      <c r="E26" s="108">
        <v>7.6819999999999996E-3</v>
      </c>
      <c r="F26" s="107">
        <f>E26/D26*100</f>
        <v>100.31339775398276</v>
      </c>
      <c r="G26" s="109" t="s">
        <v>259</v>
      </c>
    </row>
    <row r="27" spans="1:7" ht="78" x14ac:dyDescent="0.3">
      <c r="A27" s="110" t="s">
        <v>295</v>
      </c>
      <c r="B27" s="111" t="s">
        <v>248</v>
      </c>
      <c r="C27" s="108" t="s">
        <v>216</v>
      </c>
      <c r="D27" s="108">
        <v>9</v>
      </c>
      <c r="E27" s="108">
        <v>18.399999999999999</v>
      </c>
      <c r="F27" s="107">
        <f>E27/D27*100</f>
        <v>204.44444444444443</v>
      </c>
      <c r="G27" s="109" t="s">
        <v>300</v>
      </c>
    </row>
    <row r="28" spans="1:7" ht="50.25" customHeight="1" x14ac:dyDescent="0.3">
      <c r="A28" s="110" t="s">
        <v>296</v>
      </c>
      <c r="B28" s="111" t="s">
        <v>233</v>
      </c>
      <c r="C28" s="108" t="s">
        <v>216</v>
      </c>
      <c r="D28" s="108">
        <v>62.5</v>
      </c>
      <c r="E28" s="108">
        <v>84.8</v>
      </c>
      <c r="F28" s="107">
        <f t="shared" ref="F28:F36" si="1">E28/D28*100</f>
        <v>135.68</v>
      </c>
      <c r="G28" s="109" t="s">
        <v>267</v>
      </c>
    </row>
    <row r="29" spans="1:7" ht="62.4" x14ac:dyDescent="0.3">
      <c r="A29" s="110" t="s">
        <v>234</v>
      </c>
      <c r="B29" s="109" t="s">
        <v>235</v>
      </c>
      <c r="C29" s="108" t="s">
        <v>216</v>
      </c>
      <c r="D29" s="108">
        <v>5.3</v>
      </c>
      <c r="E29" s="108">
        <v>6.2</v>
      </c>
      <c r="F29" s="107">
        <v>117</v>
      </c>
      <c r="G29" s="109" t="s">
        <v>268</v>
      </c>
    </row>
    <row r="30" spans="1:7" ht="46.8" x14ac:dyDescent="0.3">
      <c r="A30" s="110" t="s">
        <v>236</v>
      </c>
      <c r="B30" s="111" t="s">
        <v>237</v>
      </c>
      <c r="C30" s="108" t="s">
        <v>216</v>
      </c>
      <c r="D30" s="108">
        <v>87.5</v>
      </c>
      <c r="E30" s="108">
        <v>91.9</v>
      </c>
      <c r="F30" s="107">
        <f t="shared" si="1"/>
        <v>105.02857142857142</v>
      </c>
      <c r="G30" s="111" t="s">
        <v>269</v>
      </c>
    </row>
    <row r="31" spans="1:7" ht="78" x14ac:dyDescent="0.3">
      <c r="A31" s="110" t="s">
        <v>238</v>
      </c>
      <c r="B31" s="111" t="s">
        <v>249</v>
      </c>
      <c r="C31" s="108" t="s">
        <v>216</v>
      </c>
      <c r="D31" s="108">
        <v>38</v>
      </c>
      <c r="E31" s="108">
        <v>72.599999999999994</v>
      </c>
      <c r="F31" s="107">
        <f t="shared" si="1"/>
        <v>191.05263157894737</v>
      </c>
      <c r="G31" s="109" t="s">
        <v>304</v>
      </c>
    </row>
    <row r="32" spans="1:7" ht="46.8" x14ac:dyDescent="0.3">
      <c r="A32" s="110" t="s">
        <v>239</v>
      </c>
      <c r="B32" s="111" t="s">
        <v>250</v>
      </c>
      <c r="C32" s="108" t="s">
        <v>216</v>
      </c>
      <c r="D32" s="108">
        <v>50.5</v>
      </c>
      <c r="E32" s="108">
        <v>64.5</v>
      </c>
      <c r="F32" s="107">
        <f t="shared" si="1"/>
        <v>127.72277227722772</v>
      </c>
      <c r="G32" s="109" t="s">
        <v>301</v>
      </c>
    </row>
    <row r="33" spans="1:7" ht="79.8" customHeight="1" x14ac:dyDescent="0.3">
      <c r="A33" s="110" t="s">
        <v>240</v>
      </c>
      <c r="B33" s="111" t="s">
        <v>251</v>
      </c>
      <c r="C33" s="108" t="s">
        <v>257</v>
      </c>
      <c r="D33" s="108">
        <v>5.7819999999999998E-3</v>
      </c>
      <c r="E33" s="108">
        <v>5.2430000000000003E-3</v>
      </c>
      <c r="F33" s="107">
        <f t="shared" si="1"/>
        <v>90.677966101694921</v>
      </c>
      <c r="G33" s="109" t="s">
        <v>270</v>
      </c>
    </row>
    <row r="34" spans="1:7" ht="62.4" x14ac:dyDescent="0.3">
      <c r="A34" s="110" t="s">
        <v>241</v>
      </c>
      <c r="B34" s="111" t="s">
        <v>252</v>
      </c>
      <c r="C34" s="108" t="s">
        <v>216</v>
      </c>
      <c r="D34" s="116">
        <v>98</v>
      </c>
      <c r="E34" s="116">
        <v>97.1</v>
      </c>
      <c r="F34" s="121">
        <f t="shared" si="1"/>
        <v>99.08163265306122</v>
      </c>
      <c r="G34" s="109" t="s">
        <v>302</v>
      </c>
    </row>
    <row r="35" spans="1:7" ht="62.4" x14ac:dyDescent="0.3">
      <c r="A35" s="110" t="s">
        <v>253</v>
      </c>
      <c r="B35" s="111" t="s">
        <v>255</v>
      </c>
      <c r="C35" s="108" t="s">
        <v>216</v>
      </c>
      <c r="D35" s="110">
        <v>30</v>
      </c>
      <c r="E35" s="110">
        <v>43.4</v>
      </c>
      <c r="F35" s="121">
        <f t="shared" si="1"/>
        <v>144.66666666666666</v>
      </c>
      <c r="G35" s="109" t="s">
        <v>273</v>
      </c>
    </row>
    <row r="36" spans="1:7" ht="62.4" x14ac:dyDescent="0.3">
      <c r="A36" s="110" t="s">
        <v>254</v>
      </c>
      <c r="B36" s="111" t="s">
        <v>256</v>
      </c>
      <c r="C36" s="108" t="s">
        <v>216</v>
      </c>
      <c r="D36" s="110">
        <v>7</v>
      </c>
      <c r="E36" s="110">
        <v>13.4</v>
      </c>
      <c r="F36" s="122">
        <f t="shared" si="1"/>
        <v>191.42857142857144</v>
      </c>
      <c r="G36" s="109" t="s">
        <v>274</v>
      </c>
    </row>
    <row r="37" spans="1:7" ht="15.6" x14ac:dyDescent="0.3">
      <c r="A37" s="49"/>
    </row>
    <row r="38" spans="1:7" ht="15.6" x14ac:dyDescent="0.3">
      <c r="A38" s="49"/>
    </row>
    <row r="39" spans="1:7" ht="15.6" x14ac:dyDescent="0.3">
      <c r="A39" s="49"/>
    </row>
    <row r="40" spans="1:7" ht="15.6" x14ac:dyDescent="0.3">
      <c r="A40" s="49"/>
    </row>
    <row r="41" spans="1:7" ht="15.6" x14ac:dyDescent="0.3">
      <c r="A41" s="117" t="s">
        <v>242</v>
      </c>
    </row>
    <row r="42" spans="1:7" ht="15.6" x14ac:dyDescent="0.3">
      <c r="A42" s="49"/>
    </row>
    <row r="43" spans="1:7" ht="15.6" x14ac:dyDescent="0.3">
      <c r="A43" s="118" t="s">
        <v>297</v>
      </c>
    </row>
    <row r="44" spans="1:7" x14ac:dyDescent="0.3">
      <c r="A44" s="119"/>
    </row>
    <row r="45" spans="1:7" x14ac:dyDescent="0.3">
      <c r="A45" s="120" t="s">
        <v>243</v>
      </c>
    </row>
    <row r="46" spans="1:7" x14ac:dyDescent="0.3">
      <c r="A46" s="120" t="s">
        <v>244</v>
      </c>
    </row>
  </sheetData>
  <mergeCells count="9">
    <mergeCell ref="A1:G1"/>
    <mergeCell ref="A2:G2"/>
    <mergeCell ref="A3:G3"/>
    <mergeCell ref="A5:A6"/>
    <mergeCell ref="B5:B6"/>
    <mergeCell ref="C5:C6"/>
    <mergeCell ref="D5:E5"/>
    <mergeCell ref="F5:F6"/>
    <mergeCell ref="G5:G6"/>
  </mergeCells>
  <pageMargins left="0.70866141732283472" right="0.70866141732283472" top="0.74803149606299213" bottom="0.74803149606299213" header="0.31496062992125984" footer="0.31496062992125984"/>
  <pageSetup paperSize="9" scale="49" fitToHeight="2"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приложение 1</vt:lpstr>
      <vt:lpstr>приложение 2</vt:lpstr>
      <vt:lpstr>'приложение 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Невская Светлана Евгеньевна</dc:creator>
  <cp:lastModifiedBy>И.Е. Невская</cp:lastModifiedBy>
  <cp:lastPrinted>2022-01-24T05:45:12Z</cp:lastPrinted>
  <dcterms:created xsi:type="dcterms:W3CDTF">2006-09-28T05:33:00Z</dcterms:created>
  <dcterms:modified xsi:type="dcterms:W3CDTF">2022-04-14T07:25:18Z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1049-10.2.0.6020</vt:lpwstr>
  </property>
</Properties>
</file>