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11025"/>
  </bookViews>
  <sheets>
    <sheet name="2020" sheetId="7" r:id="rId1"/>
  </sheets>
  <definedNames>
    <definedName name="_xlnm.Print_Titles" localSheetId="0">'2020'!$3:$5</definedName>
    <definedName name="_xlnm.Print_Area" localSheetId="0">'2020'!$A$1:$K$121</definedName>
  </definedNames>
  <calcPr calcId="125725" iterate="1"/>
</workbook>
</file>

<file path=xl/calcChain.xml><?xml version="1.0" encoding="utf-8"?>
<calcChain xmlns="http://schemas.openxmlformats.org/spreadsheetml/2006/main">
  <c r="F80" i="7"/>
  <c r="K66" l="1"/>
  <c r="G66"/>
  <c r="G75"/>
  <c r="D82"/>
  <c r="G34"/>
  <c r="G33"/>
  <c r="J86"/>
  <c r="I62"/>
  <c r="J62"/>
  <c r="H62"/>
  <c r="J78"/>
  <c r="J82"/>
  <c r="J70"/>
  <c r="J69" l="1"/>
  <c r="D62"/>
  <c r="E62"/>
  <c r="F62"/>
  <c r="I115"/>
  <c r="H115"/>
  <c r="J116"/>
  <c r="K21"/>
  <c r="K25"/>
  <c r="K26"/>
  <c r="K27"/>
  <c r="K28"/>
  <c r="K29"/>
  <c r="K30"/>
  <c r="G62" l="1"/>
  <c r="J24"/>
  <c r="J23" l="1"/>
  <c r="J22" s="1"/>
  <c r="G21"/>
  <c r="K20"/>
  <c r="H20"/>
  <c r="G20"/>
  <c r="K19"/>
  <c r="G19"/>
  <c r="K18"/>
  <c r="G18"/>
  <c r="J17"/>
  <c r="I17"/>
  <c r="H17"/>
  <c r="F17"/>
  <c r="E17"/>
  <c r="D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H10"/>
  <c r="F10"/>
  <c r="E10"/>
  <c r="D10"/>
  <c r="J9"/>
  <c r="J8" s="1"/>
  <c r="I9"/>
  <c r="I8" s="1"/>
  <c r="G9"/>
  <c r="H8"/>
  <c r="F8"/>
  <c r="E8"/>
  <c r="D8"/>
  <c r="K39"/>
  <c r="G39"/>
  <c r="J38"/>
  <c r="J37" s="1"/>
  <c r="I38"/>
  <c r="I37" s="1"/>
  <c r="H38"/>
  <c r="H37" s="1"/>
  <c r="F38"/>
  <c r="F37" s="1"/>
  <c r="E38"/>
  <c r="E37" s="1"/>
  <c r="D38"/>
  <c r="D37" s="1"/>
  <c r="K42"/>
  <c r="G42"/>
  <c r="J41"/>
  <c r="I40" s="1"/>
  <c r="I41"/>
  <c r="H41"/>
  <c r="H40" s="1"/>
  <c r="F41"/>
  <c r="E41"/>
  <c r="E40" s="1"/>
  <c r="D41"/>
  <c r="D40" s="1"/>
  <c r="J40"/>
  <c r="F40"/>
  <c r="D7" l="1"/>
  <c r="F7"/>
  <c r="G7" s="1"/>
  <c r="G6" s="1"/>
  <c r="E7"/>
  <c r="E6" s="1"/>
  <c r="H7"/>
  <c r="H6" s="1"/>
  <c r="G37"/>
  <c r="K11"/>
  <c r="I10"/>
  <c r="I7" s="1"/>
  <c r="I6" s="1"/>
  <c r="K13"/>
  <c r="K15"/>
  <c r="K40"/>
  <c r="D6"/>
  <c r="F6"/>
  <c r="K8"/>
  <c r="K41"/>
  <c r="K9"/>
  <c r="J10"/>
  <c r="J7" s="1"/>
  <c r="K17"/>
  <c r="K38"/>
  <c r="G40"/>
  <c r="G41"/>
  <c r="K37"/>
  <c r="G10"/>
  <c r="G17"/>
  <c r="G38"/>
  <c r="G8"/>
  <c r="K12"/>
  <c r="K14"/>
  <c r="K16"/>
  <c r="K10" l="1"/>
  <c r="F114"/>
  <c r="F113" s="1"/>
  <c r="J113"/>
  <c r="I113"/>
  <c r="H113"/>
  <c r="D114"/>
  <c r="D113" s="1"/>
  <c r="J6" l="1"/>
  <c r="K7"/>
  <c r="K6" s="1"/>
  <c r="K113"/>
  <c r="K114"/>
  <c r="E114"/>
  <c r="E113" s="1"/>
  <c r="G113" s="1"/>
  <c r="J101"/>
  <c r="I101"/>
  <c r="H101"/>
  <c r="E101"/>
  <c r="F101"/>
  <c r="D101"/>
  <c r="K112"/>
  <c r="G112"/>
  <c r="K111"/>
  <c r="G111"/>
  <c r="K110"/>
  <c r="G110"/>
  <c r="K109"/>
  <c r="G109"/>
  <c r="K108"/>
  <c r="G108"/>
  <c r="K107"/>
  <c r="J106"/>
  <c r="I106"/>
  <c r="H106"/>
  <c r="F106"/>
  <c r="E106"/>
  <c r="D106"/>
  <c r="K105"/>
  <c r="G105"/>
  <c r="K104"/>
  <c r="G104"/>
  <c r="K103"/>
  <c r="G103"/>
  <c r="K102"/>
  <c r="G102"/>
  <c r="K100"/>
  <c r="G100"/>
  <c r="K98"/>
  <c r="G98"/>
  <c r="K97"/>
  <c r="G97"/>
  <c r="J96"/>
  <c r="I96"/>
  <c r="H96"/>
  <c r="F96"/>
  <c r="E96"/>
  <c r="D96"/>
  <c r="J95"/>
  <c r="K95" s="1"/>
  <c r="G95"/>
  <c r="J94"/>
  <c r="K94" s="1"/>
  <c r="G94"/>
  <c r="J93"/>
  <c r="K93" s="1"/>
  <c r="G93"/>
  <c r="I92"/>
  <c r="H92"/>
  <c r="F92"/>
  <c r="E92"/>
  <c r="D92"/>
  <c r="K90"/>
  <c r="K89"/>
  <c r="F89"/>
  <c r="G89" s="1"/>
  <c r="I88"/>
  <c r="K88" s="1"/>
  <c r="H88"/>
  <c r="E88"/>
  <c r="D88"/>
  <c r="K87"/>
  <c r="H86"/>
  <c r="F87"/>
  <c r="D86"/>
  <c r="K83"/>
  <c r="G83"/>
  <c r="I82"/>
  <c r="K82" s="1"/>
  <c r="H82"/>
  <c r="F82"/>
  <c r="E82"/>
  <c r="I81"/>
  <c r="K81" s="1"/>
  <c r="H81"/>
  <c r="F81"/>
  <c r="E81"/>
  <c r="D81"/>
  <c r="K80"/>
  <c r="H80"/>
  <c r="E80"/>
  <c r="D80"/>
  <c r="K79"/>
  <c r="F79"/>
  <c r="G79" s="1"/>
  <c r="K77"/>
  <c r="G77"/>
  <c r="K76"/>
  <c r="G76"/>
  <c r="K75"/>
  <c r="I74"/>
  <c r="K74" s="1"/>
  <c r="H74"/>
  <c r="F74"/>
  <c r="E74"/>
  <c r="D74"/>
  <c r="K73"/>
  <c r="G73"/>
  <c r="K72"/>
  <c r="G72"/>
  <c r="K71"/>
  <c r="G71"/>
  <c r="I70"/>
  <c r="K70" s="1"/>
  <c r="H70"/>
  <c r="F70"/>
  <c r="E70"/>
  <c r="D70"/>
  <c r="K68"/>
  <c r="G68"/>
  <c r="K67"/>
  <c r="G67"/>
  <c r="K65"/>
  <c r="G65"/>
  <c r="K64"/>
  <c r="G64"/>
  <c r="K63"/>
  <c r="G63"/>
  <c r="K61"/>
  <c r="G61"/>
  <c r="K59"/>
  <c r="G59"/>
  <c r="K58"/>
  <c r="G58"/>
  <c r="K56"/>
  <c r="G56"/>
  <c r="K55"/>
  <c r="G55"/>
  <c r="K54"/>
  <c r="G54"/>
  <c r="I53"/>
  <c r="K53" s="1"/>
  <c r="G53"/>
  <c r="J52"/>
  <c r="H52"/>
  <c r="F52"/>
  <c r="E52"/>
  <c r="D52"/>
  <c r="K51"/>
  <c r="G51"/>
  <c r="K49"/>
  <c r="G49"/>
  <c r="K48"/>
  <c r="G48"/>
  <c r="K47"/>
  <c r="G47"/>
  <c r="K46"/>
  <c r="H46"/>
  <c r="F46"/>
  <c r="G46" s="1"/>
  <c r="J45"/>
  <c r="J44" s="1"/>
  <c r="I45"/>
  <c r="H45"/>
  <c r="F45"/>
  <c r="E45"/>
  <c r="D45"/>
  <c r="E91" l="1"/>
  <c r="G45"/>
  <c r="D78"/>
  <c r="D69" s="1"/>
  <c r="D44" s="1"/>
  <c r="G80"/>
  <c r="E78"/>
  <c r="E69" s="1"/>
  <c r="E86"/>
  <c r="G114"/>
  <c r="I86"/>
  <c r="K86" s="1"/>
  <c r="F88"/>
  <c r="G88" s="1"/>
  <c r="G96"/>
  <c r="G106"/>
  <c r="G101"/>
  <c r="I52"/>
  <c r="K62"/>
  <c r="H78"/>
  <c r="H69" s="1"/>
  <c r="H44" s="1"/>
  <c r="I91"/>
  <c r="K52"/>
  <c r="G74"/>
  <c r="I78"/>
  <c r="G81"/>
  <c r="G82"/>
  <c r="G92"/>
  <c r="H91"/>
  <c r="K96"/>
  <c r="K101"/>
  <c r="K106"/>
  <c r="K45"/>
  <c r="G52"/>
  <c r="G70"/>
  <c r="D91"/>
  <c r="G87"/>
  <c r="F86"/>
  <c r="G86" s="1"/>
  <c r="F78"/>
  <c r="F91"/>
  <c r="J92"/>
  <c r="G91" l="1"/>
  <c r="E44"/>
  <c r="E43" s="1"/>
  <c r="H43"/>
  <c r="D43"/>
  <c r="G78"/>
  <c r="K78"/>
  <c r="I69"/>
  <c r="K69" s="1"/>
  <c r="F69"/>
  <c r="G69" s="1"/>
  <c r="K92"/>
  <c r="J91"/>
  <c r="J43" s="1"/>
  <c r="J117" s="1"/>
  <c r="I44" l="1"/>
  <c r="I43" s="1"/>
  <c r="K43" s="1"/>
  <c r="F44"/>
  <c r="K44"/>
  <c r="K91"/>
  <c r="F43" l="1"/>
  <c r="G43" s="1"/>
  <c r="G44"/>
  <c r="K34"/>
  <c r="K33"/>
  <c r="K31" l="1"/>
  <c r="G25"/>
  <c r="D32"/>
  <c r="D31"/>
  <c r="D28"/>
  <c r="D27"/>
  <c r="D26"/>
  <c r="K32"/>
  <c r="G32"/>
  <c r="G31"/>
  <c r="G30"/>
  <c r="G29"/>
  <c r="G28"/>
  <c r="G27"/>
  <c r="G26"/>
  <c r="F24"/>
  <c r="D24" l="1"/>
  <c r="F23"/>
  <c r="F22" s="1"/>
  <c r="F117" s="1"/>
  <c r="H24"/>
  <c r="H23" s="1"/>
  <c r="H22" s="1"/>
  <c r="H117" s="1"/>
  <c r="I24"/>
  <c r="K24" s="1"/>
  <c r="D23"/>
  <c r="D22" s="1"/>
  <c r="D117" s="1"/>
  <c r="E24"/>
  <c r="E23" l="1"/>
  <c r="E22" s="1"/>
  <c r="I23"/>
  <c r="I22" s="1"/>
  <c r="I117" s="1"/>
  <c r="G24"/>
  <c r="G22" l="1"/>
  <c r="E117"/>
  <c r="G117" s="1"/>
  <c r="K23"/>
  <c r="G23"/>
  <c r="K117" l="1"/>
  <c r="K22"/>
</calcChain>
</file>

<file path=xl/sharedStrings.xml><?xml version="1.0" encoding="utf-8"?>
<sst xmlns="http://schemas.openxmlformats.org/spreadsheetml/2006/main" count="301" uniqueCount="168">
  <si>
    <t>№ п/п</t>
  </si>
  <si>
    <t>Наименование</t>
  </si>
  <si>
    <t>Показатель объёма муниципальной услуги (единица измерения)</t>
  </si>
  <si>
    <t>% исполнения</t>
  </si>
  <si>
    <t xml:space="preserve">Скорректированный план на год               </t>
  </si>
  <si>
    <t>1</t>
  </si>
  <si>
    <t>человеко-часы</t>
  </si>
  <si>
    <t>2</t>
  </si>
  <si>
    <t>Реализация дополнительных общеразвивающих программ</t>
  </si>
  <si>
    <t>2.1</t>
  </si>
  <si>
    <t>художественная направленность</t>
  </si>
  <si>
    <t>3</t>
  </si>
  <si>
    <t>человек</t>
  </si>
  <si>
    <t>3.1</t>
  </si>
  <si>
    <t>3.2</t>
  </si>
  <si>
    <t>фортепиано</t>
  </si>
  <si>
    <t>3.3</t>
  </si>
  <si>
    <t>3.4</t>
  </si>
  <si>
    <t>духовые и ударные инструменты</t>
  </si>
  <si>
    <t>хореографическое творчество</t>
  </si>
  <si>
    <t>живопись</t>
  </si>
  <si>
    <t>Реализация дополнительных предпрофессиональных программ в области физической культуры и спорта</t>
  </si>
  <si>
    <t>национальные виды спорта</t>
  </si>
  <si>
    <t>2.2</t>
  </si>
  <si>
    <t>сложно-координационные  виды спорта</t>
  </si>
  <si>
    <t>2.3</t>
  </si>
  <si>
    <t>спортивные единоборства</t>
  </si>
  <si>
    <t>2.4</t>
  </si>
  <si>
    <t>циклические, скоростно-силовые виды спорта и многоборья</t>
  </si>
  <si>
    <t>Проведение занятий физкультурно-спортивной направленности по месту проживания граждан</t>
  </si>
  <si>
    <t>4</t>
  </si>
  <si>
    <t>Организация и проведение официальных физкультурных (физкультурно-оздоровительных) мероприятий</t>
  </si>
  <si>
    <t xml:space="preserve">количество мероприятий </t>
  </si>
  <si>
    <t>5</t>
  </si>
  <si>
    <t>Организация мероприятий по подготовке спортивных сборных команд</t>
  </si>
  <si>
    <t xml:space="preserve">игровые виды спорта </t>
  </si>
  <si>
    <t>6</t>
  </si>
  <si>
    <t xml:space="preserve">Реализация основных общеобразовательных программ начального общего образования </t>
  </si>
  <si>
    <t xml:space="preserve">число обучающихся </t>
  </si>
  <si>
    <t>1.1</t>
  </si>
  <si>
    <t>1.2</t>
  </si>
  <si>
    <t>1.3</t>
  </si>
  <si>
    <t>1.4</t>
  </si>
  <si>
    <t>очная</t>
  </si>
  <si>
    <t>1.5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</si>
  <si>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</si>
  <si>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</si>
  <si>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>льготная категория (Закон ХМАО-Югры от 30.01.2016 №4-оз)</t>
  </si>
  <si>
    <t>Организация отдыха детей и молодёжи</t>
  </si>
  <si>
    <t>количество человек</t>
  </si>
  <si>
    <t>2.6</t>
  </si>
  <si>
    <t>2.5</t>
  </si>
  <si>
    <t>2.7</t>
  </si>
  <si>
    <t xml:space="preserve">Присмотр и уход </t>
  </si>
  <si>
    <t>2.</t>
  </si>
  <si>
    <t>Реализация основных общеобразовательных программ дошкольного образования</t>
  </si>
  <si>
    <t>2.1.</t>
  </si>
  <si>
    <t>от1 года до 3 лет</t>
  </si>
  <si>
    <t>2.2.</t>
  </si>
  <si>
    <t>от 3 лет до 8 лет</t>
  </si>
  <si>
    <t>адаптированная образовательная программа с обучающимися с ограниченными возможностями здоровья (ОВЗ) от 3 лет до 8 лет</t>
  </si>
  <si>
    <t>2.3.</t>
  </si>
  <si>
    <t>Дети-инвалиды</t>
  </si>
  <si>
    <t>4.1.</t>
  </si>
  <si>
    <t>Организация досуга детей, подростков и молодежи</t>
  </si>
  <si>
    <t>МАУ "Культура"</t>
  </si>
  <si>
    <t>Создание экспозиций (выставок) музеев, организация выездных выставок</t>
  </si>
  <si>
    <t>количество экспозиций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</si>
  <si>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</si>
  <si>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</si>
  <si>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деятельности клубных формирований и формирований самодеятельности народного творчества</t>
  </si>
  <si>
    <t>количество клубных формирований</t>
  </si>
  <si>
    <t>МБУ "Газета Знамя"</t>
  </si>
  <si>
    <t>Осуществление издательской деятельности</t>
  </si>
  <si>
    <t>МАУ "МФЦ"</t>
  </si>
  <si>
    <t>5.</t>
  </si>
  <si>
    <t>4.2.</t>
  </si>
  <si>
    <t>4.3.</t>
  </si>
  <si>
    <t>число детей</t>
  </si>
  <si>
    <t>штук</t>
  </si>
  <si>
    <t>4.</t>
  </si>
  <si>
    <t>Организация проведения общественно- значимых мероприятий в сфере образования, науки и молодежной политики</t>
  </si>
  <si>
    <t>Объем муниципальных услуг (работ)</t>
  </si>
  <si>
    <t>Объем субсидий на выполнение муниципальных заданий на оказание муниципальных услуг (выполнение работ), тыс.рублей</t>
  </si>
  <si>
    <t>1.</t>
  </si>
  <si>
    <t>Муниципальная программа "Культура города Урай" на 2017-2021 годы</t>
  </si>
  <si>
    <t>3.</t>
  </si>
  <si>
    <t>Свод по школам:</t>
  </si>
  <si>
    <t>Свод по детским садам:</t>
  </si>
  <si>
    <t xml:space="preserve">Итого: </t>
  </si>
  <si>
    <t xml:space="preserve">народные инструменты </t>
  </si>
  <si>
    <t xml:space="preserve">струнные инструменты </t>
  </si>
  <si>
    <t xml:space="preserve">Кол-во услуг </t>
  </si>
  <si>
    <t>Предоставление питания</t>
  </si>
  <si>
    <t>(1-4 классы)</t>
  </si>
  <si>
    <t>(5-9 классы)</t>
  </si>
  <si>
    <t>(10-11 классы)</t>
  </si>
  <si>
    <t>5.1.</t>
  </si>
  <si>
    <t>6.1.</t>
  </si>
  <si>
    <t>адаптированная образовательная программа с обучающимися с ограниченными возможностями здоровья (ОВЗ) от 1 года до 3 лет</t>
  </si>
  <si>
    <t>количество мероприятий/человек</t>
  </si>
  <si>
    <t>Организация мероприятий в сфере молодежной политики, направленных на формирование системы развития талантливой и иинициативной молодежи, создание условий для сомореализации подросткой и молодежи, развитие творческого, профессионального и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</si>
  <si>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 , культурных  и нравственных ценностей среди молодежи</t>
  </si>
  <si>
    <t>количество мероприятий/единиц</t>
  </si>
  <si>
    <t>Организация мероприятий в сфере молодежной политики, направленных на вовлечение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</si>
  <si>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отдыха детей и молодежи в каникулярное время с круглосуточным пребыванием детей</t>
  </si>
  <si>
    <t>Информационно-технологическое обеспечение управления системой образования</t>
  </si>
  <si>
    <t>Научно-методическое обеспечение</t>
  </si>
  <si>
    <t>количество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</si>
  <si>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</si>
  <si>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Формирование бюджетной отчестности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</si>
  <si>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>Объем тиража (штук газет)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</si>
  <si>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</si>
  <si>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единиц</t>
  </si>
  <si>
    <t>Муниципальная программа "Совершенствование и развитие муниципального управления в городе Урай" на 2018-2030 годы</t>
  </si>
  <si>
    <t>Реализация дополнительных  предпрофессиональных общеобразовательных программ в области искусств</t>
  </si>
  <si>
    <t>очная (1-4 классы)</t>
  </si>
  <si>
    <t>адаптированная образовательная программа для детей с умственной отсталостью, обучающиеся с ограниченными возможностями здоровья (ОВЗ),  очная (1-4 классы)</t>
  </si>
  <si>
    <t>очная (5-9 классы)</t>
  </si>
  <si>
    <t>очная с применением дистанционных образовательных технологий (5-9 классы)</t>
  </si>
  <si>
    <t>очная (10-11 классы)</t>
  </si>
  <si>
    <t>Муниципальная программа "Развитие образования и молодежной политики в городе Урай" на 2019-2030 годы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</si>
  <si>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</si>
  <si>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Физические лица за исключением льготной категории</t>
  </si>
  <si>
    <t>Дети - сироты</t>
  </si>
  <si>
    <t>МБУ ДО "ЦМДО"</t>
  </si>
  <si>
    <t>Муниципальная программа "Развитие физической культуры, спорта и туризма в городе Урай" на 2019-2030годы</t>
  </si>
  <si>
    <t xml:space="preserve"> Муниципальная программа "Информационное общество - Урай" на 2019-2030 годы</t>
  </si>
  <si>
    <t>Муниципальные учреждения дополнительного образования детей</t>
  </si>
  <si>
    <t>МАУ ДО ДЮСШ "Старт", МАУ ДО ДЮСШ "Звезды Югры"</t>
  </si>
  <si>
    <t>Первоначально утвержденное плановое значение на 2020 год</t>
  </si>
  <si>
    <t>Исполнение               за 2020 год</t>
  </si>
  <si>
    <t>Организация и проведение физкультурных и спортивных мероприятий в рамках Всероссийского физкультурно спортивного комплекса "Готов к труду и обороне" (ГТО) (за исключением тестирования выполнения нормативов испытаний комплекса ГТО)</t>
  </si>
  <si>
    <t>Проведение тестирования выполнения нормативов испытаний (тестов) комплекса ГТО</t>
  </si>
  <si>
    <t>количество испытаний (тестов)</t>
  </si>
  <si>
    <t>адаптированная образовательная программа, 
обучающиеся с ограниченными возможностями здоровья (ОВЗ),  
очная (1-4 классы)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</si>
  <si>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
очная (1-4 классы)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</si>
  <si>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
очная с применением дистанционных образовательных технологий (1-4 классы)</t>
  </si>
  <si>
    <t>очная, 
проходящие обучение по состоянию здоровья на дому, 
очная (1-4 классы)</t>
  </si>
  <si>
    <t>адаптированная образовательная программа, 
обучающиеся с ограниченными возможностями здоровья (ОВЗ),  
очная (5-9 классы)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</si>
  <si>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 
очная  (5-9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</si>
  <si>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
очная (5-9 классы)</t>
  </si>
  <si>
    <t>адаптированная образовательная программа, 
обучающиеся с ограниченными возможностями здоровья (ОВЗ)
приходящие обучение по состоянию здоровья на дому, 
очная (5-9 классы)</t>
  </si>
  <si>
    <t>очная, 
проходящие обучение по состоянию здоровья на дому, 
очная (5-9 классы)</t>
  </si>
  <si>
    <t>адаптированная образовательная программа, 
обучающиеся с ограниченными возможностями здоровья (ОВЗ), 
проходящие обучение по состоянию здоровья на дому,  
с применением дистанционных образовательных технологий ,
очная  (5-9 классы)</t>
  </si>
  <si>
    <t>проходящие обучение по состоянию здоровья на дому, 
очная с применением дистанционных образовательных технологий (5-9 классы)</t>
  </si>
  <si>
    <t>обеспечивающая углубленное изучение отдельных учебных предметов, предметных областей (профильное обучение), 
проходящие обучение по состоянию здоровья на дому, 
очная (10-11 классы)</t>
  </si>
  <si>
    <t>обеспечивающая углубленное изучение отдельных учебных предметов, предметных областей (профильное обучение), 
очная (10-11 классы)</t>
  </si>
  <si>
    <t>обеспечивающая углубленное изучение отдельных учебных предметов, предметных областей (профильное обучение),проходящие обучение по состоянию здоровья на дому(10-11 классы)</t>
  </si>
  <si>
    <t>проходящие обучение по состоянию здоровья на дому, 
очная (10-11 классы)</t>
  </si>
  <si>
    <t>льготная категория (на дому) (Постановление от 04.03.2016 №59-п)</t>
  </si>
  <si>
    <t>не льготная категория (Постановление администрации города Урай от 28.021.2020 №150)</t>
  </si>
  <si>
    <t>4.4.</t>
  </si>
  <si>
    <t>категория обучающихся в начальных классов с 1 по 4 (Постановление от 04.03.2016 №59-п, Постановление администрации города Урай от 28.021.2020 №150)</t>
  </si>
  <si>
    <t>7.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</si>
  <si>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</si>
  <si>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 xml:space="preserve">Организация отдыха детей и молодежи в каникулярное время с дневным пребыванием </t>
  </si>
  <si>
    <t>Остатки на счетах учреждений</t>
  </si>
  <si>
    <t>Предоставление информационной поддержки некоммерческим организациям, социально ориентированным некоммерческим организациям и территориальным общественным самоуправлениям</t>
  </si>
  <si>
    <t>количество физических лиц, обратившимся за услугой; количество юридических лиц, обратившихся за услугой</t>
  </si>
  <si>
    <t>в каникулярное время с дневным  пребыванием</t>
  </si>
  <si>
    <t>Безвозмездные перечисления государственным и муниципальным организациям (241) (нераспределенные по КОСГУ)</t>
  </si>
  <si>
    <t>3.5</t>
  </si>
  <si>
    <t>3.6</t>
  </si>
  <si>
    <t>МАУ "Ресурсный центр системы образования"</t>
  </si>
  <si>
    <t xml:space="preserve">Информация об исполнении муниципальных заданий на оказание муниципальных услуг (выполнение работ) муниципальными учреждениями города Урай за за 2020 год                                 </t>
  </si>
  <si>
    <t>Остатки на счетах учреждений (на 01.01.2021)</t>
  </si>
  <si>
    <t>МБОУ ДОД "ДШИ"</t>
  </si>
</sst>
</file>

<file path=xl/styles.xml><?xml version="1.0" encoding="utf-8"?>
<styleSheet xmlns="http://schemas.openxmlformats.org/spreadsheetml/2006/main">
  <numFmts count="10">
    <numFmt numFmtId="41" formatCode="_-* #,##0\ _₽_-;\-* #,##0\ _₽_-;_-* &quot;-&quot;\ _₽_-;_-@_-"/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_-* #,##0_р_._-;\-* #,##0_р_._-;_-* &quot;-&quot;?_р_._-;_-@_-"/>
    <numFmt numFmtId="168" formatCode="_(* #,##0_);_(* \(#,##0\);_(* &quot;-&quot;??_);_(@_)"/>
    <numFmt numFmtId="169" formatCode="#,##0.0"/>
    <numFmt numFmtId="170" formatCode="#,##0\ _₽"/>
    <numFmt numFmtId="171" formatCode="_-* #,##0.0\ _₽_-;\-* #,##0.0\ _₽_-;_-* &quot;-&quot;?\ _₽_-;_-@_-"/>
    <numFmt numFmtId="172" formatCode="_-* #,##0\ _₽_-;\-* #,##0\ _₽_-;_-* &quot;-&quot;?\ _₽_-;_-@_-"/>
  </numFmts>
  <fonts count="20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4" fillId="0" borderId="0" xfId="0" applyFont="1"/>
    <xf numFmtId="0" fontId="4" fillId="0" borderId="0" xfId="0" applyFont="1" applyFill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0" xfId="0" applyFont="1"/>
    <xf numFmtId="165" fontId="8" fillId="2" borderId="1" xfId="1" applyNumberFormat="1" applyFont="1" applyFill="1" applyBorder="1" applyAlignment="1">
      <alignment horizontal="center"/>
    </xf>
    <xf numFmtId="0" fontId="9" fillId="0" borderId="0" xfId="0" applyFont="1"/>
    <xf numFmtId="165" fontId="10" fillId="2" borderId="1" xfId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wrapText="1" shrinkToFit="1"/>
    </xf>
    <xf numFmtId="0" fontId="8" fillId="2" borderId="0" xfId="0" applyFont="1" applyFill="1"/>
    <xf numFmtId="49" fontId="8" fillId="2" borderId="1" xfId="0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 wrapText="1"/>
    </xf>
    <xf numFmtId="0" fontId="7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3" fontId="7" fillId="0" borderId="1" xfId="0" applyNumberFormat="1" applyFont="1" applyBorder="1" applyAlignment="1">
      <alignment horizontal="center" vertical="center" wrapText="1" shrinkToFit="1"/>
    </xf>
    <xf numFmtId="2" fontId="7" fillId="0" borderId="0" xfId="0" applyNumberFormat="1" applyFont="1"/>
    <xf numFmtId="2" fontId="7" fillId="0" borderId="1" xfId="0" applyNumberFormat="1" applyFont="1" applyBorder="1" applyAlignment="1">
      <alignment horizontal="center" vertical="center" wrapText="1" shrinkToFit="1"/>
    </xf>
    <xf numFmtId="41" fontId="8" fillId="2" borderId="1" xfId="1" applyNumberFormat="1" applyFont="1" applyFill="1" applyBorder="1" applyAlignment="1"/>
    <xf numFmtId="166" fontId="8" fillId="2" borderId="1" xfId="1" applyNumberFormat="1" applyFont="1" applyFill="1" applyBorder="1" applyAlignment="1"/>
    <xf numFmtId="41" fontId="10" fillId="2" borderId="1" xfId="1" applyNumberFormat="1" applyFont="1" applyFill="1" applyBorder="1" applyAlignment="1"/>
    <xf numFmtId="166" fontId="10" fillId="2" borderId="1" xfId="1" applyNumberFormat="1" applyFont="1" applyFill="1" applyBorder="1" applyAlignment="1"/>
    <xf numFmtId="0" fontId="7" fillId="2" borderId="0" xfId="0" applyFont="1" applyFill="1"/>
    <xf numFmtId="49" fontId="10" fillId="2" borderId="1" xfId="0" applyNumberFormat="1" applyFont="1" applyFill="1" applyBorder="1" applyAlignment="1">
      <alignment horizontal="left" wrapText="1" shrinkToFit="1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10" fillId="2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7" fontId="8" fillId="2" borderId="1" xfId="1" applyNumberFormat="1" applyFont="1" applyFill="1" applyBorder="1" applyAlignment="1"/>
    <xf numFmtId="166" fontId="8" fillId="2" borderId="1" xfId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 shrinkToFit="1"/>
    </xf>
    <xf numFmtId="0" fontId="10" fillId="2" borderId="0" xfId="0" applyFont="1" applyFill="1"/>
    <xf numFmtId="49" fontId="10" fillId="2" borderId="1" xfId="0" applyNumberFormat="1" applyFont="1" applyFill="1" applyBorder="1" applyAlignment="1">
      <alignment horizontal="center"/>
    </xf>
    <xf numFmtId="170" fontId="10" fillId="2" borderId="1" xfId="1" applyNumberFormat="1" applyFont="1" applyFill="1" applyBorder="1" applyAlignment="1"/>
    <xf numFmtId="170" fontId="8" fillId="2" borderId="1" xfId="1" applyNumberFormat="1" applyFont="1" applyFill="1" applyBorder="1" applyAlignment="1"/>
    <xf numFmtId="170" fontId="10" fillId="2" borderId="1" xfId="0" applyNumberFormat="1" applyFont="1" applyFill="1" applyBorder="1" applyAlignment="1">
      <alignment wrapText="1" shrinkToFit="1"/>
    </xf>
    <xf numFmtId="0" fontId="10" fillId="2" borderId="0" xfId="0" applyFont="1" applyFill="1" applyAlignment="1">
      <alignment horizontal="left"/>
    </xf>
    <xf numFmtId="0" fontId="12" fillId="2" borderId="0" xfId="0" applyFont="1" applyFill="1"/>
    <xf numFmtId="49" fontId="8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 shrinkToFit="1"/>
    </xf>
    <xf numFmtId="0" fontId="4" fillId="2" borderId="0" xfId="0" applyFont="1" applyFill="1"/>
    <xf numFmtId="167" fontId="7" fillId="2" borderId="1" xfId="1" applyNumberFormat="1" applyFont="1" applyFill="1" applyBorder="1" applyAlignment="1"/>
    <xf numFmtId="49" fontId="8" fillId="2" borderId="1" xfId="0" applyNumberFormat="1" applyFont="1" applyFill="1" applyBorder="1" applyAlignment="1">
      <alignment horizontal="right"/>
    </xf>
    <xf numFmtId="0" fontId="7" fillId="2" borderId="0" xfId="0" applyFont="1" applyFill="1" applyBorder="1"/>
    <xf numFmtId="41" fontId="8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center" wrapText="1"/>
    </xf>
    <xf numFmtId="41" fontId="10" fillId="2" borderId="1" xfId="0" applyNumberFormat="1" applyFont="1" applyFill="1" applyBorder="1" applyAlignment="1">
      <alignment wrapText="1"/>
    </xf>
    <xf numFmtId="165" fontId="11" fillId="2" borderId="1" xfId="1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 wrapText="1" shrinkToFit="1"/>
    </xf>
    <xf numFmtId="165" fontId="11" fillId="2" borderId="1" xfId="1" applyNumberFormat="1" applyFont="1" applyFill="1" applyBorder="1" applyAlignment="1">
      <alignment horizontal="center"/>
    </xf>
    <xf numFmtId="168" fontId="8" fillId="2" borderId="1" xfId="1" applyNumberFormat="1" applyFont="1" applyFill="1" applyBorder="1" applyAlignment="1"/>
    <xf numFmtId="168" fontId="4" fillId="0" borderId="0" xfId="0" applyNumberFormat="1" applyFont="1" applyFill="1"/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1" fontId="15" fillId="2" borderId="1" xfId="1" applyNumberFormat="1" applyFont="1" applyFill="1" applyBorder="1" applyAlignment="1"/>
    <xf numFmtId="41" fontId="13" fillId="2" borderId="1" xfId="1" applyNumberFormat="1" applyFont="1" applyFill="1" applyBorder="1" applyAlignment="1"/>
    <xf numFmtId="165" fontId="13" fillId="2" borderId="1" xfId="1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/>
    <xf numFmtId="168" fontId="13" fillId="2" borderId="1" xfId="1" applyNumberFormat="1" applyFont="1" applyFill="1" applyBorder="1" applyAlignment="1"/>
    <xf numFmtId="0" fontId="16" fillId="2" borderId="0" xfId="0" applyFont="1" applyFill="1"/>
    <xf numFmtId="49" fontId="13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left" wrapText="1" shrinkToFit="1"/>
    </xf>
    <xf numFmtId="165" fontId="13" fillId="2" borderId="1" xfId="1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left" wrapText="1" shrinkToFit="1"/>
    </xf>
    <xf numFmtId="165" fontId="15" fillId="2" borderId="1" xfId="1" applyNumberFormat="1" applyFont="1" applyFill="1" applyBorder="1" applyAlignment="1">
      <alignment horizontal="center" wrapText="1"/>
    </xf>
    <xf numFmtId="165" fontId="15" fillId="2" borderId="1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/>
    <xf numFmtId="41" fontId="15" fillId="2" borderId="1" xfId="1" applyNumberFormat="1" applyFont="1" applyFill="1" applyBorder="1"/>
    <xf numFmtId="49" fontId="13" fillId="2" borderId="1" xfId="0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 vertical="center"/>
    </xf>
    <xf numFmtId="0" fontId="13" fillId="2" borderId="0" xfId="0" applyFont="1" applyFill="1"/>
    <xf numFmtId="165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wrapText="1" shrinkToFit="1"/>
    </xf>
    <xf numFmtId="49" fontId="13" fillId="2" borderId="1" xfId="0" applyNumberFormat="1" applyFont="1" applyFill="1" applyBorder="1" applyAlignment="1">
      <alignment horizontal="left" vertical="center" wrapText="1" shrinkToFit="1"/>
    </xf>
    <xf numFmtId="0" fontId="12" fillId="3" borderId="0" xfId="0" applyFont="1" applyFill="1"/>
    <xf numFmtId="0" fontId="3" fillId="3" borderId="0" xfId="0" applyFont="1" applyFill="1" applyAlignment="1"/>
    <xf numFmtId="0" fontId="3" fillId="3" borderId="0" xfId="0" applyFont="1" applyFill="1"/>
    <xf numFmtId="49" fontId="7" fillId="2" borderId="1" xfId="0" applyNumberFormat="1" applyFont="1" applyFill="1" applyBorder="1" applyAlignment="1">
      <alignment wrapText="1" shrinkToFit="1"/>
    </xf>
    <xf numFmtId="49" fontId="7" fillId="2" borderId="1" xfId="0" applyNumberFormat="1" applyFont="1" applyFill="1" applyBorder="1" applyAlignment="1">
      <alignment horizontal="center" wrapText="1" shrinkToFit="1"/>
    </xf>
    <xf numFmtId="166" fontId="7" fillId="2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center" wrapText="1" shrinkToFit="1"/>
    </xf>
    <xf numFmtId="167" fontId="7" fillId="2" borderId="1" xfId="1" applyNumberFormat="1" applyFont="1" applyFill="1" applyBorder="1" applyAlignment="1">
      <alignment horizontal="center"/>
    </xf>
    <xf numFmtId="167" fontId="12" fillId="2" borderId="0" xfId="0" applyNumberFormat="1" applyFont="1" applyFill="1"/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 shrinkToFit="1"/>
    </xf>
    <xf numFmtId="165" fontId="4" fillId="0" borderId="0" xfId="1" applyNumberFormat="1" applyFont="1" applyFill="1"/>
    <xf numFmtId="171" fontId="4" fillId="0" borderId="0" xfId="0" applyNumberFormat="1" applyFont="1" applyFill="1"/>
    <xf numFmtId="3" fontId="8" fillId="2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7" fillId="2" borderId="1" xfId="0" applyNumberFormat="1" applyFont="1" applyFill="1" applyBorder="1" applyAlignment="1"/>
    <xf numFmtId="3" fontId="7" fillId="2" borderId="1" xfId="1" applyNumberFormat="1" applyFont="1" applyFill="1" applyBorder="1" applyAlignment="1"/>
    <xf numFmtId="3" fontId="13" fillId="2" borderId="1" xfId="1" applyNumberFormat="1" applyFont="1" applyFill="1" applyBorder="1" applyAlignment="1"/>
    <xf numFmtId="3" fontId="8" fillId="2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3" fontId="15" fillId="2" borderId="1" xfId="1" applyNumberFormat="1" applyFont="1" applyFill="1" applyBorder="1" applyAlignment="1"/>
    <xf numFmtId="3" fontId="10" fillId="2" borderId="1" xfId="0" applyNumberFormat="1" applyFont="1" applyFill="1" applyBorder="1" applyAlignment="1"/>
    <xf numFmtId="3" fontId="15" fillId="2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3" fontId="13" fillId="2" borderId="1" xfId="0" applyNumberFormat="1" applyFont="1" applyFill="1" applyBorder="1" applyAlignment="1"/>
    <xf numFmtId="1" fontId="7" fillId="0" borderId="0" xfId="0" applyNumberFormat="1" applyFont="1"/>
    <xf numFmtId="172" fontId="4" fillId="0" borderId="0" xfId="0" applyNumberFormat="1" applyFont="1" applyFill="1"/>
    <xf numFmtId="49" fontId="8" fillId="0" borderId="1" xfId="0" applyNumberFormat="1" applyFont="1" applyFill="1" applyBorder="1" applyAlignment="1">
      <alignment horizontal="center"/>
    </xf>
    <xf numFmtId="41" fontId="8" fillId="0" borderId="1" xfId="1" applyNumberFormat="1" applyFont="1" applyFill="1" applyBorder="1" applyAlignment="1"/>
    <xf numFmtId="167" fontId="8" fillId="0" borderId="1" xfId="1" applyNumberFormat="1" applyFont="1" applyFill="1" applyBorder="1" applyAlignment="1"/>
    <xf numFmtId="166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166" fontId="8" fillId="0" borderId="1" xfId="1" applyNumberFormat="1" applyFont="1" applyFill="1" applyBorder="1" applyAlignment="1"/>
    <xf numFmtId="0" fontId="8" fillId="0" borderId="0" xfId="0" applyFont="1" applyFill="1"/>
    <xf numFmtId="49" fontId="8" fillId="0" borderId="1" xfId="0" applyNumberFormat="1" applyFont="1" applyFill="1" applyBorder="1" applyAlignment="1">
      <alignment horizontal="left" wrapText="1" shrinkToFit="1"/>
    </xf>
    <xf numFmtId="165" fontId="8" fillId="0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41" fontId="10" fillId="0" borderId="1" xfId="1" applyNumberFormat="1" applyFont="1" applyFill="1" applyBorder="1" applyAlignment="1"/>
    <xf numFmtId="166" fontId="10" fillId="0" borderId="1" xfId="1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/>
    <xf numFmtId="3" fontId="10" fillId="0" borderId="1" xfId="1" applyNumberFormat="1" applyFont="1" applyFill="1" applyBorder="1" applyAlignment="1"/>
    <xf numFmtId="166" fontId="10" fillId="0" borderId="1" xfId="1" applyNumberFormat="1" applyFont="1" applyFill="1" applyBorder="1" applyAlignment="1"/>
    <xf numFmtId="0" fontId="10" fillId="0" borderId="0" xfId="0" applyFont="1" applyFill="1"/>
    <xf numFmtId="49" fontId="10" fillId="0" borderId="1" xfId="0" applyNumberFormat="1" applyFont="1" applyFill="1" applyBorder="1" applyAlignment="1">
      <alignment horizontal="left" wrapText="1" shrinkToFit="1"/>
    </xf>
    <xf numFmtId="165" fontId="8" fillId="0" borderId="1" xfId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left" wrapText="1" shrinkToFit="1"/>
    </xf>
    <xf numFmtId="165" fontId="7" fillId="0" borderId="1" xfId="1" applyNumberFormat="1" applyFont="1" applyFill="1" applyBorder="1" applyAlignment="1">
      <alignment horizontal="center" wrapText="1"/>
    </xf>
    <xf numFmtId="165" fontId="17" fillId="2" borderId="1" xfId="1" applyNumberFormat="1" applyFont="1" applyFill="1" applyBorder="1" applyAlignment="1"/>
    <xf numFmtId="0" fontId="11" fillId="0" borderId="0" xfId="0" applyFont="1" applyFill="1"/>
    <xf numFmtId="49" fontId="11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 wrapText="1"/>
    </xf>
    <xf numFmtId="165" fontId="11" fillId="4" borderId="1" xfId="1" applyNumberFormat="1" applyFont="1" applyFill="1" applyBorder="1" applyAlignment="1">
      <alignment horizontal="center" wrapText="1"/>
    </xf>
    <xf numFmtId="41" fontId="11" fillId="4" borderId="1" xfId="1" applyNumberFormat="1" applyFont="1" applyFill="1" applyBorder="1" applyAlignment="1"/>
    <xf numFmtId="167" fontId="11" fillId="4" borderId="1" xfId="1" applyNumberFormat="1" applyFont="1" applyFill="1" applyBorder="1" applyAlignment="1"/>
    <xf numFmtId="166" fontId="11" fillId="4" borderId="1" xfId="1" applyNumberFormat="1" applyFont="1" applyFill="1" applyBorder="1" applyAlignment="1">
      <alignment horizontal="center"/>
    </xf>
    <xf numFmtId="3" fontId="11" fillId="4" borderId="1" xfId="1" applyNumberFormat="1" applyFont="1" applyFill="1" applyBorder="1" applyAlignment="1"/>
    <xf numFmtId="166" fontId="11" fillId="4" borderId="1" xfId="1" applyNumberFormat="1" applyFont="1" applyFill="1" applyBorder="1" applyAlignment="1"/>
    <xf numFmtId="49" fontId="11" fillId="4" borderId="1" xfId="0" applyNumberFormat="1" applyFont="1" applyFill="1" applyBorder="1" applyAlignment="1">
      <alignment horizontal="left" wrapText="1" shrinkToFi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  <xf numFmtId="169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left" wrapText="1" shrinkToFit="1"/>
    </xf>
    <xf numFmtId="49" fontId="3" fillId="4" borderId="1" xfId="0" applyNumberFormat="1" applyFont="1" applyFill="1" applyBorder="1" applyAlignment="1">
      <alignment wrapText="1" shrinkToFit="1"/>
    </xf>
    <xf numFmtId="167" fontId="3" fillId="4" borderId="1" xfId="1" applyNumberFormat="1" applyFont="1" applyFill="1" applyBorder="1" applyAlignment="1"/>
    <xf numFmtId="166" fontId="3" fillId="4" borderId="1" xfId="1" applyNumberFormat="1" applyFont="1" applyFill="1" applyBorder="1" applyAlignment="1"/>
    <xf numFmtId="3" fontId="3" fillId="4" borderId="1" xfId="1" applyNumberFormat="1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wrapText="1" shrinkToFit="1"/>
    </xf>
    <xf numFmtId="3" fontId="3" fillId="4" borderId="1" xfId="0" applyNumberFormat="1" applyFont="1" applyFill="1" applyBorder="1" applyAlignment="1">
      <alignment horizontal="center" wrapText="1" shrinkToFit="1"/>
    </xf>
    <xf numFmtId="167" fontId="3" fillId="4" borderId="1" xfId="1" applyNumberFormat="1" applyFont="1" applyFill="1" applyBorder="1" applyAlignment="1">
      <alignment horizontal="right"/>
    </xf>
    <xf numFmtId="166" fontId="3" fillId="4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wrapText="1" shrinkToFit="1"/>
    </xf>
    <xf numFmtId="3" fontId="3" fillId="4" borderId="1" xfId="0" applyNumberFormat="1" applyFont="1" applyFill="1" applyBorder="1" applyAlignment="1">
      <alignment horizontal="right" wrapText="1" shrinkToFit="1"/>
    </xf>
    <xf numFmtId="3" fontId="3" fillId="4" borderId="1" xfId="1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vertical="center" wrapText="1" shrinkToFit="1"/>
    </xf>
    <xf numFmtId="165" fontId="3" fillId="4" borderId="1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wrapText="1" shrinkToFit="1"/>
    </xf>
    <xf numFmtId="0" fontId="6" fillId="5" borderId="1" xfId="0" applyFont="1" applyFill="1" applyBorder="1"/>
    <xf numFmtId="41" fontId="6" fillId="5" borderId="1" xfId="0" applyNumberFormat="1" applyFont="1" applyFill="1" applyBorder="1" applyAlignment="1"/>
    <xf numFmtId="165" fontId="14" fillId="5" borderId="1" xfId="1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/>
    <xf numFmtId="0" fontId="3" fillId="0" borderId="0" xfId="0" applyFont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7" fillId="0" borderId="2" xfId="0" quotePrefix="1" applyFont="1" applyBorder="1" applyAlignment="1">
      <alignment horizontal="center" vertical="center" wrapText="1" shrinkToFit="1"/>
    </xf>
    <xf numFmtId="0" fontId="7" fillId="0" borderId="3" xfId="0" quotePrefix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2" borderId="0" xfId="0" applyFont="1" applyFill="1"/>
    <xf numFmtId="49" fontId="6" fillId="2" borderId="1" xfId="0" applyNumberFormat="1" applyFont="1" applyFill="1" applyBorder="1" applyAlignment="1">
      <alignment horizontal="left" vertical="center" wrapText="1" shrinkToFit="1"/>
    </xf>
    <xf numFmtId="41" fontId="6" fillId="2" borderId="1" xfId="1" applyNumberFormat="1" applyFont="1" applyFill="1" applyBorder="1" applyAlignment="1"/>
    <xf numFmtId="3" fontId="6" fillId="2" borderId="1" xfId="1" applyNumberFormat="1" applyFont="1" applyFill="1" applyBorder="1" applyAlignment="1"/>
    <xf numFmtId="3" fontId="14" fillId="2" borderId="1" xfId="1" applyNumberFormat="1" applyFont="1" applyFill="1" applyBorder="1" applyAlignment="1"/>
    <xf numFmtId="165" fontId="14" fillId="2" borderId="1" xfId="1" applyNumberFormat="1" applyFont="1" applyFill="1" applyBorder="1" applyAlignment="1"/>
    <xf numFmtId="49" fontId="14" fillId="2" borderId="1" xfId="0" applyNumberFormat="1" applyFont="1" applyFill="1" applyBorder="1" applyAlignment="1"/>
    <xf numFmtId="41" fontId="18" fillId="2" borderId="1" xfId="1" applyNumberFormat="1" applyFont="1" applyFill="1" applyBorder="1"/>
    <xf numFmtId="41" fontId="14" fillId="2" borderId="1" xfId="1" applyNumberFormat="1" applyFont="1" applyFill="1" applyBorder="1" applyAlignment="1"/>
    <xf numFmtId="165" fontId="14" fillId="2" borderId="1" xfId="1" applyNumberFormat="1" applyFont="1" applyFill="1" applyBorder="1" applyAlignment="1">
      <alignment horizontal="center"/>
    </xf>
    <xf numFmtId="0" fontId="18" fillId="2" borderId="0" xfId="0" applyFont="1" applyFill="1"/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 shrinkToFit="1"/>
    </xf>
    <xf numFmtId="165" fontId="19" fillId="2" borderId="1" xfId="1" applyNumberFormat="1" applyFont="1" applyFill="1" applyBorder="1"/>
    <xf numFmtId="168" fontId="6" fillId="2" borderId="1" xfId="1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right"/>
    </xf>
    <xf numFmtId="0" fontId="6" fillId="2" borderId="0" xfId="0" applyFont="1" applyFill="1"/>
    <xf numFmtId="49" fontId="19" fillId="2" borderId="1" xfId="0" applyNumberFormat="1" applyFont="1" applyFill="1" applyBorder="1" applyAlignment="1">
      <alignment horizontal="left" wrapText="1" shrinkToFit="1"/>
    </xf>
    <xf numFmtId="167" fontId="6" fillId="2" borderId="1" xfId="1" applyNumberFormat="1" applyFont="1" applyFill="1" applyBorder="1" applyAlignment="1"/>
    <xf numFmtId="166" fontId="6" fillId="2" borderId="1" xfId="1" applyNumberFormat="1" applyFont="1" applyFill="1" applyBorder="1" applyAlignment="1"/>
    <xf numFmtId="0" fontId="19" fillId="2" borderId="0" xfId="0" applyFont="1" applyFill="1"/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 shrinkToFit="1"/>
    </xf>
    <xf numFmtId="165" fontId="19" fillId="0" borderId="1" xfId="1" applyNumberFormat="1" applyFont="1" applyFill="1" applyBorder="1" applyAlignment="1">
      <alignment horizontal="center"/>
    </xf>
    <xf numFmtId="41" fontId="6" fillId="0" borderId="1" xfId="1" applyNumberFormat="1" applyFont="1" applyFill="1" applyBorder="1" applyAlignment="1"/>
    <xf numFmtId="166" fontId="6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/>
    <xf numFmtId="166" fontId="6" fillId="0" borderId="1" xfId="1" applyNumberFormat="1" applyFont="1" applyFill="1" applyBorder="1" applyAlignment="1"/>
    <xf numFmtId="0" fontId="6" fillId="0" borderId="0" xfId="0" applyFont="1" applyFill="1"/>
    <xf numFmtId="167" fontId="6" fillId="2" borderId="1" xfId="1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/>
    <xf numFmtId="3" fontId="19" fillId="2" borderId="1" xfId="1" applyNumberFormat="1" applyFont="1" applyFill="1" applyBorder="1" applyAlignment="1"/>
    <xf numFmtId="0" fontId="6" fillId="2" borderId="1" xfId="0" applyFont="1" applyFill="1" applyBorder="1" applyAlignment="1"/>
    <xf numFmtId="168" fontId="6" fillId="2" borderId="1" xfId="1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49" fontId="14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left" wrapText="1" shrinkToFit="1"/>
    </xf>
    <xf numFmtId="168" fontId="14" fillId="2" borderId="1" xfId="1" applyNumberFormat="1" applyFont="1" applyFill="1" applyBorder="1" applyAlignment="1"/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tabSelected="1"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Q115" sqref="Q115"/>
    </sheetView>
  </sheetViews>
  <sheetFormatPr defaultColWidth="8" defaultRowHeight="16.5"/>
  <cols>
    <col min="1" max="1" width="6" style="14" customWidth="1"/>
    <col min="2" max="2" width="99.140625" style="15" customWidth="1"/>
    <col min="3" max="3" width="27.28515625" style="7" customWidth="1"/>
    <col min="4" max="4" width="18" style="17" customWidth="1"/>
    <col min="5" max="5" width="15.7109375" style="2" customWidth="1"/>
    <col min="6" max="6" width="15" style="2" customWidth="1"/>
    <col min="7" max="7" width="12.42578125" style="26" customWidth="1"/>
    <col min="8" max="8" width="18.5703125" style="2" customWidth="1"/>
    <col min="9" max="9" width="15.85546875" style="2" customWidth="1"/>
    <col min="10" max="10" width="15.5703125" style="2" customWidth="1"/>
    <col min="11" max="11" width="12.28515625" style="2" customWidth="1"/>
    <col min="12" max="12" width="17.42578125" style="15" customWidth="1"/>
    <col min="13" max="16384" width="8" style="15"/>
  </cols>
  <sheetData>
    <row r="1" spans="1:12" s="1" customFormat="1" ht="16.899999999999999" customHeight="1">
      <c r="A1" s="169" t="s">
        <v>165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s="1" customFormat="1" ht="10.9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s="5" customFormat="1" ht="39" customHeight="1">
      <c r="A3" s="171" t="s">
        <v>0</v>
      </c>
      <c r="B3" s="173" t="s">
        <v>1</v>
      </c>
      <c r="C3" s="174" t="s">
        <v>82</v>
      </c>
      <c r="D3" s="174"/>
      <c r="E3" s="174"/>
      <c r="F3" s="174"/>
      <c r="G3" s="174"/>
      <c r="H3" s="175" t="s">
        <v>83</v>
      </c>
      <c r="I3" s="175"/>
      <c r="J3" s="175"/>
      <c r="K3" s="175"/>
    </row>
    <row r="4" spans="1:12" s="5" customFormat="1" ht="63.75" customHeight="1">
      <c r="A4" s="172"/>
      <c r="B4" s="173"/>
      <c r="C4" s="56" t="s">
        <v>2</v>
      </c>
      <c r="D4" s="18" t="s">
        <v>130</v>
      </c>
      <c r="E4" s="56" t="s">
        <v>4</v>
      </c>
      <c r="F4" s="16" t="s">
        <v>131</v>
      </c>
      <c r="G4" s="57" t="s">
        <v>3</v>
      </c>
      <c r="H4" s="56" t="s">
        <v>130</v>
      </c>
      <c r="I4" s="56" t="s">
        <v>4</v>
      </c>
      <c r="J4" s="16" t="s">
        <v>131</v>
      </c>
      <c r="K4" s="57" t="s">
        <v>3</v>
      </c>
    </row>
    <row r="5" spans="1:12" s="5" customFormat="1" ht="15">
      <c r="A5" s="3">
        <v>1</v>
      </c>
      <c r="B5" s="3">
        <v>2</v>
      </c>
      <c r="C5" s="3">
        <v>3</v>
      </c>
      <c r="D5" s="4">
        <v>4</v>
      </c>
      <c r="E5" s="4">
        <v>5</v>
      </c>
      <c r="F5" s="3">
        <v>6</v>
      </c>
      <c r="G5" s="4">
        <v>7</v>
      </c>
      <c r="H5" s="4">
        <v>8</v>
      </c>
      <c r="I5" s="3">
        <v>9</v>
      </c>
      <c r="J5" s="3">
        <v>10</v>
      </c>
      <c r="K5" s="3">
        <v>11</v>
      </c>
    </row>
    <row r="6" spans="1:12" s="38" customFormat="1" ht="25.5" customHeight="1">
      <c r="A6" s="141" t="s">
        <v>84</v>
      </c>
      <c r="B6" s="142" t="s">
        <v>85</v>
      </c>
      <c r="C6" s="143"/>
      <c r="D6" s="144">
        <f>D7+D17</f>
        <v>306920</v>
      </c>
      <c r="E6" s="144">
        <f>E7+E17</f>
        <v>203795</v>
      </c>
      <c r="F6" s="144">
        <f>F7+F17</f>
        <v>208555</v>
      </c>
      <c r="G6" s="145">
        <f t="shared" ref="G6:K6" si="0">G7</f>
        <v>100</v>
      </c>
      <c r="H6" s="144">
        <f>H7+H17</f>
        <v>249552</v>
      </c>
      <c r="I6" s="144">
        <f>I7+I17</f>
        <v>240087</v>
      </c>
      <c r="J6" s="144">
        <f>J7+J17</f>
        <v>235727</v>
      </c>
      <c r="K6" s="145">
        <f t="shared" si="0"/>
        <v>94.126917844201671</v>
      </c>
      <c r="L6" s="89"/>
    </row>
    <row r="7" spans="1:12" s="193" customFormat="1" ht="20.25" customHeight="1">
      <c r="A7" s="187"/>
      <c r="B7" s="188" t="s">
        <v>167</v>
      </c>
      <c r="C7" s="189"/>
      <c r="D7" s="190">
        <f>D8+D10</f>
        <v>178793</v>
      </c>
      <c r="E7" s="190">
        <f t="shared" ref="E7:F7" si="1">E8+E10</f>
        <v>170956</v>
      </c>
      <c r="F7" s="190">
        <f t="shared" si="1"/>
        <v>170956</v>
      </c>
      <c r="G7" s="191">
        <f>F7/E7*100</f>
        <v>100</v>
      </c>
      <c r="H7" s="190">
        <f t="shared" ref="H7:J7" si="2">H8+H10</f>
        <v>75824</v>
      </c>
      <c r="I7" s="190">
        <f t="shared" si="2"/>
        <v>74237</v>
      </c>
      <c r="J7" s="190">
        <f t="shared" si="2"/>
        <v>69877</v>
      </c>
      <c r="K7" s="192">
        <f t="shared" ref="K7:K21" si="3">J7/I7*100</f>
        <v>94.126917844201671</v>
      </c>
    </row>
    <row r="8" spans="1:12" s="23" customFormat="1" ht="17.25" customHeight="1">
      <c r="A8" s="11" t="s">
        <v>5</v>
      </c>
      <c r="B8" s="9" t="s">
        <v>8</v>
      </c>
      <c r="C8" s="6" t="s">
        <v>6</v>
      </c>
      <c r="D8" s="19">
        <f>D9</f>
        <v>1360</v>
      </c>
      <c r="E8" s="19">
        <f>E9</f>
        <v>1224</v>
      </c>
      <c r="F8" s="19">
        <f>F9</f>
        <v>1224</v>
      </c>
      <c r="G8" s="30">
        <f t="shared" ref="G8:G21" si="4">F8/E8*100</f>
        <v>100</v>
      </c>
      <c r="H8" s="94">
        <f>H9</f>
        <v>570</v>
      </c>
      <c r="I8" s="94">
        <f>I9</f>
        <v>552</v>
      </c>
      <c r="J8" s="94">
        <f>J9</f>
        <v>520</v>
      </c>
      <c r="K8" s="20">
        <f t="shared" si="3"/>
        <v>94.20289855072464</v>
      </c>
    </row>
    <row r="9" spans="1:12" s="32" customFormat="1" ht="15">
      <c r="A9" s="33" t="s">
        <v>39</v>
      </c>
      <c r="B9" s="24" t="s">
        <v>10</v>
      </c>
      <c r="C9" s="8" t="s">
        <v>6</v>
      </c>
      <c r="D9" s="34">
        <v>1360</v>
      </c>
      <c r="E9" s="21">
        <v>1224</v>
      </c>
      <c r="F9" s="21">
        <v>1224</v>
      </c>
      <c r="G9" s="27">
        <f t="shared" si="4"/>
        <v>100</v>
      </c>
      <c r="H9" s="95">
        <v>570</v>
      </c>
      <c r="I9" s="95">
        <f>520+32</f>
        <v>552</v>
      </c>
      <c r="J9" s="95">
        <f>517+3</f>
        <v>520</v>
      </c>
      <c r="K9" s="22">
        <f t="shared" si="3"/>
        <v>94.20289855072464</v>
      </c>
    </row>
    <row r="10" spans="1:12" s="10" customFormat="1" ht="28.5">
      <c r="A10" s="11" t="s">
        <v>7</v>
      </c>
      <c r="B10" s="9" t="s">
        <v>115</v>
      </c>
      <c r="C10" s="6" t="s">
        <v>6</v>
      </c>
      <c r="D10" s="35">
        <f>SUM(D11:D16)</f>
        <v>177433</v>
      </c>
      <c r="E10" s="35">
        <f t="shared" ref="E10:F10" si="5">SUM(E11:E16)</f>
        <v>169732</v>
      </c>
      <c r="F10" s="35">
        <f t="shared" si="5"/>
        <v>169732</v>
      </c>
      <c r="G10" s="30">
        <f t="shared" si="4"/>
        <v>100</v>
      </c>
      <c r="H10" s="94">
        <f>SUM(H11:H16)</f>
        <v>75254</v>
      </c>
      <c r="I10" s="94">
        <f>SUM(I11:I16)</f>
        <v>73685</v>
      </c>
      <c r="J10" s="94">
        <f>SUM(J11:J16)</f>
        <v>69357</v>
      </c>
      <c r="K10" s="20">
        <f t="shared" si="3"/>
        <v>94.126348646264503</v>
      </c>
    </row>
    <row r="11" spans="1:12" s="32" customFormat="1" ht="15">
      <c r="A11" s="33" t="s">
        <v>9</v>
      </c>
      <c r="B11" s="24" t="s">
        <v>90</v>
      </c>
      <c r="C11" s="8" t="s">
        <v>6</v>
      </c>
      <c r="D11" s="36">
        <v>23300</v>
      </c>
      <c r="E11" s="34">
        <v>21842</v>
      </c>
      <c r="F11" s="34">
        <v>21842</v>
      </c>
      <c r="G11" s="27">
        <f t="shared" si="4"/>
        <v>100</v>
      </c>
      <c r="H11" s="95">
        <v>15666</v>
      </c>
      <c r="I11" s="95">
        <f>13984+877</f>
        <v>14861</v>
      </c>
      <c r="J11" s="95">
        <f>13895+89</f>
        <v>13984</v>
      </c>
      <c r="K11" s="22">
        <f t="shared" si="3"/>
        <v>94.098647466523104</v>
      </c>
    </row>
    <row r="12" spans="1:12" s="32" customFormat="1" ht="15">
      <c r="A12" s="33" t="s">
        <v>23</v>
      </c>
      <c r="B12" s="24" t="s">
        <v>15</v>
      </c>
      <c r="C12" s="8" t="s">
        <v>6</v>
      </c>
      <c r="D12" s="36">
        <v>22134</v>
      </c>
      <c r="E12" s="34">
        <v>21515</v>
      </c>
      <c r="F12" s="34">
        <v>21515</v>
      </c>
      <c r="G12" s="27">
        <f t="shared" si="4"/>
        <v>100</v>
      </c>
      <c r="H12" s="95">
        <v>13924</v>
      </c>
      <c r="I12" s="95">
        <f>14433+889</f>
        <v>15322</v>
      </c>
      <c r="J12" s="95">
        <f>14341+91</f>
        <v>14432</v>
      </c>
      <c r="K12" s="22">
        <f t="shared" si="3"/>
        <v>94.191358830439881</v>
      </c>
    </row>
    <row r="13" spans="1:12" s="32" customFormat="1" ht="15">
      <c r="A13" s="33" t="s">
        <v>25</v>
      </c>
      <c r="B13" s="24" t="s">
        <v>91</v>
      </c>
      <c r="C13" s="8" t="s">
        <v>6</v>
      </c>
      <c r="D13" s="36">
        <v>14059</v>
      </c>
      <c r="E13" s="34">
        <v>12687</v>
      </c>
      <c r="F13" s="34">
        <v>12687</v>
      </c>
      <c r="G13" s="27">
        <f t="shared" si="4"/>
        <v>100</v>
      </c>
      <c r="H13" s="95">
        <v>13170</v>
      </c>
      <c r="I13" s="95">
        <f>11528+720</f>
        <v>12248</v>
      </c>
      <c r="J13" s="95">
        <f>11455+74</f>
        <v>11529</v>
      </c>
      <c r="K13" s="22">
        <f t="shared" si="3"/>
        <v>94.129653821031994</v>
      </c>
    </row>
    <row r="14" spans="1:12" s="32" customFormat="1" ht="15">
      <c r="A14" s="33" t="s">
        <v>27</v>
      </c>
      <c r="B14" s="24" t="s">
        <v>18</v>
      </c>
      <c r="C14" s="8" t="s">
        <v>6</v>
      </c>
      <c r="D14" s="36">
        <v>6091</v>
      </c>
      <c r="E14" s="34">
        <v>5514</v>
      </c>
      <c r="F14" s="34">
        <v>5514</v>
      </c>
      <c r="G14" s="27">
        <f t="shared" si="4"/>
        <v>100</v>
      </c>
      <c r="H14" s="95">
        <v>7015</v>
      </c>
      <c r="I14" s="95">
        <f>6017+377</f>
        <v>6394</v>
      </c>
      <c r="J14" s="95">
        <f>5979+38</f>
        <v>6017</v>
      </c>
      <c r="K14" s="22">
        <f t="shared" si="3"/>
        <v>94.103847356897091</v>
      </c>
    </row>
    <row r="15" spans="1:12" s="32" customFormat="1" ht="15">
      <c r="A15" s="33" t="s">
        <v>51</v>
      </c>
      <c r="B15" s="24" t="s">
        <v>19</v>
      </c>
      <c r="C15" s="8" t="s">
        <v>6</v>
      </c>
      <c r="D15" s="36">
        <v>45413</v>
      </c>
      <c r="E15" s="34">
        <v>44302</v>
      </c>
      <c r="F15" s="34">
        <v>44302</v>
      </c>
      <c r="G15" s="27">
        <f t="shared" si="4"/>
        <v>100</v>
      </c>
      <c r="H15" s="95">
        <v>14847</v>
      </c>
      <c r="I15" s="95">
        <f>13331+833</f>
        <v>14164</v>
      </c>
      <c r="J15" s="95">
        <f>13246+85</f>
        <v>13331</v>
      </c>
      <c r="K15" s="22">
        <f t="shared" si="3"/>
        <v>94.118892968088105</v>
      </c>
    </row>
    <row r="16" spans="1:12" s="37" customFormat="1" ht="15">
      <c r="A16" s="33" t="s">
        <v>50</v>
      </c>
      <c r="B16" s="24" t="s">
        <v>20</v>
      </c>
      <c r="C16" s="8" t="s">
        <v>6</v>
      </c>
      <c r="D16" s="36">
        <v>66436</v>
      </c>
      <c r="E16" s="34">
        <v>63872</v>
      </c>
      <c r="F16" s="34">
        <v>63872</v>
      </c>
      <c r="G16" s="27">
        <f t="shared" si="4"/>
        <v>100</v>
      </c>
      <c r="H16" s="95">
        <v>10632</v>
      </c>
      <c r="I16" s="95">
        <f>10064+632</f>
        <v>10696</v>
      </c>
      <c r="J16" s="95">
        <f>10000+64</f>
        <v>10064</v>
      </c>
      <c r="K16" s="22">
        <f t="shared" si="3"/>
        <v>94.091249065071054</v>
      </c>
    </row>
    <row r="17" spans="1:11" s="197" customFormat="1" ht="18" customHeight="1">
      <c r="A17" s="187"/>
      <c r="B17" s="188" t="s">
        <v>65</v>
      </c>
      <c r="C17" s="194"/>
      <c r="D17" s="195">
        <f>D18+D19+D20+D21</f>
        <v>128127</v>
      </c>
      <c r="E17" s="195">
        <f>E18+E19+E20+E21</f>
        <v>32839</v>
      </c>
      <c r="F17" s="195">
        <f>F18+F19+F20+F21</f>
        <v>37599</v>
      </c>
      <c r="G17" s="191">
        <f t="shared" si="4"/>
        <v>114.49496026066568</v>
      </c>
      <c r="H17" s="179">
        <f>H18+H19+H20+H21</f>
        <v>173728</v>
      </c>
      <c r="I17" s="179">
        <f>I18+I19+I20+I21</f>
        <v>165850</v>
      </c>
      <c r="J17" s="179">
        <f>J18+J19+J20+J21</f>
        <v>165850</v>
      </c>
      <c r="K17" s="196">
        <f>J17/I17*100</f>
        <v>100</v>
      </c>
    </row>
    <row r="18" spans="1:11" s="23" customFormat="1" ht="17.25" customHeight="1">
      <c r="A18" s="11" t="s">
        <v>5</v>
      </c>
      <c r="B18" s="9" t="s">
        <v>66</v>
      </c>
      <c r="C18" s="31" t="s">
        <v>67</v>
      </c>
      <c r="D18" s="29">
        <v>40</v>
      </c>
      <c r="E18" s="29">
        <v>15</v>
      </c>
      <c r="F18" s="29">
        <v>16</v>
      </c>
      <c r="G18" s="30">
        <f t="shared" si="4"/>
        <v>106.66666666666667</v>
      </c>
      <c r="H18" s="94">
        <v>13088</v>
      </c>
      <c r="I18" s="94">
        <v>12675</v>
      </c>
      <c r="J18" s="94">
        <v>12675</v>
      </c>
      <c r="K18" s="20">
        <f t="shared" si="3"/>
        <v>100</v>
      </c>
    </row>
    <row r="19" spans="1:11" s="23" customFormat="1" ht="18.75" customHeight="1">
      <c r="A19" s="11" t="s">
        <v>7</v>
      </c>
      <c r="B19" s="39" t="s">
        <v>68</v>
      </c>
      <c r="C19" s="31" t="s">
        <v>69</v>
      </c>
      <c r="D19" s="29">
        <v>128063</v>
      </c>
      <c r="E19" s="29">
        <v>32796</v>
      </c>
      <c r="F19" s="29">
        <v>37556</v>
      </c>
      <c r="G19" s="30">
        <f t="shared" si="4"/>
        <v>114.51396511769727</v>
      </c>
      <c r="H19" s="94">
        <v>54330</v>
      </c>
      <c r="I19" s="94">
        <v>42046</v>
      </c>
      <c r="J19" s="94">
        <v>42046</v>
      </c>
      <c r="K19" s="20">
        <f t="shared" si="3"/>
        <v>100</v>
      </c>
    </row>
    <row r="20" spans="1:11" s="23" customFormat="1" ht="29.25">
      <c r="A20" s="11" t="s">
        <v>11</v>
      </c>
      <c r="B20" s="40" t="s">
        <v>70</v>
      </c>
      <c r="C20" s="31" t="s">
        <v>71</v>
      </c>
      <c r="D20" s="29">
        <v>24</v>
      </c>
      <c r="E20" s="29">
        <v>24</v>
      </c>
      <c r="F20" s="29">
        <v>23</v>
      </c>
      <c r="G20" s="30">
        <f t="shared" si="4"/>
        <v>95.833333333333343</v>
      </c>
      <c r="H20" s="94">
        <f>105909+401</f>
        <v>106310</v>
      </c>
      <c r="I20" s="94">
        <v>111025</v>
      </c>
      <c r="J20" s="94">
        <v>111025</v>
      </c>
      <c r="K20" s="20">
        <f t="shared" si="3"/>
        <v>100</v>
      </c>
    </row>
    <row r="21" spans="1:11" s="23" customFormat="1" ht="75" customHeight="1">
      <c r="A21" s="90" t="s">
        <v>30</v>
      </c>
      <c r="B21" s="91" t="s">
        <v>158</v>
      </c>
      <c r="C21" s="31" t="s">
        <v>159</v>
      </c>
      <c r="D21" s="94">
        <v>0</v>
      </c>
      <c r="E21" s="29">
        <v>4</v>
      </c>
      <c r="F21" s="29">
        <v>4</v>
      </c>
      <c r="G21" s="30">
        <f t="shared" si="4"/>
        <v>100</v>
      </c>
      <c r="H21" s="94">
        <v>0</v>
      </c>
      <c r="I21" s="94">
        <v>104</v>
      </c>
      <c r="J21" s="94">
        <v>104</v>
      </c>
      <c r="K21" s="20">
        <f t="shared" si="3"/>
        <v>100</v>
      </c>
    </row>
    <row r="22" spans="1:11" s="80" customFormat="1" ht="39.75" customHeight="1">
      <c r="A22" s="151" t="s">
        <v>54</v>
      </c>
      <c r="B22" s="146" t="s">
        <v>126</v>
      </c>
      <c r="C22" s="147"/>
      <c r="D22" s="148">
        <f>D23</f>
        <v>126398</v>
      </c>
      <c r="E22" s="148">
        <f t="shared" ref="E22:F22" si="6">E23</f>
        <v>477615</v>
      </c>
      <c r="F22" s="148">
        <f t="shared" si="6"/>
        <v>491279</v>
      </c>
      <c r="G22" s="149">
        <f t="shared" ref="G22:G34" si="7">F22/E22*100</f>
        <v>102.86088167247678</v>
      </c>
      <c r="H22" s="150">
        <f>ROUND(H23+H35+H36,0)</f>
        <v>159834</v>
      </c>
      <c r="I22" s="150">
        <f>ROUND(I23+I35+I36,0)</f>
        <v>124368</v>
      </c>
      <c r="J22" s="150">
        <f>ROUND(J23+J35+J36,0)</f>
        <v>123250</v>
      </c>
      <c r="K22" s="149">
        <f t="shared" ref="K22:K90" si="8">J22/I22*100</f>
        <v>99.101054933745019</v>
      </c>
    </row>
    <row r="23" spans="1:11" s="205" customFormat="1" ht="22.5" customHeight="1">
      <c r="A23" s="198"/>
      <c r="B23" s="199" t="s">
        <v>129</v>
      </c>
      <c r="C23" s="200"/>
      <c r="D23" s="201">
        <f>D24+D30+D31+D32+D33+D34</f>
        <v>126398</v>
      </c>
      <c r="E23" s="201">
        <f t="shared" ref="E23" si="9">E24+E30+E31+E32+E33+E34</f>
        <v>477615</v>
      </c>
      <c r="F23" s="201">
        <f t="shared" ref="F23" si="10">F24+F30+F31+F32+F33+F34</f>
        <v>491279</v>
      </c>
      <c r="G23" s="202">
        <f t="shared" si="7"/>
        <v>102.86088167247678</v>
      </c>
      <c r="H23" s="203">
        <f>H24+H30+H31+H32+H33+H34</f>
        <v>32686</v>
      </c>
      <c r="I23" s="203">
        <f t="shared" ref="I23:J23" si="11">I24+I30+I31+I32+I33+I34</f>
        <v>123250.09999999998</v>
      </c>
      <c r="J23" s="203">
        <f t="shared" si="11"/>
        <v>123250.09999999998</v>
      </c>
      <c r="K23" s="204">
        <f t="shared" si="8"/>
        <v>100</v>
      </c>
    </row>
    <row r="24" spans="1:11" s="114" customFormat="1" ht="28.5">
      <c r="A24" s="108" t="s">
        <v>5</v>
      </c>
      <c r="B24" s="115" t="s">
        <v>21</v>
      </c>
      <c r="C24" s="116" t="s">
        <v>6</v>
      </c>
      <c r="D24" s="109">
        <f>SUM(D25:D29)</f>
        <v>126374</v>
      </c>
      <c r="E24" s="109">
        <f>SUM(E25:E29)</f>
        <v>477213</v>
      </c>
      <c r="F24" s="109">
        <f>SUM(F25:F29)</f>
        <v>490900</v>
      </c>
      <c r="G24" s="111">
        <f t="shared" si="7"/>
        <v>102.86811130459563</v>
      </c>
      <c r="H24" s="112">
        <f>SUM(H25:H29)+0.1</f>
        <v>30542.5</v>
      </c>
      <c r="I24" s="112">
        <f>SUM(I25:I29)+0.1</f>
        <v>114090.5</v>
      </c>
      <c r="J24" s="112">
        <f>SUM(J25:J29)+0.1</f>
        <v>114090.5</v>
      </c>
      <c r="K24" s="113">
        <f t="shared" si="8"/>
        <v>100</v>
      </c>
    </row>
    <row r="25" spans="1:11" s="124" customFormat="1" ht="15">
      <c r="A25" s="117" t="s">
        <v>39</v>
      </c>
      <c r="B25" s="127" t="s">
        <v>22</v>
      </c>
      <c r="C25" s="118" t="s">
        <v>6</v>
      </c>
      <c r="D25" s="119">
        <v>4224</v>
      </c>
      <c r="E25" s="119">
        <v>16128</v>
      </c>
      <c r="F25" s="119">
        <v>21672</v>
      </c>
      <c r="G25" s="120">
        <f>F25/E25*100</f>
        <v>134.375</v>
      </c>
      <c r="H25" s="121">
        <v>2588.3000000000002</v>
      </c>
      <c r="I25" s="122">
        <v>6902.6</v>
      </c>
      <c r="J25" s="122">
        <v>6902.6</v>
      </c>
      <c r="K25" s="123">
        <f t="shared" si="8"/>
        <v>100</v>
      </c>
    </row>
    <row r="26" spans="1:11" s="13" customFormat="1" ht="15">
      <c r="A26" s="117" t="s">
        <v>40</v>
      </c>
      <c r="B26" s="125" t="s">
        <v>24</v>
      </c>
      <c r="C26" s="118" t="s">
        <v>6</v>
      </c>
      <c r="D26" s="119">
        <f>17523+4677</f>
        <v>22200</v>
      </c>
      <c r="E26" s="119">
        <v>81853</v>
      </c>
      <c r="F26" s="119">
        <v>85153</v>
      </c>
      <c r="G26" s="120">
        <f t="shared" si="7"/>
        <v>104.03161765604192</v>
      </c>
      <c r="H26" s="122">
        <v>6192.6</v>
      </c>
      <c r="I26" s="122">
        <v>19974.400000000001</v>
      </c>
      <c r="J26" s="122">
        <v>19974.400000000001</v>
      </c>
      <c r="K26" s="123">
        <f t="shared" si="8"/>
        <v>100</v>
      </c>
    </row>
    <row r="27" spans="1:11" s="13" customFormat="1" ht="15">
      <c r="A27" s="117" t="s">
        <v>41</v>
      </c>
      <c r="B27" s="125" t="s">
        <v>26</v>
      </c>
      <c r="C27" s="118" t="s">
        <v>6</v>
      </c>
      <c r="D27" s="119">
        <f>26059+6235</f>
        <v>32294</v>
      </c>
      <c r="E27" s="119">
        <v>121425</v>
      </c>
      <c r="F27" s="119">
        <v>123246</v>
      </c>
      <c r="G27" s="120">
        <f t="shared" si="7"/>
        <v>101.49969116738728</v>
      </c>
      <c r="H27" s="122">
        <v>5835</v>
      </c>
      <c r="I27" s="122">
        <v>21792.799999999999</v>
      </c>
      <c r="J27" s="122">
        <v>21792.799999999999</v>
      </c>
      <c r="K27" s="123">
        <f t="shared" si="8"/>
        <v>100</v>
      </c>
    </row>
    <row r="28" spans="1:11" s="13" customFormat="1" ht="15">
      <c r="A28" s="117" t="s">
        <v>42</v>
      </c>
      <c r="B28" s="125" t="s">
        <v>28</v>
      </c>
      <c r="C28" s="118" t="s">
        <v>6</v>
      </c>
      <c r="D28" s="119">
        <f>34562+9727</f>
        <v>44289</v>
      </c>
      <c r="E28" s="119">
        <v>170383</v>
      </c>
      <c r="F28" s="119">
        <v>175744</v>
      </c>
      <c r="G28" s="120">
        <f t="shared" si="7"/>
        <v>103.14644066602889</v>
      </c>
      <c r="H28" s="122">
        <v>9775.9</v>
      </c>
      <c r="I28" s="122">
        <v>34134.5</v>
      </c>
      <c r="J28" s="122">
        <v>34134.5</v>
      </c>
      <c r="K28" s="123">
        <f t="shared" si="8"/>
        <v>100</v>
      </c>
    </row>
    <row r="29" spans="1:11" s="13" customFormat="1" ht="15">
      <c r="A29" s="117" t="s">
        <v>44</v>
      </c>
      <c r="B29" s="125" t="s">
        <v>35</v>
      </c>
      <c r="C29" s="118" t="s">
        <v>6</v>
      </c>
      <c r="D29" s="119">
        <v>23367</v>
      </c>
      <c r="E29" s="119">
        <v>87424</v>
      </c>
      <c r="F29" s="119">
        <v>85085</v>
      </c>
      <c r="G29" s="120">
        <f>F29/E29*100</f>
        <v>97.32453330893118</v>
      </c>
      <c r="H29" s="122">
        <v>6150.6</v>
      </c>
      <c r="I29" s="122">
        <v>31286.1</v>
      </c>
      <c r="J29" s="122">
        <v>31286.1</v>
      </c>
      <c r="K29" s="123">
        <f t="shared" si="8"/>
        <v>100</v>
      </c>
    </row>
    <row r="30" spans="1:11" s="114" customFormat="1" ht="18.75" customHeight="1">
      <c r="A30" s="108" t="s">
        <v>7</v>
      </c>
      <c r="B30" s="115" t="s">
        <v>29</v>
      </c>
      <c r="C30" s="126" t="s">
        <v>32</v>
      </c>
      <c r="D30" s="94">
        <v>0</v>
      </c>
      <c r="E30" s="109">
        <v>24</v>
      </c>
      <c r="F30" s="94">
        <v>24</v>
      </c>
      <c r="G30" s="111">
        <f t="shared" si="7"/>
        <v>100</v>
      </c>
      <c r="H30" s="94">
        <v>0</v>
      </c>
      <c r="I30" s="112">
        <v>182.7</v>
      </c>
      <c r="J30" s="112">
        <v>182.7</v>
      </c>
      <c r="K30" s="113">
        <f t="shared" si="8"/>
        <v>100</v>
      </c>
    </row>
    <row r="31" spans="1:11" s="114" customFormat="1" ht="27.6" customHeight="1">
      <c r="A31" s="108" t="s">
        <v>11</v>
      </c>
      <c r="B31" s="115" t="s">
        <v>31</v>
      </c>
      <c r="C31" s="126" t="s">
        <v>32</v>
      </c>
      <c r="D31" s="109">
        <f>8+12</f>
        <v>20</v>
      </c>
      <c r="E31" s="109">
        <v>33</v>
      </c>
      <c r="F31" s="109">
        <v>11</v>
      </c>
      <c r="G31" s="111">
        <f t="shared" si="7"/>
        <v>33.333333333333329</v>
      </c>
      <c r="H31" s="112">
        <v>992.40000000000009</v>
      </c>
      <c r="I31" s="112">
        <v>2385.9</v>
      </c>
      <c r="J31" s="112">
        <v>2385.9</v>
      </c>
      <c r="K31" s="113">
        <f t="shared" si="8"/>
        <v>100</v>
      </c>
    </row>
    <row r="32" spans="1:11" s="114" customFormat="1" ht="18.75" customHeight="1">
      <c r="A32" s="108" t="s">
        <v>30</v>
      </c>
      <c r="B32" s="115" t="s">
        <v>34</v>
      </c>
      <c r="C32" s="126" t="s">
        <v>32</v>
      </c>
      <c r="D32" s="109">
        <f>3+1</f>
        <v>4</v>
      </c>
      <c r="E32" s="109">
        <v>4</v>
      </c>
      <c r="F32" s="109">
        <v>3</v>
      </c>
      <c r="G32" s="111">
        <f t="shared" si="7"/>
        <v>75</v>
      </c>
      <c r="H32" s="112">
        <v>1151.0999999999999</v>
      </c>
      <c r="I32" s="112">
        <v>3062.2000000000003</v>
      </c>
      <c r="J32" s="112">
        <v>3062.2000000000003</v>
      </c>
      <c r="K32" s="113">
        <f t="shared" si="8"/>
        <v>100</v>
      </c>
    </row>
    <row r="33" spans="1:16" s="114" customFormat="1" ht="46.5" customHeight="1">
      <c r="A33" s="108" t="s">
        <v>33</v>
      </c>
      <c r="B33" s="128" t="s">
        <v>132</v>
      </c>
      <c r="C33" s="129" t="s">
        <v>32</v>
      </c>
      <c r="D33" s="94">
        <v>0</v>
      </c>
      <c r="E33" s="110">
        <v>1</v>
      </c>
      <c r="F33" s="110">
        <v>1</v>
      </c>
      <c r="G33" s="111">
        <f t="shared" si="7"/>
        <v>100</v>
      </c>
      <c r="H33" s="94">
        <v>0</v>
      </c>
      <c r="I33" s="112">
        <v>176.4</v>
      </c>
      <c r="J33" s="112">
        <v>176.4</v>
      </c>
      <c r="K33" s="113">
        <f t="shared" si="8"/>
        <v>100</v>
      </c>
    </row>
    <row r="34" spans="1:16" s="114" customFormat="1" ht="31.5" customHeight="1">
      <c r="A34" s="108" t="s">
        <v>36</v>
      </c>
      <c r="B34" s="128" t="s">
        <v>133</v>
      </c>
      <c r="C34" s="129" t="s">
        <v>134</v>
      </c>
      <c r="D34" s="94">
        <v>0</v>
      </c>
      <c r="E34" s="110">
        <v>340</v>
      </c>
      <c r="F34" s="110">
        <v>340</v>
      </c>
      <c r="G34" s="111">
        <f t="shared" si="7"/>
        <v>100</v>
      </c>
      <c r="H34" s="94">
        <v>0</v>
      </c>
      <c r="I34" s="112">
        <v>3352.4</v>
      </c>
      <c r="J34" s="112">
        <v>3352.4</v>
      </c>
      <c r="K34" s="113">
        <f t="shared" si="8"/>
        <v>100</v>
      </c>
    </row>
    <row r="35" spans="1:16" s="176" customFormat="1" ht="31.5" customHeight="1">
      <c r="A35" s="132"/>
      <c r="B35" s="133" t="s">
        <v>161</v>
      </c>
      <c r="C35" s="134"/>
      <c r="D35" s="135"/>
      <c r="E35" s="136"/>
      <c r="F35" s="136"/>
      <c r="G35" s="137"/>
      <c r="H35" s="138">
        <v>127147.5</v>
      </c>
      <c r="I35" s="138">
        <v>1117.5999999999999</v>
      </c>
      <c r="J35" s="138"/>
      <c r="K35" s="139"/>
    </row>
    <row r="36" spans="1:16" s="131" customFormat="1" ht="20.25" hidden="1" customHeight="1">
      <c r="A36" s="132"/>
      <c r="B36" s="140" t="s">
        <v>157</v>
      </c>
      <c r="C36" s="134"/>
      <c r="D36" s="135"/>
      <c r="E36" s="136"/>
      <c r="F36" s="136"/>
      <c r="G36" s="137"/>
      <c r="H36" s="138"/>
      <c r="I36" s="138"/>
      <c r="J36" s="138"/>
      <c r="K36" s="139"/>
    </row>
    <row r="37" spans="1:16" s="79" customFormat="1" ht="45.75" customHeight="1">
      <c r="A37" s="151" t="s">
        <v>86</v>
      </c>
      <c r="B37" s="152" t="s">
        <v>127</v>
      </c>
      <c r="C37" s="153"/>
      <c r="D37" s="154">
        <f t="shared" ref="D37:F37" si="12">D38</f>
        <v>60320</v>
      </c>
      <c r="E37" s="155">
        <f t="shared" si="12"/>
        <v>60320</v>
      </c>
      <c r="F37" s="155">
        <f t="shared" si="12"/>
        <v>60380</v>
      </c>
      <c r="G37" s="156">
        <f>F37/E37*100</f>
        <v>100.09946949602121</v>
      </c>
      <c r="H37" s="150">
        <f t="shared" ref="H37:J37" si="13">H38</f>
        <v>13022</v>
      </c>
      <c r="I37" s="150">
        <f t="shared" si="13"/>
        <v>12903</v>
      </c>
      <c r="J37" s="150">
        <f t="shared" si="13"/>
        <v>12903</v>
      </c>
      <c r="K37" s="149">
        <f t="shared" ref="K37:K39" si="14">J37/I37*100</f>
        <v>100</v>
      </c>
    </row>
    <row r="38" spans="1:16" s="197" customFormat="1" ht="19.899999999999999" customHeight="1">
      <c r="A38" s="187"/>
      <c r="B38" s="188" t="s">
        <v>72</v>
      </c>
      <c r="C38" s="194"/>
      <c r="D38" s="206">
        <f>D39</f>
        <v>60320</v>
      </c>
      <c r="E38" s="195">
        <f>E39</f>
        <v>60320</v>
      </c>
      <c r="F38" s="195">
        <f>F39</f>
        <v>60380</v>
      </c>
      <c r="G38" s="191">
        <f>F38/E38*100</f>
        <v>100.09946949602121</v>
      </c>
      <c r="H38" s="207">
        <f>H39</f>
        <v>13022</v>
      </c>
      <c r="I38" s="207">
        <f>I39</f>
        <v>12903</v>
      </c>
      <c r="J38" s="207">
        <f>J39</f>
        <v>12903</v>
      </c>
      <c r="K38" s="196">
        <f t="shared" si="14"/>
        <v>100</v>
      </c>
    </row>
    <row r="39" spans="1:16" s="23" customFormat="1" ht="20.25" customHeight="1">
      <c r="A39" s="86"/>
      <c r="B39" s="87" t="s">
        <v>73</v>
      </c>
      <c r="C39" s="83" t="s">
        <v>111</v>
      </c>
      <c r="D39" s="88">
        <v>60320</v>
      </c>
      <c r="E39" s="42">
        <v>60320</v>
      </c>
      <c r="F39" s="42">
        <v>60380</v>
      </c>
      <c r="G39" s="84">
        <f t="shared" ref="G39" si="15">F39/E39*100</f>
        <v>100.09946949602121</v>
      </c>
      <c r="H39" s="96">
        <v>13022</v>
      </c>
      <c r="I39" s="96">
        <v>12903</v>
      </c>
      <c r="J39" s="96">
        <v>12903</v>
      </c>
      <c r="K39" s="85">
        <f t="shared" si="14"/>
        <v>100</v>
      </c>
    </row>
    <row r="40" spans="1:16" s="79" customFormat="1" ht="41.25" customHeight="1">
      <c r="A40" s="151" t="s">
        <v>80</v>
      </c>
      <c r="B40" s="157" t="s">
        <v>114</v>
      </c>
      <c r="C40" s="153"/>
      <c r="D40" s="158">
        <f t="shared" ref="D40:F40" si="16">D41</f>
        <v>45722</v>
      </c>
      <c r="E40" s="155">
        <f>E41</f>
        <v>46712</v>
      </c>
      <c r="F40" s="155">
        <f t="shared" si="16"/>
        <v>49138</v>
      </c>
      <c r="G40" s="156">
        <f>F40/E40*100</f>
        <v>105.19352628874807</v>
      </c>
      <c r="H40" s="159">
        <f>H41</f>
        <v>35297</v>
      </c>
      <c r="I40" s="150">
        <f>J41</f>
        <v>36062</v>
      </c>
      <c r="J40" s="150">
        <f>J41</f>
        <v>36062</v>
      </c>
      <c r="K40" s="149">
        <f>J40/I40*100</f>
        <v>100</v>
      </c>
    </row>
    <row r="41" spans="1:16" s="197" customFormat="1" ht="21" customHeight="1">
      <c r="A41" s="187"/>
      <c r="B41" s="188" t="s">
        <v>74</v>
      </c>
      <c r="C41" s="194"/>
      <c r="D41" s="195">
        <f>D42</f>
        <v>45722</v>
      </c>
      <c r="E41" s="195">
        <f>E42</f>
        <v>46712</v>
      </c>
      <c r="F41" s="195">
        <f>F42</f>
        <v>49138</v>
      </c>
      <c r="G41" s="191">
        <f>F41/E41*100</f>
        <v>105.19352628874807</v>
      </c>
      <c r="H41" s="208">
        <f>H42</f>
        <v>35297</v>
      </c>
      <c r="I41" s="208">
        <f>I42</f>
        <v>36062</v>
      </c>
      <c r="J41" s="208">
        <f>J42</f>
        <v>36062</v>
      </c>
      <c r="K41" s="196">
        <f t="shared" ref="K41:K42" si="17">J41/I41*100</f>
        <v>100</v>
      </c>
    </row>
    <row r="42" spans="1:16" s="23" customFormat="1" ht="30">
      <c r="A42" s="50"/>
      <c r="B42" s="82" t="s">
        <v>112</v>
      </c>
      <c r="C42" s="83" t="s">
        <v>92</v>
      </c>
      <c r="D42" s="42">
        <v>45722</v>
      </c>
      <c r="E42" s="42">
        <v>46712</v>
      </c>
      <c r="F42" s="42">
        <v>49138</v>
      </c>
      <c r="G42" s="84">
        <f>F42/E42*100</f>
        <v>105.19352628874807</v>
      </c>
      <c r="H42" s="97">
        <v>35297</v>
      </c>
      <c r="I42" s="97">
        <v>36062</v>
      </c>
      <c r="J42" s="97">
        <v>36062</v>
      </c>
      <c r="K42" s="85">
        <f t="shared" si="17"/>
        <v>100</v>
      </c>
    </row>
    <row r="43" spans="1:16" s="81" customFormat="1" ht="42" customHeight="1">
      <c r="A43" s="151" t="s">
        <v>75</v>
      </c>
      <c r="B43" s="160" t="s">
        <v>121</v>
      </c>
      <c r="C43" s="153"/>
      <c r="D43" s="150">
        <f>D44+D91+D101+D106+D113</f>
        <v>22355</v>
      </c>
      <c r="E43" s="150">
        <f>E44+E91+E101+E106+E113</f>
        <v>22170</v>
      </c>
      <c r="F43" s="150">
        <f>F44+F91+F101+F106+F113</f>
        <v>22188</v>
      </c>
      <c r="G43" s="161">
        <f>F43/E43*100</f>
        <v>100.08119079837618</v>
      </c>
      <c r="H43" s="150">
        <f>H44+H91+H101+H106+H113+H115+H116</f>
        <v>1538548</v>
      </c>
      <c r="I43" s="150">
        <f>I44+I91+I101+I106+I113+I115+I116</f>
        <v>1462522</v>
      </c>
      <c r="J43" s="150">
        <f>J44+J91+J101+J106+J113+J115+J116</f>
        <v>1447382</v>
      </c>
      <c r="K43" s="162">
        <f t="shared" si="8"/>
        <v>98.964801896997102</v>
      </c>
    </row>
    <row r="44" spans="1:16" s="197" customFormat="1" ht="19.899999999999999" customHeight="1">
      <c r="A44" s="209"/>
      <c r="B44" s="177" t="s">
        <v>87</v>
      </c>
      <c r="C44" s="210"/>
      <c r="D44" s="178">
        <f>D45+D52+D62+D69+D86+D88+D90</f>
        <v>15682</v>
      </c>
      <c r="E44" s="178">
        <f>E45+E52+E62+E69+E86+E88+E90</f>
        <v>15668</v>
      </c>
      <c r="F44" s="178">
        <f>F45+F52+F62+F69+F86+F88+F90</f>
        <v>15668</v>
      </c>
      <c r="G44" s="181">
        <f t="shared" ref="G44" si="18">F44/E44*100</f>
        <v>100</v>
      </c>
      <c r="H44" s="179">
        <f>H45+H52+H62+H69+H86+H88+H90</f>
        <v>744294</v>
      </c>
      <c r="I44" s="180">
        <f>I45+I52+I62+I69+I86+I88+I90</f>
        <v>735286</v>
      </c>
      <c r="J44" s="180">
        <f>J45+J52+J62+J69+J86+J88+J90</f>
        <v>722412</v>
      </c>
      <c r="K44" s="181">
        <f t="shared" si="8"/>
        <v>98.249116670248043</v>
      </c>
      <c r="L44" s="211"/>
      <c r="M44" s="211"/>
      <c r="N44" s="211"/>
      <c r="O44" s="211"/>
      <c r="P44" s="211"/>
    </row>
    <row r="45" spans="1:16" s="23" customFormat="1" ht="21" customHeight="1">
      <c r="A45" s="43" t="s">
        <v>5</v>
      </c>
      <c r="B45" s="9" t="s">
        <v>37</v>
      </c>
      <c r="C45" s="12" t="s">
        <v>38</v>
      </c>
      <c r="D45" s="45">
        <f>D46+D47+D48+D49+D50+D51</f>
        <v>2252</v>
      </c>
      <c r="E45" s="45">
        <f t="shared" ref="E45:F45" si="19">E46+E47+E48+E49+E50+E51</f>
        <v>2241</v>
      </c>
      <c r="F45" s="45">
        <f t="shared" si="19"/>
        <v>2241</v>
      </c>
      <c r="G45" s="6">
        <f>F45/E45*100</f>
        <v>100</v>
      </c>
      <c r="H45" s="99">
        <f>H46+H47+H48+H49+H50+H51</f>
        <v>252572</v>
      </c>
      <c r="I45" s="100">
        <f>I46+I47+I48+I49+I50+I51</f>
        <v>248396</v>
      </c>
      <c r="J45" s="100">
        <f t="shared" ref="J45" si="20">J46+J47+J48+J49+J50+J51</f>
        <v>247959</v>
      </c>
      <c r="K45" s="60">
        <f>J45/I45*100</f>
        <v>99.824071241082791</v>
      </c>
    </row>
    <row r="46" spans="1:16" s="10" customFormat="1" ht="15">
      <c r="A46" s="46" t="s">
        <v>39</v>
      </c>
      <c r="B46" s="24" t="s">
        <v>116</v>
      </c>
      <c r="C46" s="47" t="s">
        <v>38</v>
      </c>
      <c r="D46" s="48">
        <v>2189</v>
      </c>
      <c r="E46" s="48">
        <v>2159</v>
      </c>
      <c r="F46" s="48">
        <f>E46</f>
        <v>2159</v>
      </c>
      <c r="G46" s="8">
        <f t="shared" ref="G46:G89" si="21">F46/E46*100</f>
        <v>100</v>
      </c>
      <c r="H46" s="95">
        <f>241199-1</f>
        <v>241198</v>
      </c>
      <c r="I46" s="101">
        <v>233521</v>
      </c>
      <c r="J46" s="101">
        <v>233110</v>
      </c>
      <c r="K46" s="71">
        <f t="shared" si="8"/>
        <v>99.823998698189882</v>
      </c>
    </row>
    <row r="47" spans="1:16" s="23" customFormat="1" ht="45">
      <c r="A47" s="46" t="s">
        <v>40</v>
      </c>
      <c r="B47" s="24" t="s">
        <v>135</v>
      </c>
      <c r="C47" s="47" t="s">
        <v>38</v>
      </c>
      <c r="D47" s="48">
        <v>60</v>
      </c>
      <c r="E47" s="48">
        <v>76</v>
      </c>
      <c r="F47" s="48">
        <v>76</v>
      </c>
      <c r="G47" s="8">
        <f t="shared" si="21"/>
        <v>100</v>
      </c>
      <c r="H47" s="95">
        <v>8988</v>
      </c>
      <c r="I47" s="101">
        <v>11265</v>
      </c>
      <c r="J47" s="101">
        <v>11253</v>
      </c>
      <c r="K47" s="71">
        <f t="shared" si="8"/>
        <v>99.893475366178436</v>
      </c>
    </row>
    <row r="48" spans="1:16" s="23" customFormat="1" ht="60">
      <c r="A48" s="46" t="s">
        <v>41</v>
      </c>
      <c r="B48" s="24" t="s">
        <v>136</v>
      </c>
      <c r="C48" s="47" t="s">
        <v>38</v>
      </c>
      <c r="D48" s="48">
        <v>1</v>
      </c>
      <c r="E48" s="48">
        <v>2</v>
      </c>
      <c r="F48" s="48">
        <v>2</v>
      </c>
      <c r="G48" s="8">
        <f t="shared" si="21"/>
        <v>100</v>
      </c>
      <c r="H48" s="102">
        <v>795</v>
      </c>
      <c r="I48" s="101">
        <v>771</v>
      </c>
      <c r="J48" s="101">
        <v>764</v>
      </c>
      <c r="K48" s="71">
        <f t="shared" si="8"/>
        <v>99.092088197146566</v>
      </c>
    </row>
    <row r="49" spans="1:16" s="10" customFormat="1" ht="60">
      <c r="A49" s="46" t="s">
        <v>42</v>
      </c>
      <c r="B49" s="24" t="s">
        <v>137</v>
      </c>
      <c r="C49" s="47" t="s">
        <v>38</v>
      </c>
      <c r="D49" s="102">
        <v>0</v>
      </c>
      <c r="E49" s="48">
        <v>1</v>
      </c>
      <c r="F49" s="48">
        <v>1</v>
      </c>
      <c r="G49" s="8">
        <f t="shared" si="21"/>
        <v>100</v>
      </c>
      <c r="H49" s="102">
        <v>0</v>
      </c>
      <c r="I49" s="101">
        <v>526</v>
      </c>
      <c r="J49" s="101">
        <v>526</v>
      </c>
      <c r="K49" s="71">
        <f t="shared" si="8"/>
        <v>100</v>
      </c>
    </row>
    <row r="50" spans="1:16" s="23" customFormat="1" ht="23.25" hidden="1">
      <c r="A50" s="46" t="s">
        <v>44</v>
      </c>
      <c r="B50" s="24" t="s">
        <v>117</v>
      </c>
      <c r="C50" s="47" t="s">
        <v>38</v>
      </c>
      <c r="D50" s="48"/>
      <c r="E50" s="48"/>
      <c r="F50" s="48"/>
      <c r="G50" s="8"/>
      <c r="H50" s="102"/>
      <c r="I50" s="101"/>
      <c r="J50" s="101"/>
      <c r="K50" s="71"/>
    </row>
    <row r="51" spans="1:16" s="23" customFormat="1" ht="45">
      <c r="A51" s="46" t="s">
        <v>44</v>
      </c>
      <c r="B51" s="24" t="s">
        <v>138</v>
      </c>
      <c r="C51" s="47" t="s">
        <v>38</v>
      </c>
      <c r="D51" s="48">
        <v>2</v>
      </c>
      <c r="E51" s="48">
        <v>3</v>
      </c>
      <c r="F51" s="48">
        <v>3</v>
      </c>
      <c r="G51" s="8">
        <f t="shared" si="21"/>
        <v>100</v>
      </c>
      <c r="H51" s="95">
        <v>1591</v>
      </c>
      <c r="I51" s="101">
        <v>2313</v>
      </c>
      <c r="J51" s="101">
        <v>2306</v>
      </c>
      <c r="K51" s="71">
        <f t="shared" si="8"/>
        <v>99.697362732382189</v>
      </c>
    </row>
    <row r="52" spans="1:16" s="23" customFormat="1" ht="17.25" customHeight="1">
      <c r="A52" s="43" t="s">
        <v>7</v>
      </c>
      <c r="B52" s="9" t="s">
        <v>45</v>
      </c>
      <c r="C52" s="49" t="s">
        <v>38</v>
      </c>
      <c r="D52" s="45">
        <f>D53+D54+D55+D56+D57+D58+D59+D60+D61</f>
        <v>2547</v>
      </c>
      <c r="E52" s="45">
        <f>E53+E54+E55+E56+E57+E58+E59+E60+E61</f>
        <v>2541</v>
      </c>
      <c r="F52" s="45">
        <f>F53+F54+F55+F56+F57+F58+F59+F60+F61</f>
        <v>2541</v>
      </c>
      <c r="G52" s="6">
        <f>F52/E52*100</f>
        <v>100</v>
      </c>
      <c r="H52" s="94">
        <f>H53+H54+H55+H56+H57+H58+H59+H60+H61</f>
        <v>336264</v>
      </c>
      <c r="I52" s="98">
        <f>I53+I54+I55+I56+I57+I58+I59+I60+I61</f>
        <v>328058</v>
      </c>
      <c r="J52" s="98">
        <f>J53+J54+J55+J56+J57+J58+J59+J60+J61</f>
        <v>327557</v>
      </c>
      <c r="K52" s="61">
        <f t="shared" si="8"/>
        <v>99.847283102378242</v>
      </c>
      <c r="L52" s="44"/>
      <c r="M52" s="44"/>
      <c r="N52" s="44"/>
      <c r="O52" s="44"/>
      <c r="P52" s="44"/>
    </row>
    <row r="53" spans="1:16" s="23" customFormat="1" ht="15">
      <c r="A53" s="46" t="s">
        <v>9</v>
      </c>
      <c r="B53" s="24" t="s">
        <v>118</v>
      </c>
      <c r="C53" s="47" t="s">
        <v>38</v>
      </c>
      <c r="D53" s="48">
        <v>1929</v>
      </c>
      <c r="E53" s="48">
        <v>1931</v>
      </c>
      <c r="F53" s="48">
        <v>1931</v>
      </c>
      <c r="G53" s="8">
        <f t="shared" si="21"/>
        <v>100</v>
      </c>
      <c r="H53" s="95">
        <v>242023</v>
      </c>
      <c r="I53" s="101">
        <f>239762+1</f>
        <v>239763</v>
      </c>
      <c r="J53" s="101">
        <v>239616</v>
      </c>
      <c r="K53" s="71">
        <f t="shared" si="8"/>
        <v>99.938689455837633</v>
      </c>
      <c r="L53" s="44"/>
      <c r="M53" s="44"/>
      <c r="N53" s="44"/>
      <c r="O53" s="44"/>
      <c r="P53" s="44"/>
    </row>
    <row r="54" spans="1:16" s="23" customFormat="1" ht="45">
      <c r="A54" s="46" t="s">
        <v>23</v>
      </c>
      <c r="B54" s="24" t="s">
        <v>139</v>
      </c>
      <c r="C54" s="47" t="s">
        <v>38</v>
      </c>
      <c r="D54" s="48">
        <v>92</v>
      </c>
      <c r="E54" s="48">
        <v>101</v>
      </c>
      <c r="F54" s="48">
        <v>101</v>
      </c>
      <c r="G54" s="8">
        <f t="shared" si="21"/>
        <v>100</v>
      </c>
      <c r="H54" s="95">
        <v>14203</v>
      </c>
      <c r="I54" s="101">
        <v>14670</v>
      </c>
      <c r="J54" s="101">
        <v>14666</v>
      </c>
      <c r="K54" s="71">
        <f>J54/I54*100</f>
        <v>99.972733469665982</v>
      </c>
    </row>
    <row r="55" spans="1:16" s="10" customFormat="1" ht="60">
      <c r="A55" s="46" t="s">
        <v>25</v>
      </c>
      <c r="B55" s="24" t="s">
        <v>140</v>
      </c>
      <c r="C55" s="47" t="s">
        <v>38</v>
      </c>
      <c r="D55" s="48">
        <v>6</v>
      </c>
      <c r="E55" s="48">
        <v>5</v>
      </c>
      <c r="F55" s="48">
        <v>5</v>
      </c>
      <c r="G55" s="8">
        <f t="shared" si="21"/>
        <v>100</v>
      </c>
      <c r="H55" s="95">
        <v>4773</v>
      </c>
      <c r="I55" s="101">
        <v>3929</v>
      </c>
      <c r="J55" s="101">
        <v>3929</v>
      </c>
      <c r="K55" s="71">
        <f t="shared" si="8"/>
        <v>100</v>
      </c>
    </row>
    <row r="56" spans="1:16" s="23" customFormat="1" ht="45">
      <c r="A56" s="46" t="s">
        <v>27</v>
      </c>
      <c r="B56" s="24" t="s">
        <v>141</v>
      </c>
      <c r="C56" s="47" t="s">
        <v>38</v>
      </c>
      <c r="D56" s="48">
        <v>511</v>
      </c>
      <c r="E56" s="48">
        <v>496</v>
      </c>
      <c r="F56" s="48">
        <v>496</v>
      </c>
      <c r="G56" s="8">
        <f t="shared" si="21"/>
        <v>100</v>
      </c>
      <c r="H56" s="95">
        <v>68106</v>
      </c>
      <c r="I56" s="101">
        <v>63388</v>
      </c>
      <c r="J56" s="101">
        <v>63038</v>
      </c>
      <c r="K56" s="71">
        <f t="shared" si="8"/>
        <v>99.447845017984477</v>
      </c>
    </row>
    <row r="57" spans="1:16" s="23" customFormat="1" ht="60" hidden="1">
      <c r="A57" s="46" t="s">
        <v>51</v>
      </c>
      <c r="B57" s="24" t="s">
        <v>142</v>
      </c>
      <c r="C57" s="47" t="s">
        <v>38</v>
      </c>
      <c r="D57" s="48"/>
      <c r="E57" s="48"/>
      <c r="F57" s="48"/>
      <c r="G57" s="8"/>
      <c r="H57" s="102"/>
      <c r="I57" s="101"/>
      <c r="J57" s="101"/>
      <c r="K57" s="71"/>
    </row>
    <row r="58" spans="1:16" s="10" customFormat="1" ht="15" hidden="1">
      <c r="A58" s="46" t="s">
        <v>50</v>
      </c>
      <c r="B58" s="24" t="s">
        <v>119</v>
      </c>
      <c r="C58" s="47" t="s">
        <v>38</v>
      </c>
      <c r="D58" s="48">
        <v>0</v>
      </c>
      <c r="E58" s="48">
        <v>0</v>
      </c>
      <c r="F58" s="48">
        <v>0</v>
      </c>
      <c r="G58" s="8" t="e">
        <f t="shared" si="21"/>
        <v>#DIV/0!</v>
      </c>
      <c r="H58" s="102"/>
      <c r="I58" s="101"/>
      <c r="J58" s="101"/>
      <c r="K58" s="71" t="e">
        <f t="shared" si="8"/>
        <v>#DIV/0!</v>
      </c>
    </row>
    <row r="59" spans="1:16" s="23" customFormat="1" ht="45">
      <c r="A59" s="46" t="s">
        <v>50</v>
      </c>
      <c r="B59" s="24" t="s">
        <v>143</v>
      </c>
      <c r="C59" s="47" t="s">
        <v>38</v>
      </c>
      <c r="D59" s="48">
        <v>7</v>
      </c>
      <c r="E59" s="48">
        <v>6</v>
      </c>
      <c r="F59" s="48">
        <v>6</v>
      </c>
      <c r="G59" s="8">
        <f t="shared" si="21"/>
        <v>100</v>
      </c>
      <c r="H59" s="102">
        <v>5568</v>
      </c>
      <c r="I59" s="101">
        <v>4717</v>
      </c>
      <c r="J59" s="101">
        <v>4717</v>
      </c>
      <c r="K59" s="71">
        <f t="shared" si="8"/>
        <v>100</v>
      </c>
    </row>
    <row r="60" spans="1:16" s="23" customFormat="1" ht="75" hidden="1">
      <c r="A60" s="46" t="s">
        <v>52</v>
      </c>
      <c r="B60" s="24" t="s">
        <v>144</v>
      </c>
      <c r="C60" s="47" t="s">
        <v>38</v>
      </c>
      <c r="D60" s="48"/>
      <c r="E60" s="48"/>
      <c r="F60" s="48"/>
      <c r="G60" s="8"/>
      <c r="H60" s="102"/>
      <c r="I60" s="101"/>
      <c r="J60" s="101"/>
      <c r="K60" s="71"/>
    </row>
    <row r="61" spans="1:16" s="23" customFormat="1" ht="30">
      <c r="A61" s="46" t="s">
        <v>52</v>
      </c>
      <c r="B61" s="24" t="s">
        <v>145</v>
      </c>
      <c r="C61" s="47" t="s">
        <v>38</v>
      </c>
      <c r="D61" s="48">
        <v>2</v>
      </c>
      <c r="E61" s="48">
        <v>2</v>
      </c>
      <c r="F61" s="48">
        <v>2</v>
      </c>
      <c r="G61" s="8">
        <f t="shared" si="21"/>
        <v>100</v>
      </c>
      <c r="H61" s="102">
        <v>1591</v>
      </c>
      <c r="I61" s="103">
        <v>1591</v>
      </c>
      <c r="J61" s="103">
        <v>1591</v>
      </c>
      <c r="K61" s="71">
        <f t="shared" si="8"/>
        <v>100</v>
      </c>
      <c r="L61" s="44"/>
      <c r="M61" s="44"/>
      <c r="N61" s="44"/>
      <c r="O61" s="44"/>
      <c r="P61" s="44"/>
    </row>
    <row r="62" spans="1:16" s="23" customFormat="1" ht="17.25" customHeight="1">
      <c r="A62" s="43" t="s">
        <v>11</v>
      </c>
      <c r="B62" s="9" t="s">
        <v>46</v>
      </c>
      <c r="C62" s="12" t="s">
        <v>38</v>
      </c>
      <c r="D62" s="45">
        <f t="shared" ref="D62:F62" si="22">D63+D64+D65+D66+D67+D68</f>
        <v>526</v>
      </c>
      <c r="E62" s="45">
        <f t="shared" si="22"/>
        <v>515</v>
      </c>
      <c r="F62" s="45">
        <f t="shared" si="22"/>
        <v>515</v>
      </c>
      <c r="G62" s="111">
        <f t="shared" si="21"/>
        <v>100</v>
      </c>
      <c r="H62" s="99">
        <f>H63+H64+H65+H66+H67+H68</f>
        <v>75885</v>
      </c>
      <c r="I62" s="99">
        <f t="shared" ref="I62:J62" si="23">I63+I64+I65+I66+I67+I68</f>
        <v>74066</v>
      </c>
      <c r="J62" s="99">
        <f t="shared" si="23"/>
        <v>73927</v>
      </c>
      <c r="K62" s="61">
        <f t="shared" si="8"/>
        <v>99.812329543920285</v>
      </c>
      <c r="L62" s="44"/>
      <c r="M62" s="44"/>
      <c r="N62" s="44"/>
      <c r="O62" s="44"/>
      <c r="P62" s="44"/>
    </row>
    <row r="63" spans="1:16" s="23" customFormat="1" ht="17.25" customHeight="1">
      <c r="A63" s="46" t="s">
        <v>13</v>
      </c>
      <c r="B63" s="24" t="s">
        <v>120</v>
      </c>
      <c r="C63" s="47" t="s">
        <v>38</v>
      </c>
      <c r="D63" s="48">
        <v>92</v>
      </c>
      <c r="E63" s="48">
        <v>87</v>
      </c>
      <c r="F63" s="48">
        <v>87</v>
      </c>
      <c r="G63" s="8">
        <f t="shared" si="21"/>
        <v>100</v>
      </c>
      <c r="H63" s="102">
        <v>12991</v>
      </c>
      <c r="I63" s="101">
        <v>12145</v>
      </c>
      <c r="J63" s="101">
        <v>12145</v>
      </c>
      <c r="K63" s="71">
        <f t="shared" si="8"/>
        <v>100</v>
      </c>
    </row>
    <row r="64" spans="1:16" s="10" customFormat="1" ht="30.75" customHeight="1">
      <c r="A64" s="46" t="s">
        <v>14</v>
      </c>
      <c r="B64" s="24" t="s">
        <v>146</v>
      </c>
      <c r="C64" s="47" t="s">
        <v>38</v>
      </c>
      <c r="D64" s="102">
        <v>0</v>
      </c>
      <c r="E64" s="48">
        <v>1</v>
      </c>
      <c r="F64" s="48">
        <v>1</v>
      </c>
      <c r="G64" s="8">
        <f t="shared" si="21"/>
        <v>100</v>
      </c>
      <c r="H64" s="102">
        <v>0</v>
      </c>
      <c r="I64" s="103">
        <v>264</v>
      </c>
      <c r="J64" s="103">
        <v>264</v>
      </c>
      <c r="K64" s="71">
        <f t="shared" si="8"/>
        <v>100</v>
      </c>
    </row>
    <row r="65" spans="1:16" s="23" customFormat="1" ht="45">
      <c r="A65" s="46" t="s">
        <v>16</v>
      </c>
      <c r="B65" s="24" t="s">
        <v>147</v>
      </c>
      <c r="C65" s="47" t="s">
        <v>38</v>
      </c>
      <c r="D65" s="48">
        <v>431</v>
      </c>
      <c r="E65" s="48">
        <v>423</v>
      </c>
      <c r="F65" s="48">
        <v>423</v>
      </c>
      <c r="G65" s="8">
        <f t="shared" si="21"/>
        <v>100</v>
      </c>
      <c r="H65" s="95">
        <v>61268</v>
      </c>
      <c r="I65" s="101">
        <v>59767</v>
      </c>
      <c r="J65" s="101">
        <v>59628</v>
      </c>
      <c r="K65" s="71">
        <f t="shared" si="8"/>
        <v>99.767430187227063</v>
      </c>
    </row>
    <row r="66" spans="1:16" s="23" customFormat="1" ht="30">
      <c r="A66" s="46" t="s">
        <v>17</v>
      </c>
      <c r="B66" s="24" t="s">
        <v>148</v>
      </c>
      <c r="C66" s="47" t="s">
        <v>38</v>
      </c>
      <c r="D66" s="102">
        <v>0</v>
      </c>
      <c r="E66" s="48">
        <v>1</v>
      </c>
      <c r="F66" s="48">
        <v>1</v>
      </c>
      <c r="G66" s="8">
        <f t="shared" si="21"/>
        <v>100</v>
      </c>
      <c r="H66" s="102">
        <v>0</v>
      </c>
      <c r="I66" s="103">
        <v>264</v>
      </c>
      <c r="J66" s="103">
        <v>264</v>
      </c>
      <c r="K66" s="8">
        <f t="shared" si="8"/>
        <v>100</v>
      </c>
    </row>
    <row r="67" spans="1:16" s="10" customFormat="1" ht="30">
      <c r="A67" s="46" t="s">
        <v>162</v>
      </c>
      <c r="B67" s="24" t="s">
        <v>149</v>
      </c>
      <c r="C67" s="47" t="s">
        <v>38</v>
      </c>
      <c r="D67" s="48">
        <v>2</v>
      </c>
      <c r="E67" s="48">
        <v>2</v>
      </c>
      <c r="F67" s="48">
        <v>2</v>
      </c>
      <c r="G67" s="8">
        <f t="shared" si="21"/>
        <v>100</v>
      </c>
      <c r="H67" s="102">
        <v>1593</v>
      </c>
      <c r="I67" s="103">
        <v>1591</v>
      </c>
      <c r="J67" s="103">
        <v>1591</v>
      </c>
      <c r="K67" s="71">
        <f t="shared" si="8"/>
        <v>100</v>
      </c>
    </row>
    <row r="68" spans="1:16" s="23" customFormat="1" ht="45">
      <c r="A68" s="46" t="s">
        <v>163</v>
      </c>
      <c r="B68" s="24" t="s">
        <v>122</v>
      </c>
      <c r="C68" s="47" t="s">
        <v>38</v>
      </c>
      <c r="D68" s="48">
        <v>1</v>
      </c>
      <c r="E68" s="48">
        <v>1</v>
      </c>
      <c r="F68" s="48">
        <v>1</v>
      </c>
      <c r="G68" s="8">
        <f t="shared" si="21"/>
        <v>100</v>
      </c>
      <c r="H68" s="102">
        <v>33</v>
      </c>
      <c r="I68" s="103">
        <v>35</v>
      </c>
      <c r="J68" s="103">
        <v>35</v>
      </c>
      <c r="K68" s="71">
        <f t="shared" si="8"/>
        <v>100</v>
      </c>
    </row>
    <row r="69" spans="1:16" s="23" customFormat="1" ht="18" customHeight="1">
      <c r="A69" s="51" t="s">
        <v>30</v>
      </c>
      <c r="B69" s="9" t="s">
        <v>93</v>
      </c>
      <c r="C69" s="12" t="s">
        <v>38</v>
      </c>
      <c r="D69" s="45">
        <f>D70+D74+D78+D82</f>
        <v>3754</v>
      </c>
      <c r="E69" s="45">
        <f t="shared" ref="E69:J69" si="24">E70+E74+E78+E82</f>
        <v>4167</v>
      </c>
      <c r="F69" s="45">
        <f t="shared" si="24"/>
        <v>4167</v>
      </c>
      <c r="G69" s="111">
        <f t="shared" si="21"/>
        <v>100</v>
      </c>
      <c r="H69" s="99">
        <f t="shared" si="24"/>
        <v>67263</v>
      </c>
      <c r="I69" s="100">
        <f t="shared" si="24"/>
        <v>72984</v>
      </c>
      <c r="J69" s="100">
        <f t="shared" si="24"/>
        <v>61187</v>
      </c>
      <c r="K69" s="111">
        <f t="shared" si="8"/>
        <v>83.836183273046146</v>
      </c>
    </row>
    <row r="70" spans="1:16" s="23" customFormat="1" ht="15">
      <c r="A70" s="46" t="s">
        <v>63</v>
      </c>
      <c r="B70" s="24" t="s">
        <v>47</v>
      </c>
      <c r="C70" s="47" t="s">
        <v>38</v>
      </c>
      <c r="D70" s="48">
        <f>D71+D72+D73</f>
        <v>1570</v>
      </c>
      <c r="E70" s="48">
        <f>E71+E72+E73</f>
        <v>1648</v>
      </c>
      <c r="F70" s="48">
        <f t="shared" ref="F70" si="25">F71+F72+F73</f>
        <v>1653</v>
      </c>
      <c r="G70" s="8">
        <f t="shared" si="21"/>
        <v>100.30339805825244</v>
      </c>
      <c r="H70" s="95">
        <f>H71+H72+H73</f>
        <v>51245</v>
      </c>
      <c r="I70" s="101">
        <f>I71+I72+I73</f>
        <v>51419</v>
      </c>
      <c r="J70" s="101">
        <f>J71+J72+J73</f>
        <v>44118</v>
      </c>
      <c r="K70" s="71">
        <f t="shared" si="8"/>
        <v>85.800968513584479</v>
      </c>
      <c r="L70" s="44"/>
      <c r="M70" s="44"/>
      <c r="N70" s="44"/>
      <c r="O70" s="44"/>
      <c r="P70" s="44"/>
    </row>
    <row r="71" spans="1:16" s="23" customFormat="1" ht="15">
      <c r="A71" s="46"/>
      <c r="B71" s="52" t="s">
        <v>94</v>
      </c>
      <c r="C71" s="47" t="s">
        <v>38</v>
      </c>
      <c r="D71" s="48">
        <v>706</v>
      </c>
      <c r="E71" s="48">
        <v>747</v>
      </c>
      <c r="F71" s="48">
        <v>749</v>
      </c>
      <c r="G71" s="8">
        <f t="shared" si="21"/>
        <v>100.26773761713521</v>
      </c>
      <c r="H71" s="95">
        <v>23044</v>
      </c>
      <c r="I71" s="101">
        <v>23316</v>
      </c>
      <c r="J71" s="101">
        <v>20013</v>
      </c>
      <c r="K71" s="71">
        <f t="shared" si="8"/>
        <v>85.833762223365923</v>
      </c>
      <c r="L71" s="44"/>
      <c r="M71" s="44"/>
      <c r="N71" s="44"/>
      <c r="O71" s="44"/>
      <c r="P71" s="44"/>
    </row>
    <row r="72" spans="1:16" s="23" customFormat="1" ht="15">
      <c r="A72" s="46"/>
      <c r="B72" s="52" t="s">
        <v>95</v>
      </c>
      <c r="C72" s="47" t="s">
        <v>38</v>
      </c>
      <c r="D72" s="48">
        <v>761</v>
      </c>
      <c r="E72" s="48">
        <v>790</v>
      </c>
      <c r="F72" s="48">
        <v>793</v>
      </c>
      <c r="G72" s="8">
        <f t="shared" si="21"/>
        <v>100.37974683544304</v>
      </c>
      <c r="H72" s="95">
        <v>24839</v>
      </c>
      <c r="I72" s="101">
        <v>24634</v>
      </c>
      <c r="J72" s="101">
        <v>21134</v>
      </c>
      <c r="K72" s="71">
        <f t="shared" si="8"/>
        <v>85.791994803929526</v>
      </c>
    </row>
    <row r="73" spans="1:16" s="10" customFormat="1" ht="15">
      <c r="A73" s="46"/>
      <c r="B73" s="52" t="s">
        <v>96</v>
      </c>
      <c r="C73" s="47" t="s">
        <v>38</v>
      </c>
      <c r="D73" s="48">
        <v>103</v>
      </c>
      <c r="E73" s="48">
        <v>111</v>
      </c>
      <c r="F73" s="48">
        <v>111</v>
      </c>
      <c r="G73" s="8">
        <f t="shared" si="21"/>
        <v>100</v>
      </c>
      <c r="H73" s="95">
        <v>3362</v>
      </c>
      <c r="I73" s="101">
        <v>3469</v>
      </c>
      <c r="J73" s="101">
        <v>2971</v>
      </c>
      <c r="K73" s="71">
        <f t="shared" si="8"/>
        <v>85.64427788988182</v>
      </c>
    </row>
    <row r="74" spans="1:16" s="23" customFormat="1" ht="15">
      <c r="A74" s="46" t="s">
        <v>76</v>
      </c>
      <c r="B74" s="24" t="s">
        <v>150</v>
      </c>
      <c r="C74" s="47" t="s">
        <v>38</v>
      </c>
      <c r="D74" s="48">
        <f>D75+D76+D77</f>
        <v>4</v>
      </c>
      <c r="E74" s="48">
        <f>E75+E76+E77</f>
        <v>5</v>
      </c>
      <c r="F74" s="48">
        <f t="shared" ref="F74" si="26">F75+F76+F77</f>
        <v>5</v>
      </c>
      <c r="G74" s="8">
        <f t="shared" si="21"/>
        <v>100</v>
      </c>
      <c r="H74" s="102">
        <f>H75+H76+H77</f>
        <v>87</v>
      </c>
      <c r="I74" s="103">
        <f>I75+I76+I77</f>
        <v>109</v>
      </c>
      <c r="J74" s="103">
        <v>109</v>
      </c>
      <c r="K74" s="71">
        <f t="shared" si="8"/>
        <v>100</v>
      </c>
    </row>
    <row r="75" spans="1:16" s="23" customFormat="1" ht="15">
      <c r="A75" s="46"/>
      <c r="B75" s="52" t="s">
        <v>94</v>
      </c>
      <c r="C75" s="47" t="s">
        <v>38</v>
      </c>
      <c r="D75" s="48">
        <v>1</v>
      </c>
      <c r="E75" s="48">
        <v>1</v>
      </c>
      <c r="F75" s="48">
        <v>1</v>
      </c>
      <c r="G75" s="8">
        <f t="shared" si="21"/>
        <v>100</v>
      </c>
      <c r="H75" s="102">
        <v>22</v>
      </c>
      <c r="I75" s="101">
        <v>22</v>
      </c>
      <c r="J75" s="101">
        <v>22</v>
      </c>
      <c r="K75" s="71">
        <f t="shared" si="8"/>
        <v>100</v>
      </c>
    </row>
    <row r="76" spans="1:16" s="10" customFormat="1" ht="15">
      <c r="A76" s="46"/>
      <c r="B76" s="52" t="s">
        <v>95</v>
      </c>
      <c r="C76" s="47" t="s">
        <v>38</v>
      </c>
      <c r="D76" s="48">
        <v>3</v>
      </c>
      <c r="E76" s="48">
        <v>4</v>
      </c>
      <c r="F76" s="48">
        <v>4</v>
      </c>
      <c r="G76" s="8">
        <f t="shared" si="21"/>
        <v>100</v>
      </c>
      <c r="H76" s="95">
        <v>65</v>
      </c>
      <c r="I76" s="101">
        <v>87</v>
      </c>
      <c r="J76" s="101">
        <v>87</v>
      </c>
      <c r="K76" s="71">
        <f t="shared" si="8"/>
        <v>100</v>
      </c>
    </row>
    <row r="77" spans="1:16" s="23" customFormat="1" ht="15" hidden="1">
      <c r="A77" s="46"/>
      <c r="B77" s="52" t="s">
        <v>96</v>
      </c>
      <c r="C77" s="47" t="s">
        <v>38</v>
      </c>
      <c r="D77" s="48">
        <v>0</v>
      </c>
      <c r="E77" s="48">
        <v>0</v>
      </c>
      <c r="F77" s="48">
        <v>0</v>
      </c>
      <c r="G77" s="8" t="e">
        <f t="shared" si="21"/>
        <v>#DIV/0!</v>
      </c>
      <c r="H77" s="95">
        <v>0</v>
      </c>
      <c r="I77" s="101">
        <v>0</v>
      </c>
      <c r="J77" s="101">
        <v>0</v>
      </c>
      <c r="K77" s="71" t="e">
        <f t="shared" si="8"/>
        <v>#DIV/0!</v>
      </c>
    </row>
    <row r="78" spans="1:16" s="23" customFormat="1" ht="15">
      <c r="A78" s="46" t="s">
        <v>77</v>
      </c>
      <c r="B78" s="24" t="s">
        <v>151</v>
      </c>
      <c r="C78" s="47" t="s">
        <v>38</v>
      </c>
      <c r="D78" s="48">
        <f>D79+D80+D81</f>
        <v>2180</v>
      </c>
      <c r="E78" s="48">
        <f>E79+E80+E81</f>
        <v>2018</v>
      </c>
      <c r="F78" s="48">
        <f t="shared" ref="F78" si="27">F79+F80+F81</f>
        <v>2017</v>
      </c>
      <c r="G78" s="8">
        <f t="shared" si="21"/>
        <v>99.950445986124876</v>
      </c>
      <c r="H78" s="102">
        <f>H79+H80+H81</f>
        <v>15931</v>
      </c>
      <c r="I78" s="103">
        <f>I79+I80+I81</f>
        <v>11595</v>
      </c>
      <c r="J78" s="103">
        <f>J79+J80+J81</f>
        <v>8211</v>
      </c>
      <c r="K78" s="71">
        <f t="shared" si="8"/>
        <v>70.815006468305313</v>
      </c>
    </row>
    <row r="79" spans="1:16" s="23" customFormat="1" ht="15">
      <c r="A79" s="46"/>
      <c r="B79" s="52" t="s">
        <v>94</v>
      </c>
      <c r="C79" s="47" t="s">
        <v>38</v>
      </c>
      <c r="D79" s="48">
        <v>1159</v>
      </c>
      <c r="E79" s="48">
        <v>819</v>
      </c>
      <c r="F79" s="48">
        <f>E79</f>
        <v>819</v>
      </c>
      <c r="G79" s="8">
        <f t="shared" si="21"/>
        <v>100</v>
      </c>
      <c r="H79" s="95">
        <v>8159</v>
      </c>
      <c r="I79" s="101">
        <v>4444</v>
      </c>
      <c r="J79" s="101">
        <v>3252</v>
      </c>
      <c r="K79" s="71">
        <f t="shared" si="8"/>
        <v>73.177317731773172</v>
      </c>
      <c r="L79" s="44"/>
      <c r="M79" s="44"/>
      <c r="N79" s="44"/>
      <c r="O79" s="44"/>
      <c r="P79" s="44"/>
    </row>
    <row r="80" spans="1:16" s="23" customFormat="1" ht="15">
      <c r="A80" s="46"/>
      <c r="B80" s="52" t="s">
        <v>95</v>
      </c>
      <c r="C80" s="47" t="s">
        <v>38</v>
      </c>
      <c r="D80" s="48">
        <f>779+73</f>
        <v>852</v>
      </c>
      <c r="E80" s="48">
        <f>967+46</f>
        <v>1013</v>
      </c>
      <c r="F80" s="48">
        <f>965+45+1</f>
        <v>1011</v>
      </c>
      <c r="G80" s="8">
        <f t="shared" si="21"/>
        <v>99.802566633761103</v>
      </c>
      <c r="H80" s="95">
        <f>5484+1028</f>
        <v>6512</v>
      </c>
      <c r="I80" s="101">
        <v>6066</v>
      </c>
      <c r="J80" s="101">
        <v>4198</v>
      </c>
      <c r="K80" s="71">
        <f t="shared" si="8"/>
        <v>69.205407187603029</v>
      </c>
      <c r="L80" s="44"/>
      <c r="M80" s="44"/>
      <c r="N80" s="44"/>
      <c r="O80" s="44"/>
      <c r="P80" s="44"/>
    </row>
    <row r="81" spans="1:11" s="23" customFormat="1" ht="15">
      <c r="A81" s="46"/>
      <c r="B81" s="52" t="s">
        <v>96</v>
      </c>
      <c r="C81" s="47" t="s">
        <v>38</v>
      </c>
      <c r="D81" s="48">
        <f>159+10</f>
        <v>169</v>
      </c>
      <c r="E81" s="48">
        <f>182+4</f>
        <v>186</v>
      </c>
      <c r="F81" s="48">
        <f>182+5</f>
        <v>187</v>
      </c>
      <c r="G81" s="8">
        <f t="shared" si="21"/>
        <v>100.53763440860214</v>
      </c>
      <c r="H81" s="95">
        <f>1119+141</f>
        <v>1260</v>
      </c>
      <c r="I81" s="101">
        <f>567+518</f>
        <v>1085</v>
      </c>
      <c r="J81" s="101">
        <v>761</v>
      </c>
      <c r="K81" s="71">
        <f t="shared" si="8"/>
        <v>70.138248847926263</v>
      </c>
    </row>
    <row r="82" spans="1:11" s="10" customFormat="1" ht="30">
      <c r="A82" s="46" t="s">
        <v>152</v>
      </c>
      <c r="B82" s="24" t="s">
        <v>153</v>
      </c>
      <c r="C82" s="47" t="s">
        <v>38</v>
      </c>
      <c r="D82" s="95">
        <f>D83+D84+D85</f>
        <v>0</v>
      </c>
      <c r="E82" s="48">
        <f>E83+E84+E85</f>
        <v>496</v>
      </c>
      <c r="F82" s="48">
        <f t="shared" ref="F82" si="28">F83+F84+F85</f>
        <v>492</v>
      </c>
      <c r="G82" s="8">
        <f t="shared" si="21"/>
        <v>99.193548387096769</v>
      </c>
      <c r="H82" s="95">
        <f>H83+H84+H85</f>
        <v>0</v>
      </c>
      <c r="I82" s="101">
        <f>I83+I84+I85</f>
        <v>9861</v>
      </c>
      <c r="J82" s="101">
        <f>J83+J84+J85</f>
        <v>8749</v>
      </c>
      <c r="K82" s="71">
        <f t="shared" si="8"/>
        <v>88.723253219754596</v>
      </c>
    </row>
    <row r="83" spans="1:11" s="23" customFormat="1" ht="15">
      <c r="A83" s="46"/>
      <c r="B83" s="52" t="s">
        <v>94</v>
      </c>
      <c r="C83" s="47" t="s">
        <v>38</v>
      </c>
      <c r="D83" s="95">
        <v>0</v>
      </c>
      <c r="E83" s="48">
        <v>496</v>
      </c>
      <c r="F83" s="48">
        <v>492</v>
      </c>
      <c r="G83" s="8">
        <f t="shared" si="21"/>
        <v>99.193548387096769</v>
      </c>
      <c r="H83" s="95">
        <v>0</v>
      </c>
      <c r="I83" s="101">
        <v>9861</v>
      </c>
      <c r="J83" s="101">
        <v>8749</v>
      </c>
      <c r="K83" s="71">
        <f t="shared" si="8"/>
        <v>88.723253219754596</v>
      </c>
    </row>
    <row r="84" spans="1:11" s="23" customFormat="1" ht="15" hidden="1">
      <c r="A84" s="46"/>
      <c r="B84" s="52" t="s">
        <v>95</v>
      </c>
      <c r="C84" s="47" t="s">
        <v>38</v>
      </c>
      <c r="D84" s="48"/>
      <c r="E84" s="48"/>
      <c r="F84" s="48"/>
      <c r="G84" s="8"/>
      <c r="H84" s="95"/>
      <c r="I84" s="101"/>
      <c r="J84" s="101"/>
      <c r="K84" s="71"/>
    </row>
    <row r="85" spans="1:11" s="10" customFormat="1" ht="15" hidden="1">
      <c r="A85" s="46"/>
      <c r="B85" s="52" t="s">
        <v>96</v>
      </c>
      <c r="C85" s="47" t="s">
        <v>38</v>
      </c>
      <c r="D85" s="48"/>
      <c r="E85" s="48"/>
      <c r="F85" s="48"/>
      <c r="G85" s="8"/>
      <c r="H85" s="95"/>
      <c r="I85" s="101"/>
      <c r="J85" s="101"/>
      <c r="K85" s="71"/>
    </row>
    <row r="86" spans="1:11" s="10" customFormat="1" ht="18" customHeight="1">
      <c r="A86" s="51" t="s">
        <v>33</v>
      </c>
      <c r="B86" s="9" t="s">
        <v>48</v>
      </c>
      <c r="C86" s="12" t="s">
        <v>49</v>
      </c>
      <c r="D86" s="45">
        <f>D87</f>
        <v>1320</v>
      </c>
      <c r="E86" s="45">
        <f t="shared" ref="E86:F86" si="29">E87</f>
        <v>921</v>
      </c>
      <c r="F86" s="45">
        <f t="shared" si="29"/>
        <v>921</v>
      </c>
      <c r="G86" s="6">
        <f t="shared" si="21"/>
        <v>100</v>
      </c>
      <c r="H86" s="104">
        <f>H87</f>
        <v>2955</v>
      </c>
      <c r="I86" s="105">
        <f>I87</f>
        <v>2040</v>
      </c>
      <c r="J86" s="105">
        <f>J87</f>
        <v>2040</v>
      </c>
      <c r="K86" s="61">
        <f t="shared" si="8"/>
        <v>100</v>
      </c>
    </row>
    <row r="87" spans="1:11" s="10" customFormat="1" ht="15">
      <c r="A87" s="46" t="s">
        <v>97</v>
      </c>
      <c r="B87" s="24" t="s">
        <v>160</v>
      </c>
      <c r="C87" s="47" t="s">
        <v>49</v>
      </c>
      <c r="D87" s="48">
        <v>1320</v>
      </c>
      <c r="E87" s="48">
        <v>921</v>
      </c>
      <c r="F87" s="48">
        <f>E87</f>
        <v>921</v>
      </c>
      <c r="G87" s="8">
        <f t="shared" si="21"/>
        <v>100</v>
      </c>
      <c r="H87" s="102">
        <v>2955</v>
      </c>
      <c r="I87" s="103">
        <v>2040</v>
      </c>
      <c r="J87" s="103">
        <v>2040</v>
      </c>
      <c r="K87" s="71">
        <f t="shared" si="8"/>
        <v>100</v>
      </c>
    </row>
    <row r="88" spans="1:11" s="10" customFormat="1" ht="18" customHeight="1">
      <c r="A88" s="51" t="s">
        <v>36</v>
      </c>
      <c r="B88" s="9" t="s">
        <v>8</v>
      </c>
      <c r="C88" s="12" t="s">
        <v>6</v>
      </c>
      <c r="D88" s="45">
        <f>D89</f>
        <v>5283</v>
      </c>
      <c r="E88" s="45">
        <f t="shared" ref="E88:F88" si="30">E89</f>
        <v>5283</v>
      </c>
      <c r="F88" s="45">
        <f t="shared" si="30"/>
        <v>5283</v>
      </c>
      <c r="G88" s="53">
        <f t="shared" si="21"/>
        <v>100</v>
      </c>
      <c r="H88" s="94">
        <f>H89</f>
        <v>9355</v>
      </c>
      <c r="I88" s="98">
        <f>I89</f>
        <v>9310</v>
      </c>
      <c r="J88" s="98">
        <v>9310</v>
      </c>
      <c r="K88" s="130">
        <f t="shared" si="8"/>
        <v>100</v>
      </c>
    </row>
    <row r="89" spans="1:11" s="10" customFormat="1" ht="15">
      <c r="A89" s="46" t="s">
        <v>98</v>
      </c>
      <c r="B89" s="24" t="s">
        <v>43</v>
      </c>
      <c r="C89" s="47" t="s">
        <v>6</v>
      </c>
      <c r="D89" s="48">
        <v>5283</v>
      </c>
      <c r="E89" s="48">
        <v>5283</v>
      </c>
      <c r="F89" s="48">
        <f>E89</f>
        <v>5283</v>
      </c>
      <c r="G89" s="8">
        <f t="shared" si="21"/>
        <v>100</v>
      </c>
      <c r="H89" s="102">
        <v>9355</v>
      </c>
      <c r="I89" s="101">
        <v>9310</v>
      </c>
      <c r="J89" s="101">
        <v>9310</v>
      </c>
      <c r="K89" s="71">
        <f t="shared" si="8"/>
        <v>100</v>
      </c>
    </row>
    <row r="90" spans="1:11" s="10" customFormat="1" ht="45">
      <c r="A90" s="46" t="s">
        <v>154</v>
      </c>
      <c r="B90" s="24" t="s">
        <v>155</v>
      </c>
      <c r="C90" s="47" t="s">
        <v>32</v>
      </c>
      <c r="D90" s="48"/>
      <c r="E90" s="48"/>
      <c r="F90" s="48"/>
      <c r="G90" s="8"/>
      <c r="H90" s="102">
        <v>0</v>
      </c>
      <c r="I90" s="101">
        <v>432</v>
      </c>
      <c r="J90" s="101">
        <v>432</v>
      </c>
      <c r="K90" s="71">
        <f t="shared" si="8"/>
        <v>100</v>
      </c>
    </row>
    <row r="91" spans="1:11" s="186" customFormat="1" ht="18.75" customHeight="1">
      <c r="A91" s="182"/>
      <c r="B91" s="182" t="s">
        <v>88</v>
      </c>
      <c r="C91" s="183"/>
      <c r="D91" s="184">
        <f>D92+D96</f>
        <v>5344</v>
      </c>
      <c r="E91" s="184">
        <f>E92+E96</f>
        <v>5322</v>
      </c>
      <c r="F91" s="184">
        <f>F92+F96</f>
        <v>5322</v>
      </c>
      <c r="G91" s="185">
        <f>F91/E91*100</f>
        <v>100</v>
      </c>
      <c r="H91" s="180">
        <f>H92+H96</f>
        <v>667125</v>
      </c>
      <c r="I91" s="180">
        <f t="shared" ref="I91:J91" si="31">I92+I96</f>
        <v>669920</v>
      </c>
      <c r="J91" s="180">
        <f t="shared" si="31"/>
        <v>669888</v>
      </c>
      <c r="K91" s="181">
        <f>J91/I91*100</f>
        <v>99.99522331024599</v>
      </c>
    </row>
    <row r="92" spans="1:11" s="63" customFormat="1" ht="19.5" customHeight="1">
      <c r="A92" s="64" t="s">
        <v>5</v>
      </c>
      <c r="B92" s="65" t="s">
        <v>53</v>
      </c>
      <c r="C92" s="66" t="s">
        <v>78</v>
      </c>
      <c r="D92" s="59">
        <f>SUM(D93:D95)</f>
        <v>2672</v>
      </c>
      <c r="E92" s="59">
        <f>SUM(E93:E95)</f>
        <v>2661</v>
      </c>
      <c r="F92" s="59">
        <f>SUM(F93:F95)</f>
        <v>2661</v>
      </c>
      <c r="G92" s="60">
        <f>F92/E92*100</f>
        <v>100</v>
      </c>
      <c r="H92" s="98">
        <f>SUM(H93:H95)</f>
        <v>5240</v>
      </c>
      <c r="I92" s="98">
        <f>SUM(I93:I95)</f>
        <v>4729</v>
      </c>
      <c r="J92" s="98">
        <f>SUM(J93:J95)</f>
        <v>4729</v>
      </c>
      <c r="K92" s="61">
        <f>J92/I92*100</f>
        <v>100</v>
      </c>
    </row>
    <row r="93" spans="1:11" s="63" customFormat="1" ht="15">
      <c r="A93" s="67" t="s">
        <v>39</v>
      </c>
      <c r="B93" s="68" t="s">
        <v>123</v>
      </c>
      <c r="C93" s="69" t="s">
        <v>78</v>
      </c>
      <c r="D93" s="58">
        <v>2630</v>
      </c>
      <c r="E93" s="58">
        <v>2613</v>
      </c>
      <c r="F93" s="58">
        <v>2613</v>
      </c>
      <c r="G93" s="70">
        <f t="shared" ref="G93:G96" si="32">F93/E93*100</f>
        <v>100</v>
      </c>
      <c r="H93" s="101">
        <v>3928</v>
      </c>
      <c r="I93" s="101">
        <v>3790</v>
      </c>
      <c r="J93" s="101">
        <f>3790</f>
        <v>3790</v>
      </c>
      <c r="K93" s="71">
        <f t="shared" ref="K93:K96" si="33">J93/I93*100</f>
        <v>100</v>
      </c>
    </row>
    <row r="94" spans="1:11" s="63" customFormat="1" ht="15">
      <c r="A94" s="67" t="s">
        <v>40</v>
      </c>
      <c r="B94" s="68" t="s">
        <v>62</v>
      </c>
      <c r="C94" s="69" t="s">
        <v>78</v>
      </c>
      <c r="D94" s="58">
        <v>24</v>
      </c>
      <c r="E94" s="58">
        <v>27</v>
      </c>
      <c r="F94" s="58">
        <v>27</v>
      </c>
      <c r="G94" s="70">
        <f t="shared" si="32"/>
        <v>100</v>
      </c>
      <c r="H94" s="101">
        <v>750</v>
      </c>
      <c r="I94" s="101">
        <v>514</v>
      </c>
      <c r="J94" s="101">
        <f>514</f>
        <v>514</v>
      </c>
      <c r="K94" s="71">
        <f t="shared" si="33"/>
        <v>100</v>
      </c>
    </row>
    <row r="95" spans="1:11" s="63" customFormat="1" ht="15">
      <c r="A95" s="67" t="s">
        <v>41</v>
      </c>
      <c r="B95" s="68" t="s">
        <v>124</v>
      </c>
      <c r="C95" s="69" t="s">
        <v>78</v>
      </c>
      <c r="D95" s="72">
        <v>18</v>
      </c>
      <c r="E95" s="58">
        <v>21</v>
      </c>
      <c r="F95" s="58">
        <v>21</v>
      </c>
      <c r="G95" s="70">
        <f t="shared" si="32"/>
        <v>100</v>
      </c>
      <c r="H95" s="101">
        <v>562</v>
      </c>
      <c r="I95" s="101">
        <v>425</v>
      </c>
      <c r="J95" s="101">
        <f>425</f>
        <v>425</v>
      </c>
      <c r="K95" s="71">
        <f t="shared" si="33"/>
        <v>100</v>
      </c>
    </row>
    <row r="96" spans="1:11" s="63" customFormat="1" ht="17.25" customHeight="1">
      <c r="A96" s="64" t="s">
        <v>54</v>
      </c>
      <c r="B96" s="65" t="s">
        <v>55</v>
      </c>
      <c r="C96" s="66" t="s">
        <v>38</v>
      </c>
      <c r="D96" s="59">
        <f>SUM(D97:D100)</f>
        <v>2672</v>
      </c>
      <c r="E96" s="59">
        <f>SUM(E97:E100)</f>
        <v>2661</v>
      </c>
      <c r="F96" s="59">
        <f>SUM(F97:F100)</f>
        <v>2661</v>
      </c>
      <c r="G96" s="60">
        <f t="shared" si="32"/>
        <v>100</v>
      </c>
      <c r="H96" s="98">
        <f>SUM(H97:H100)</f>
        <v>661885</v>
      </c>
      <c r="I96" s="98">
        <f>SUM(I97:I100)</f>
        <v>665191</v>
      </c>
      <c r="J96" s="98">
        <f>SUM(J97:J100)</f>
        <v>665159</v>
      </c>
      <c r="K96" s="61">
        <f t="shared" si="33"/>
        <v>99.995189351629833</v>
      </c>
    </row>
    <row r="97" spans="1:11" s="63" customFormat="1" ht="15">
      <c r="A97" s="67" t="s">
        <v>56</v>
      </c>
      <c r="B97" s="68" t="s">
        <v>57</v>
      </c>
      <c r="C97" s="69" t="s">
        <v>38</v>
      </c>
      <c r="D97" s="58">
        <v>449</v>
      </c>
      <c r="E97" s="58">
        <v>427</v>
      </c>
      <c r="F97" s="58">
        <v>427</v>
      </c>
      <c r="G97" s="70">
        <f>F97/E97*100</f>
        <v>100</v>
      </c>
      <c r="H97" s="101">
        <v>109063</v>
      </c>
      <c r="I97" s="101">
        <v>106817</v>
      </c>
      <c r="J97" s="101">
        <v>106811</v>
      </c>
      <c r="K97" s="71">
        <f>J97/I97*100</f>
        <v>99.994382916576953</v>
      </c>
    </row>
    <row r="98" spans="1:11" s="63" customFormat="1" ht="15">
      <c r="A98" s="67" t="s">
        <v>58</v>
      </c>
      <c r="B98" s="68" t="s">
        <v>59</v>
      </c>
      <c r="C98" s="69" t="s">
        <v>38</v>
      </c>
      <c r="D98" s="58">
        <v>1968</v>
      </c>
      <c r="E98" s="58">
        <v>1975</v>
      </c>
      <c r="F98" s="58">
        <v>1974</v>
      </c>
      <c r="G98" s="70">
        <f>F98/E98*100</f>
        <v>99.949367088607602</v>
      </c>
      <c r="H98" s="101">
        <v>415758</v>
      </c>
      <c r="I98" s="101">
        <v>422191</v>
      </c>
      <c r="J98" s="101">
        <v>422166</v>
      </c>
      <c r="K98" s="71">
        <f>J98/I98*100</f>
        <v>99.994078509489782</v>
      </c>
    </row>
    <row r="99" spans="1:11" s="63" customFormat="1" ht="30" hidden="1">
      <c r="A99" s="67" t="s">
        <v>61</v>
      </c>
      <c r="B99" s="68" t="s">
        <v>99</v>
      </c>
      <c r="C99" s="69" t="s">
        <v>38</v>
      </c>
      <c r="D99" s="58"/>
      <c r="E99" s="58"/>
      <c r="F99" s="58"/>
      <c r="G99" s="70"/>
      <c r="H99" s="101"/>
      <c r="I99" s="101"/>
      <c r="J99" s="101"/>
      <c r="K99" s="71"/>
    </row>
    <row r="100" spans="1:11" s="63" customFormat="1" ht="30">
      <c r="A100" s="67" t="s">
        <v>61</v>
      </c>
      <c r="B100" s="68" t="s">
        <v>60</v>
      </c>
      <c r="C100" s="69" t="s">
        <v>38</v>
      </c>
      <c r="D100" s="58">
        <v>255</v>
      </c>
      <c r="E100" s="58">
        <v>259</v>
      </c>
      <c r="F100" s="58">
        <v>260</v>
      </c>
      <c r="G100" s="70">
        <f t="shared" ref="G100" si="34">F100/E100*100</f>
        <v>100.38610038610038</v>
      </c>
      <c r="H100" s="101">
        <v>137064</v>
      </c>
      <c r="I100" s="101">
        <v>136183</v>
      </c>
      <c r="J100" s="101">
        <v>136182</v>
      </c>
      <c r="K100" s="71">
        <f t="shared" ref="K100" si="35">J100/I100*100</f>
        <v>99.999265693955934</v>
      </c>
    </row>
    <row r="101" spans="1:11" s="186" customFormat="1" ht="21" customHeight="1">
      <c r="A101" s="212"/>
      <c r="B101" s="213" t="s">
        <v>125</v>
      </c>
      <c r="C101" s="183"/>
      <c r="D101" s="214">
        <f>D102+D103+D104+D105</f>
        <v>424</v>
      </c>
      <c r="E101" s="214">
        <f t="shared" ref="E101:F101" si="36">E102+E103+E104+E105</f>
        <v>424</v>
      </c>
      <c r="F101" s="214">
        <f t="shared" si="36"/>
        <v>424</v>
      </c>
      <c r="G101" s="185">
        <f>F101/E101*100</f>
        <v>100</v>
      </c>
      <c r="H101" s="180">
        <f t="shared" ref="H101" si="37">H102+H103+H104+H105</f>
        <v>34484</v>
      </c>
      <c r="I101" s="180">
        <f t="shared" ref="I101" si="38">I102+I103+I104+I105</f>
        <v>33621</v>
      </c>
      <c r="J101" s="180">
        <f t="shared" ref="J101" si="39">J102+J103+J104+J105</f>
        <v>33621</v>
      </c>
      <c r="K101" s="185">
        <f>J101/I101*100</f>
        <v>100</v>
      </c>
    </row>
    <row r="102" spans="1:11" s="75" customFormat="1" ht="27.75" customHeight="1">
      <c r="A102" s="73" t="s">
        <v>5</v>
      </c>
      <c r="B102" s="65" t="s">
        <v>64</v>
      </c>
      <c r="C102" s="76" t="s">
        <v>100</v>
      </c>
      <c r="D102" s="62">
        <v>96</v>
      </c>
      <c r="E102" s="62">
        <v>96</v>
      </c>
      <c r="F102" s="62">
        <v>96</v>
      </c>
      <c r="G102" s="60">
        <f t="shared" ref="G102:G105" si="40">F102/E102*100</f>
        <v>100</v>
      </c>
      <c r="H102" s="98">
        <v>12593</v>
      </c>
      <c r="I102" s="98">
        <v>12380</v>
      </c>
      <c r="J102" s="98">
        <v>12380</v>
      </c>
      <c r="K102" s="60">
        <f t="shared" ref="K102:K105" si="41">J102/I102*100</f>
        <v>100</v>
      </c>
    </row>
    <row r="103" spans="1:11" s="75" customFormat="1" ht="59.25" customHeight="1">
      <c r="A103" s="73" t="s">
        <v>7</v>
      </c>
      <c r="B103" s="77" t="s">
        <v>101</v>
      </c>
      <c r="C103" s="74" t="s">
        <v>12</v>
      </c>
      <c r="D103" s="62">
        <v>324</v>
      </c>
      <c r="E103" s="62">
        <v>324</v>
      </c>
      <c r="F103" s="62">
        <v>324</v>
      </c>
      <c r="G103" s="60">
        <f t="shared" si="40"/>
        <v>100</v>
      </c>
      <c r="H103" s="98">
        <v>20025</v>
      </c>
      <c r="I103" s="98">
        <v>19383</v>
      </c>
      <c r="J103" s="98">
        <v>19383</v>
      </c>
      <c r="K103" s="60">
        <f t="shared" si="41"/>
        <v>100</v>
      </c>
    </row>
    <row r="104" spans="1:11" s="75" customFormat="1" ht="43.5" customHeight="1">
      <c r="A104" s="73" t="s">
        <v>11</v>
      </c>
      <c r="B104" s="77" t="s">
        <v>102</v>
      </c>
      <c r="C104" s="76" t="s">
        <v>103</v>
      </c>
      <c r="D104" s="62">
        <v>2</v>
      </c>
      <c r="E104" s="62">
        <v>2</v>
      </c>
      <c r="F104" s="62">
        <v>2</v>
      </c>
      <c r="G104" s="60">
        <f t="shared" si="40"/>
        <v>100</v>
      </c>
      <c r="H104" s="98">
        <v>1062</v>
      </c>
      <c r="I104" s="98">
        <v>1058</v>
      </c>
      <c r="J104" s="98">
        <v>1058</v>
      </c>
      <c r="K104" s="60">
        <f t="shared" si="41"/>
        <v>100</v>
      </c>
    </row>
    <row r="105" spans="1:11" s="75" customFormat="1" ht="60" customHeight="1">
      <c r="A105" s="73" t="s">
        <v>30</v>
      </c>
      <c r="B105" s="77" t="s">
        <v>104</v>
      </c>
      <c r="C105" s="76" t="s">
        <v>103</v>
      </c>
      <c r="D105" s="62">
        <v>2</v>
      </c>
      <c r="E105" s="62">
        <v>2</v>
      </c>
      <c r="F105" s="62">
        <v>2</v>
      </c>
      <c r="G105" s="60">
        <f t="shared" si="40"/>
        <v>100</v>
      </c>
      <c r="H105" s="98">
        <v>804</v>
      </c>
      <c r="I105" s="98">
        <v>800</v>
      </c>
      <c r="J105" s="98">
        <v>800</v>
      </c>
      <c r="K105" s="60">
        <f t="shared" si="41"/>
        <v>100</v>
      </c>
    </row>
    <row r="106" spans="1:11" s="186" customFormat="1" ht="21" customHeight="1">
      <c r="A106" s="212"/>
      <c r="B106" s="213" t="s">
        <v>164</v>
      </c>
      <c r="C106" s="183"/>
      <c r="D106" s="214">
        <f>D107+D108+D109+D110+D111+D112</f>
        <v>655</v>
      </c>
      <c r="E106" s="214">
        <f>E107+E108+E109+E110+E111+E112</f>
        <v>397</v>
      </c>
      <c r="F106" s="214">
        <f>F107+F108+F109+F110+F111+F112</f>
        <v>415</v>
      </c>
      <c r="G106" s="185">
        <f>F106/E106*100</f>
        <v>104.53400503778339</v>
      </c>
      <c r="H106" s="180">
        <f>SUM(H107:H112)</f>
        <v>29410</v>
      </c>
      <c r="I106" s="180">
        <f t="shared" ref="I106:J106" si="42">SUM(I107:I112)</f>
        <v>19932</v>
      </c>
      <c r="J106" s="180">
        <f t="shared" si="42"/>
        <v>19932</v>
      </c>
      <c r="K106" s="185">
        <f>J106/I106*100</f>
        <v>100</v>
      </c>
    </row>
    <row r="107" spans="1:11" s="63" customFormat="1" ht="32.25" customHeight="1">
      <c r="A107" s="73" t="s">
        <v>5</v>
      </c>
      <c r="B107" s="65" t="s">
        <v>105</v>
      </c>
      <c r="C107" s="74" t="s">
        <v>12</v>
      </c>
      <c r="D107" s="62">
        <v>258</v>
      </c>
      <c r="E107" s="62">
        <v>0</v>
      </c>
      <c r="F107" s="62">
        <v>0</v>
      </c>
      <c r="G107" s="60">
        <v>0</v>
      </c>
      <c r="H107" s="98">
        <v>11519</v>
      </c>
      <c r="I107" s="98">
        <v>92</v>
      </c>
      <c r="J107" s="98">
        <v>92</v>
      </c>
      <c r="K107" s="60">
        <f>J107/I107*100</f>
        <v>100</v>
      </c>
    </row>
    <row r="108" spans="1:11" s="63" customFormat="1" ht="29.25">
      <c r="A108" s="73" t="s">
        <v>7</v>
      </c>
      <c r="B108" s="65" t="s">
        <v>81</v>
      </c>
      <c r="C108" s="76" t="s">
        <v>103</v>
      </c>
      <c r="D108" s="62">
        <v>21</v>
      </c>
      <c r="E108" s="62">
        <v>21</v>
      </c>
      <c r="F108" s="62">
        <v>21</v>
      </c>
      <c r="G108" s="60">
        <f>F108/E108*100</f>
        <v>100</v>
      </c>
      <c r="H108" s="98">
        <v>2406</v>
      </c>
      <c r="I108" s="98">
        <v>2846</v>
      </c>
      <c r="J108" s="98">
        <v>2846</v>
      </c>
      <c r="K108" s="60">
        <f>J108/I108*100</f>
        <v>100</v>
      </c>
    </row>
    <row r="109" spans="1:11" s="63" customFormat="1" ht="17.25" customHeight="1">
      <c r="A109" s="73" t="s">
        <v>11</v>
      </c>
      <c r="B109" s="78" t="s">
        <v>106</v>
      </c>
      <c r="C109" s="76" t="s">
        <v>79</v>
      </c>
      <c r="D109" s="62">
        <v>9</v>
      </c>
      <c r="E109" s="62">
        <v>9</v>
      </c>
      <c r="F109" s="62">
        <v>9</v>
      </c>
      <c r="G109" s="60">
        <f t="shared" ref="G109" si="43">F109/E109*100</f>
        <v>100</v>
      </c>
      <c r="H109" s="98">
        <v>3478</v>
      </c>
      <c r="I109" s="98">
        <v>3744</v>
      </c>
      <c r="J109" s="98">
        <v>3744</v>
      </c>
      <c r="K109" s="60">
        <f t="shared" ref="K109" si="44">J109/I109*100</f>
        <v>100</v>
      </c>
    </row>
    <row r="110" spans="1:11" s="63" customFormat="1" ht="17.25" customHeight="1">
      <c r="A110" s="73" t="s">
        <v>30</v>
      </c>
      <c r="B110" s="78" t="s">
        <v>107</v>
      </c>
      <c r="C110" s="76" t="s">
        <v>108</v>
      </c>
      <c r="D110" s="62">
        <v>80</v>
      </c>
      <c r="E110" s="62">
        <v>80</v>
      </c>
      <c r="F110" s="62">
        <v>98</v>
      </c>
      <c r="G110" s="60">
        <f>F110/E110*100</f>
        <v>122.50000000000001</v>
      </c>
      <c r="H110" s="98">
        <v>2551</v>
      </c>
      <c r="I110" s="98">
        <v>2962</v>
      </c>
      <c r="J110" s="98">
        <v>2962</v>
      </c>
      <c r="K110" s="60">
        <f>J110/I110*100</f>
        <v>100</v>
      </c>
    </row>
    <row r="111" spans="1:11" s="63" customFormat="1" ht="43.5" customHeight="1">
      <c r="A111" s="73" t="s">
        <v>33</v>
      </c>
      <c r="B111" s="78" t="s">
        <v>109</v>
      </c>
      <c r="C111" s="76" t="s">
        <v>108</v>
      </c>
      <c r="D111" s="62">
        <v>200</v>
      </c>
      <c r="E111" s="62">
        <v>200</v>
      </c>
      <c r="F111" s="62">
        <v>200</v>
      </c>
      <c r="G111" s="60">
        <f>F111/E111*100</f>
        <v>100</v>
      </c>
      <c r="H111" s="98">
        <v>3853</v>
      </c>
      <c r="I111" s="98">
        <v>4280</v>
      </c>
      <c r="J111" s="98">
        <v>4280</v>
      </c>
      <c r="K111" s="60">
        <f>J111/I111*100</f>
        <v>100</v>
      </c>
    </row>
    <row r="112" spans="1:11" s="63" customFormat="1" ht="29.45" customHeight="1">
      <c r="A112" s="73" t="s">
        <v>36</v>
      </c>
      <c r="B112" s="78" t="s">
        <v>110</v>
      </c>
      <c r="C112" s="76" t="s">
        <v>113</v>
      </c>
      <c r="D112" s="62">
        <v>87</v>
      </c>
      <c r="E112" s="62">
        <v>87</v>
      </c>
      <c r="F112" s="62">
        <v>87</v>
      </c>
      <c r="G112" s="60">
        <f>F112/E112*100</f>
        <v>100</v>
      </c>
      <c r="H112" s="98">
        <v>5603</v>
      </c>
      <c r="I112" s="98">
        <v>6008</v>
      </c>
      <c r="J112" s="98">
        <v>6008</v>
      </c>
      <c r="K112" s="60">
        <f>J112/I112*100</f>
        <v>100</v>
      </c>
    </row>
    <row r="113" spans="1:12" s="63" customFormat="1" ht="17.25" customHeight="1">
      <c r="A113" s="73"/>
      <c r="B113" s="78" t="s">
        <v>128</v>
      </c>
      <c r="C113" s="76"/>
      <c r="D113" s="62">
        <f>D114</f>
        <v>250</v>
      </c>
      <c r="E113" s="62">
        <f t="shared" ref="E113:F113" si="45">E114</f>
        <v>359</v>
      </c>
      <c r="F113" s="62">
        <f t="shared" si="45"/>
        <v>359</v>
      </c>
      <c r="G113" s="60">
        <f>F113/E113*100</f>
        <v>100</v>
      </c>
      <c r="H113" s="98">
        <f>H114</f>
        <v>659</v>
      </c>
      <c r="I113" s="98">
        <f t="shared" ref="I113" si="46">I114</f>
        <v>1496</v>
      </c>
      <c r="J113" s="98">
        <f t="shared" ref="J113" si="47">J114</f>
        <v>1496</v>
      </c>
      <c r="K113" s="60">
        <f>J113/I113*100</f>
        <v>100</v>
      </c>
    </row>
    <row r="114" spans="1:12" s="75" customFormat="1" ht="17.25" customHeight="1">
      <c r="A114" s="73" t="s">
        <v>5</v>
      </c>
      <c r="B114" s="65" t="s">
        <v>156</v>
      </c>
      <c r="C114" s="74" t="s">
        <v>12</v>
      </c>
      <c r="D114" s="54">
        <f>130+120</f>
        <v>250</v>
      </c>
      <c r="E114" s="54">
        <f>149+45+165</f>
        <v>359</v>
      </c>
      <c r="F114" s="54">
        <f>149+45+165</f>
        <v>359</v>
      </c>
      <c r="G114" s="6">
        <f>F114/E114*100</f>
        <v>100</v>
      </c>
      <c r="H114" s="94">
        <v>659</v>
      </c>
      <c r="I114" s="94">
        <v>1496</v>
      </c>
      <c r="J114" s="94">
        <v>1496</v>
      </c>
      <c r="K114" s="6">
        <f>J114/I114*100</f>
        <v>100</v>
      </c>
    </row>
    <row r="115" spans="1:12" s="131" customFormat="1" ht="32.25" customHeight="1">
      <c r="A115" s="132"/>
      <c r="B115" s="133" t="s">
        <v>161</v>
      </c>
      <c r="C115" s="134"/>
      <c r="D115" s="135"/>
      <c r="E115" s="136"/>
      <c r="F115" s="136"/>
      <c r="G115" s="137"/>
      <c r="H115" s="138">
        <f>ROUND(11202.4+51373.8,0)</f>
        <v>62576</v>
      </c>
      <c r="I115" s="138">
        <f>ROUND(1.4+2261.2+4.8,0)</f>
        <v>2267</v>
      </c>
      <c r="J115" s="138"/>
      <c r="K115" s="139"/>
    </row>
    <row r="116" spans="1:12" s="131" customFormat="1" ht="17.25" customHeight="1">
      <c r="A116" s="132"/>
      <c r="B116" s="140" t="s">
        <v>166</v>
      </c>
      <c r="C116" s="134"/>
      <c r="D116" s="135"/>
      <c r="E116" s="136"/>
      <c r="F116" s="136"/>
      <c r="G116" s="137"/>
      <c r="H116" s="138"/>
      <c r="I116" s="138"/>
      <c r="J116" s="138">
        <f>ROUND(28.6+4.7,0)</f>
        <v>33</v>
      </c>
      <c r="K116" s="139"/>
    </row>
    <row r="117" spans="1:12" s="41" customFormat="1" ht="21.75" customHeight="1">
      <c r="A117" s="163"/>
      <c r="B117" s="164" t="s">
        <v>89</v>
      </c>
      <c r="C117" s="165"/>
      <c r="D117" s="166">
        <f>ROUND(D6+D22+D37+D40+D43,0)</f>
        <v>561715</v>
      </c>
      <c r="E117" s="166">
        <f>ROUND(E6+E22+E37+E40+E43,0)</f>
        <v>810612</v>
      </c>
      <c r="F117" s="166">
        <f>ROUND(F6+F22+F37+F40+F43,0)</f>
        <v>831540</v>
      </c>
      <c r="G117" s="167">
        <f>F117/E117*100</f>
        <v>102.58175304584685</v>
      </c>
      <c r="H117" s="168">
        <f>ROUND(H6+H22+H37+H40+H43,0)</f>
        <v>1996253</v>
      </c>
      <c r="I117" s="168">
        <f>ROUND(I6+I22+I37+I40+I43,0)</f>
        <v>1875942</v>
      </c>
      <c r="J117" s="168">
        <f>ROUND(J6+J22+J37+J40+J43,0)</f>
        <v>1855324</v>
      </c>
      <c r="K117" s="167">
        <f>J117/I117*100</f>
        <v>98.900925508357943</v>
      </c>
      <c r="L117" s="23"/>
    </row>
    <row r="118" spans="1:12">
      <c r="A118" s="25"/>
      <c r="B118" s="7"/>
      <c r="E118" s="13"/>
      <c r="F118" s="13"/>
      <c r="G118" s="28"/>
      <c r="H118" s="13"/>
      <c r="I118" s="13"/>
      <c r="J118" s="13"/>
      <c r="K118" s="13"/>
      <c r="L118" s="7"/>
    </row>
    <row r="119" spans="1:12">
      <c r="D119" s="106"/>
      <c r="E119" s="55"/>
      <c r="F119" s="55"/>
      <c r="H119" s="92"/>
      <c r="I119" s="92"/>
      <c r="J119" s="92"/>
    </row>
    <row r="120" spans="1:12">
      <c r="H120" s="92"/>
      <c r="I120" s="92"/>
      <c r="J120" s="92"/>
    </row>
    <row r="121" spans="1:12">
      <c r="D121" s="107"/>
      <c r="E121" s="93"/>
      <c r="F121" s="93"/>
      <c r="H121" s="93"/>
      <c r="I121" s="93"/>
      <c r="J121" s="93"/>
    </row>
  </sheetData>
  <mergeCells count="5">
    <mergeCell ref="A1:K2"/>
    <mergeCell ref="A3:A4"/>
    <mergeCell ref="B3:B4"/>
    <mergeCell ref="C3:G3"/>
    <mergeCell ref="H3:K3"/>
  </mergeCells>
  <pageMargins left="0.19685039370078741" right="0.19685039370078741" top="0.39370078740157483" bottom="0.39370078740157483" header="0.31496062992125984" footer="0.31496062992125984"/>
  <pageSetup paperSize="8" scale="5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Щепелина</cp:lastModifiedBy>
  <cp:lastPrinted>2021-03-31T04:31:56Z</cp:lastPrinted>
  <dcterms:created xsi:type="dcterms:W3CDTF">2016-11-01T06:46:25Z</dcterms:created>
  <dcterms:modified xsi:type="dcterms:W3CDTF">2021-03-31T05:37:37Z</dcterms:modified>
</cp:coreProperties>
</file>